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MoF\Budzet\izvrsenje budzeta\Izvjestaji\Izvjestaji 2022\April GDDS\"/>
    </mc:Choice>
  </mc:AlternateContent>
  <workbookProtection workbookAlgorithmName="SHA-512" workbookHashValue="K/OQG2PVY+UJHLdzFJYv+HjHwo1juY/7l2dqagdWBy9QNuqrwet3oknd6nCtOZOLfDBcNKfOJQFjWJCRuClUcA==" workbookSaltValue="ywLXpsiEq/ztvappbq+iLw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Pregled" sheetId="26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externalReferences>
    <externalReference r:id="rId11"/>
  </externalReference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6" l="1"/>
  <c r="H20" i="26" s="1"/>
  <c r="G16" i="26"/>
  <c r="H16" i="26" s="1"/>
  <c r="G12" i="26"/>
  <c r="H12" i="26" s="1"/>
  <c r="D20" i="26"/>
  <c r="E20" i="26" s="1"/>
  <c r="D16" i="26"/>
  <c r="E16" i="26" s="1"/>
  <c r="E12" i="26"/>
  <c r="D12" i="26"/>
  <c r="E4" i="26" l="1"/>
  <c r="E3" i="26"/>
  <c r="E2" i="26"/>
  <c r="O64" i="11" l="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3" i="11"/>
  <c r="N62" i="11"/>
  <c r="N61" i="11"/>
  <c r="N58" i="11"/>
  <c r="N57" i="11"/>
  <c r="N56" i="11"/>
  <c r="N55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E5" i="20" l="1"/>
  <c r="E5" i="19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L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B61" i="25"/>
  <c r="B60" i="25"/>
  <c r="B59" i="25"/>
  <c r="S58" i="25"/>
  <c r="B58" i="25"/>
  <c r="S57" i="25"/>
  <c r="B57" i="25"/>
  <c r="S56" i="25"/>
  <c r="B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B55" i="25"/>
  <c r="B54" i="25"/>
  <c r="B53" i="25"/>
  <c r="S52" i="25"/>
  <c r="B52" i="25"/>
  <c r="S51" i="25"/>
  <c r="B51" i="25"/>
  <c r="S50" i="25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L40" i="25"/>
  <c r="K40" i="25"/>
  <c r="J40" i="25"/>
  <c r="N40" i="11" s="1"/>
  <c r="I40" i="25"/>
  <c r="H40" i="25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N30" i="11" s="1"/>
  <c r="I30" i="25"/>
  <c r="H30" i="25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M19" i="25"/>
  <c r="L19" i="25"/>
  <c r="K19" i="25"/>
  <c r="J19" i="25"/>
  <c r="N19" i="11" s="1"/>
  <c r="I19" i="25"/>
  <c r="H19" i="25"/>
  <c r="G19" i="25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L11" i="25"/>
  <c r="K11" i="25"/>
  <c r="J11" i="25"/>
  <c r="N11" i="11" s="1"/>
  <c r="I11" i="25"/>
  <c r="H11" i="25"/>
  <c r="G11" i="25"/>
  <c r="G10" i="25" s="1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T61" i="25" l="1"/>
  <c r="G61" i="11"/>
  <c r="T58" i="25"/>
  <c r="G58" i="11"/>
  <c r="T50" i="25"/>
  <c r="G50" i="11"/>
  <c r="T52" i="25"/>
  <c r="G52" i="11"/>
  <c r="J10" i="25"/>
  <c r="N10" i="11" s="1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J29" i="25"/>
  <c r="L29" i="25"/>
  <c r="N29" i="25"/>
  <c r="N53" i="25" s="1"/>
  <c r="P29" i="25"/>
  <c r="P53" i="25" s="1"/>
  <c r="R29" i="25"/>
  <c r="R53" i="25" s="1"/>
  <c r="S40" i="25"/>
  <c r="I53" i="25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J53" i="25" l="1"/>
  <c r="N53" i="11" s="1"/>
  <c r="N29" i="1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127" i="25"/>
  <c r="Q59" i="25"/>
  <c r="Q64" i="25" s="1"/>
  <c r="Q60" i="25" s="1"/>
  <c r="I59" i="25"/>
  <c r="M59" i="25"/>
  <c r="M64" i="25" s="1"/>
  <c r="M60" i="25" s="1"/>
  <c r="L53" i="25"/>
  <c r="L54" i="25" s="1"/>
  <c r="O54" i="25"/>
  <c r="S10" i="25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P59" i="25"/>
  <c r="P64" i="25" s="1"/>
  <c r="P60" i="25" s="1"/>
  <c r="P54" i="25"/>
  <c r="K54" i="25"/>
  <c r="N54" i="25"/>
  <c r="N59" i="25"/>
  <c r="N64" i="25" s="1"/>
  <c r="N60" i="25" s="1"/>
  <c r="G59" i="25"/>
  <c r="R54" i="25"/>
  <c r="R59" i="25"/>
  <c r="R64" i="25" s="1"/>
  <c r="R60" i="25" s="1"/>
  <c r="J54" i="25"/>
  <c r="N54" i="11" s="1"/>
  <c r="J59" i="25"/>
  <c r="S53" i="20"/>
  <c r="J64" i="25" l="1"/>
  <c r="N59" i="11"/>
  <c r="I64" i="25"/>
  <c r="T29" i="25"/>
  <c r="G29" i="11"/>
  <c r="H54" i="25"/>
  <c r="T10" i="25"/>
  <c r="G10" i="1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J60" i="25" l="1"/>
  <c r="N60" i="11" s="1"/>
  <c r="N64" i="11"/>
  <c r="I60" i="25"/>
  <c r="H64" i="25"/>
  <c r="S64" i="25" s="1"/>
  <c r="T53" i="25"/>
  <c r="G53" i="11"/>
  <c r="S54" i="25"/>
  <c r="S133" i="25"/>
  <c r="T133" i="25" s="1"/>
  <c r="S128" i="25"/>
  <c r="T128" i="25" s="1"/>
  <c r="G138" i="25"/>
  <c r="S59" i="25"/>
  <c r="G60" i="25"/>
  <c r="P19" i="22"/>
  <c r="T54" i="25" l="1"/>
  <c r="G54" i="11"/>
  <c r="T64" i="25"/>
  <c r="G64" i="11"/>
  <c r="T59" i="25"/>
  <c r="G59" i="11"/>
  <c r="H60" i="25"/>
  <c r="S138" i="25"/>
  <c r="T138" i="25" s="1"/>
  <c r="G134" i="25"/>
  <c r="S121" i="22"/>
  <c r="S60" i="25" l="1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B11" i="11"/>
  <c r="B15" i="3"/>
  <c r="B20" i="3"/>
  <c r="G249" i="2"/>
  <c r="T9" i="22" s="1"/>
  <c r="T83" i="22" s="1"/>
  <c r="B63" i="11"/>
  <c r="B11" i="3"/>
  <c r="B43" i="3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G271" i="2"/>
  <c r="G245" i="2"/>
  <c r="R8" i="3"/>
  <c r="R8" i="11"/>
  <c r="G270" i="2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<sst xmlns="http://schemas.openxmlformats.org/spreadsheetml/2006/main" count="1781" uniqueCount="846">
  <si>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</si>
  <si>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</si>
  <si>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</si>
  <si>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</si>
  <si>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</si>
  <si>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</si>
  <si>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</si>
  <si>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</si>
  <si>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</si>
  <si>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</si>
  <si>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</si>
  <si>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</si>
  <si>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</si>
  <si>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</si>
  <si>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</si>
  <si>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</si>
  <si>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</si>
  <si>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</si>
  <si>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</si>
  <si>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</si>
  <si>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</si>
  <si>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</si>
  <si>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</si>
  <si>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</si>
  <si>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</si>
  <si>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</si>
  <si>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</si>
  <si>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</si>
  <si>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</si>
  <si>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</si>
  <si>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</si>
  <si>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</si>
  <si>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</si>
  <si>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</si>
  <si>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</si>
  <si>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</si>
  <si>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</si>
  <si>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</si>
  <si>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</si>
  <si>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</si>
  <si>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</si>
  <si>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</si>
  <si>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</si>
  <si>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</si>
  <si>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</si>
  <si>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</si>
  <si>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</si>
  <si>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</si>
  <si>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</si>
  <si>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</si>
  <si>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</si>
  <si>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</si>
  <si>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</si>
  <si>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</si>
  <si>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</si>
  <si>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</si>
  <si>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</si>
  <si>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</si>
  <si>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</si>
  <si>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</si>
  <si>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</si>
  <si>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</si>
  <si>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</si>
  <si>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</si>
  <si>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</si>
  <si>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</si>
  <si>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</si>
  <si>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</si>
  <si>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</si>
  <si>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</si>
  <si>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</si>
  <si>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</si>
  <si>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</si>
  <si>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</si>
  <si>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</si>
  <si>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</si>
  <si>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</si>
  <si>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</si>
  <si>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</si>
  <si>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</si>
  <si>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</si>
  <si>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</si>
  <si>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</si>
  <si>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</si>
  <si>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</si>
  <si>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</si>
  <si>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</si>
  <si>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</si>
  <si>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</si>
  <si>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</si>
  <si>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</si>
  <si>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</si>
  <si>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</si>
  <si>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</si>
  <si>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</si>
  <si>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</si>
  <si>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</si>
  <si>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</si>
  <si>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</si>
  <si>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</si>
  <si>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</si>
  <si>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</si>
  <si>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</si>
  <si>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</si>
  <si>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</si>
  <si>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</si>
  <si>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</si>
  <si>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</si>
  <si>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</si>
  <si>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</si>
  <si>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</si>
  <si>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</si>
  <si>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</si>
  <si>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</si>
  <si>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</si>
  <si>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</si>
  <si>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</si>
  <si>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</si>
  <si>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</si>
  <si>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</si>
  <si>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</si>
  <si>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</si>
  <si>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</si>
  <si>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</si>
  <si>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</si>
  <si>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</si>
  <si>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</si>
  <si>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</si>
  <si>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</si>
  <si>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</si>
  <si>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</si>
  <si>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</si>
  <si>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</si>
  <si>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</si>
  <si>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</si>
  <si>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</si>
  <si>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</si>
  <si>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</si>
  <si>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</si>
  <si>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</si>
  <si>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</si>
  <si>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</si>
  <si>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</si>
  <si>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</si>
  <si>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</si>
  <si>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</si>
  <si>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</si>
  <si>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</si>
  <si>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</si>
  <si>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</si>
  <si>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</si>
  <si>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</si>
  <si>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</si>
  <si>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</si>
  <si>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</si>
  <si>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</si>
  <si>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</si>
  <si>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</si>
  <si>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</si>
  <si>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</si>
  <si>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</si>
  <si>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</si>
  <si>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</si>
  <si>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</si>
  <si>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</si>
  <si>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</si>
  <si>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</si>
  <si>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</si>
  <si>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</si>
  <si>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</si>
  <si>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</si>
  <si>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</si>
  <si>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</si>
  <si>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</si>
  <si>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</si>
  <si>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</si>
  <si>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</si>
  <si>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</si>
  <si>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</si>
  <si>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</si>
  <si>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</si>
  <si>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</si>
  <si>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</si>
  <si>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</si>
  <si>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</si>
  <si>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</si>
  <si>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</si>
  <si>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</si>
  <si>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</si>
  <si>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</si>
  <si>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</si>
  <si>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</si>
  <si>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</si>
  <si>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</si>
  <si>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</si>
  <si>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</si>
  <si>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</si>
  <si>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</si>
  <si>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</si>
  <si>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</si>
  <si>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</si>
  <si>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</si>
  <si>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</si>
  <si>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</si>
  <si>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</si>
  <si>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</si>
  <si>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</si>
  <si>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</si>
  <si>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</si>
  <si>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</si>
  <si>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</si>
  <si>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</si>
  <si>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</si>
  <si>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</si>
  <si>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</si>
  <si>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</si>
  <si>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</si>
  <si>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</si>
  <si>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</si>
  <si>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</si>
  <si>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</si>
  <si>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</si>
  <si>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</si>
  <si>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</si>
  <si>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</si>
  <si>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</si>
  <si>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</si>
  <si>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</si>
  <si>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</si>
  <si>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</si>
  <si>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</si>
  <si>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</si>
  <si>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</si>
  <si>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</si>
  <si>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</si>
  <si>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</si>
  <si>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</si>
  <si>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</si>
  <si>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</si>
  <si>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</si>
  <si>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</si>
  <si>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</si>
  <si>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</si>
  <si>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</si>
  <si>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</si>
  <si>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</si>
  <si>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</si>
  <si>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</si>
  <si>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</si>
  <si>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</si>
  <si>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</si>
  <si>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</si>
  <si>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</si>
  <si>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</si>
  <si>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</si>
  <si>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</si>
  <si>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</si>
  <si>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</si>
  <si>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</si>
  <si>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</si>
  <si>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</si>
  <si>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</si>
  <si>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</si>
  <si>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</si>
  <si>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</si>
  <si>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</si>
  <si>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</si>
  <si>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</si>
  <si>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</si>
  <si>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</si>
  <si>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</si>
  <si>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</si>
  <si>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</si>
  <si>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</si>
  <si>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</si>
  <si>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</si>
  <si>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</si>
  <si>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</si>
  <si>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</si>
  <si>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</si>
  <si>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</si>
  <si>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</si>
  <si>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</si>
  <si>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</si>
  <si>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</si>
  <si>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</si>
  <si>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</si>
  <si>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</si>
  <si>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</si>
  <si>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</si>
  <si>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</si>
  <si>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</si>
  <si>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</si>
  <si>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</si>
  <si>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</si>
  <si>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</si>
  <si>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</si>
  <si>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</si>
  <si>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</si>
  <si>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</si>
  <si>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</si>
  <si>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</si>
  <si>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</si>
  <si>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</si>
  <si>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</si>
  <si>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</si>
  <si>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</si>
  <si>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</si>
  <si>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</si>
  <si>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</si>
  <si>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</si>
  <si>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</si>
  <si>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</si>
  <si>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</si>
  <si>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</si>
  <si>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</si>
  <si>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</si>
  <si>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</si>
  <si>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</si>
  <si>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</si>
  <si>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</si>
  <si>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</si>
  <si>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</si>
  <si>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</si>
  <si>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</si>
  <si>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</si>
  <si>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</si>
  <si>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</si>
  <si>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</si>
  <si>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</si>
  <si>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</si>
  <si>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</si>
  <si>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</si>
  <si>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</si>
  <si>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</si>
  <si>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</si>
  <si>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</si>
  <si>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</si>
  <si>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</si>
  <si>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</si>
  <si>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</si>
  <si>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</si>
  <si>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</si>
  <si>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</si>
  <si>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</si>
  <si>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</si>
  <si>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</si>
  <si>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</si>
  <si>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</si>
  <si>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</si>
  <si>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</si>
  <si>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</si>
  <si>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</si>
  <si>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</si>
  <si>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</si>
  <si>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</si>
  <si>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</si>
  <si>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</si>
  <si>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</si>
  <si>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</si>
  <si>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</si>
  <si>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</si>
  <si>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</si>
  <si>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</si>
  <si>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</si>
  <si>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</si>
  <si>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</si>
  <si>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</si>
  <si>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</si>
  <si>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</si>
  <si>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</si>
  <si>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</si>
  <si>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</si>
  <si>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</si>
  <si>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</si>
  <si>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</si>
  <si>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</si>
  <si>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</si>
  <si>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</si>
  <si>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</si>
  <si>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</si>
  <si>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</si>
  <si>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</si>
  <si>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</si>
  <si>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</si>
  <si>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</si>
  <si>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</si>
  <si>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</si>
  <si>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</si>
  <si>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</si>
  <si>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</si>
  <si>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</si>
  <si>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</si>
  <si>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</si>
  <si>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</si>
  <si>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</si>
  <si>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</si>
  <si>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</si>
  <si>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</si>
  <si>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</si>
  <si>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</si>
  <si>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</si>
  <si>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</si>
  <si>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</si>
  <si>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</si>
  <si>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</si>
  <si>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</si>
  <si>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</si>
  <si>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</si>
  <si>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</si>
  <si>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</si>
  <si>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</si>
  <si>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</si>
  <si>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</si>
  <si>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</si>
  <si>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</si>
  <si>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</si>
  <si>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</si>
  <si>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</si>
  <si>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</si>
  <si>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</si>
  <si>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</si>
  <si>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</si>
  <si>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</si>
  <si>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</si>
  <si>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</si>
  <si>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</si>
  <si>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</si>
  <si>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</si>
  <si>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</si>
  <si>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</si>
  <si>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</si>
  <si>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</si>
  <si>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</si>
  <si>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</si>
  <si>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</si>
  <si>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</si>
  <si>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</si>
  <si>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</si>
  <si>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</si>
  <si>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</si>
  <si>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</si>
  <si>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</si>
  <si>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</si>
  <si>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</si>
  <si>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</si>
  <si>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</si>
  <si>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</si>
  <si>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</si>
  <si>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</si>
  <si>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</si>
  <si>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</si>
  <si>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</si>
  <si>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</si>
  <si>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</si>
  <si>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</si>
  <si>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</si>
  <si>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</si>
  <si>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</si>
  <si>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</si>
  <si>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</si>
  <si>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</si>
  <si>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</si>
  <si>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</si>
  <si>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</si>
  <si>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</si>
  <si>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</si>
  <si>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</si>
  <si>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</si>
  <si>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</si>
  <si>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</si>
  <si>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</si>
  <si>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</si>
  <si>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</si>
  <si>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</si>
  <si>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</si>
  <si>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</si>
  <si>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</si>
  <si>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</si>
  <si>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</si>
  <si>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</si>
  <si>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</si>
  <si>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</si>
  <si>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</si>
  <si>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</si>
  <si>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</si>
  <si>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</si>
  <si>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</si>
  <si>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</si>
  <si>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</si>
  <si>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</si>
  <si>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</si>
  <si>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</si>
  <si>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</si>
  <si>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</si>
  <si>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</si>
  <si>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</si>
  <si>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</si>
  <si>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</si>
  <si>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</si>
  <si>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</si>
  <si>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</si>
  <si>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</si>
  <si>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</si>
  <si>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</si>
  <si>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</si>
  <si>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</si>
  <si>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</si>
  <si>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</si>
  <si>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</si>
  <si>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</si>
  <si>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</si>
  <si>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</si>
  <si>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</si>
  <si>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</si>
  <si>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</si>
  <si>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</si>
  <si>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</si>
  <si>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</si>
  <si>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</si>
  <si>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</si>
  <si>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</si>
  <si>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</si>
  <si>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</si>
  <si>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</si>
  <si>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</si>
  <si>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</si>
  <si>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</si>
  <si>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</si>
  <si>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</si>
  <si>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</si>
  <si>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</si>
  <si>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</si>
  <si>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</si>
  <si>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</si>
  <si>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</si>
  <si>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</si>
  <si>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</si>
  <si>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</si>
  <si>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</si>
  <si>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</si>
  <si>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</si>
  <si>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</si>
  <si>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</si>
  <si>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</si>
  <si>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</si>
  <si>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</si>
  <si>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</si>
  <si>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</si>
  <si>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</si>
  <si>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</si>
  <si>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</si>
  <si>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</si>
  <si>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</si>
  <si>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</si>
  <si>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</si>
  <si>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</si>
  <si>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</si>
  <si>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</si>
  <si>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</si>
  <si>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</si>
  <si>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</si>
  <si>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</si>
  <si>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</si>
  <si>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</si>
  <si>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</si>
  <si>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</si>
  <si>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</si>
  <si>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</si>
  <si>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</si>
  <si>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</si>
  <si>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</si>
  <si>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</si>
  <si>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</si>
  <si>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</si>
  <si>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</si>
  <si>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</si>
  <si>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</si>
  <si>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</si>
  <si>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</si>
  <si>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</si>
  <si>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</si>
  <si>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</si>
  <si>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</si>
  <si>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</si>
  <si>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</si>
  <si>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</si>
  <si>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</si>
  <si>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</si>
  <si>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</si>
  <si>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</si>
  <si>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</si>
  <si>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</si>
  <si>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</si>
  <si>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</si>
  <si>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</si>
  <si>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</si>
  <si>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</si>
  <si>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</si>
  <si>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</si>
  <si>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</si>
  <si>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</si>
  <si>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</si>
  <si>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</si>
  <si>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</si>
  <si>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</si>
  <si>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</si>
  <si>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</si>
  <si>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</si>
  <si>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</si>
  <si>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</si>
  <si>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</si>
  <si>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</si>
  <si>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</si>
  <si>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</si>
  <si>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</si>
  <si>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</si>
  <si>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</si>
  <si>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</si>
  <si>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</si>
  <si>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</si>
  <si>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</si>
  <si>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</si>
  <si>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</si>
  <si>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</si>
  <si>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</si>
  <si>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</si>
  <si>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</si>
  <si>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</si>
  <si>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</si>
  <si>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</si>
  <si>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</si>
  <si>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</si>
  <si>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</si>
  <si>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</si>
  <si>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</si>
  <si>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</si>
  <si>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</si>
  <si>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</si>
  <si>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</si>
  <si>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</si>
  <si>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</si>
  <si>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</si>
  <si>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</si>
  <si>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</si>
  <si>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</si>
  <si>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</si>
  <si>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</si>
  <si>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</si>
  <si>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</si>
  <si>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</si>
  <si>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</si>
  <si>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</si>
  <si>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</si>
  <si>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</si>
  <si>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</si>
  <si>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</si>
  <si>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</si>
  <si>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</si>
  <si>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</si>
  <si>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</si>
  <si>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</si>
  <si>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</si>
  <si>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</si>
  <si>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</si>
  <si>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</si>
  <si>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</si>
  <si>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</si>
  <si>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</si>
  <si>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</si>
  <si>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</si>
  <si>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</si>
  <si>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</si>
  <si>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</si>
  <si>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</si>
  <si>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</si>
  <si>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</si>
  <si>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</si>
  <si>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</si>
  <si>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</si>
  <si>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</si>
  <si>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</si>
  <si>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</si>
  <si>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</si>
  <si>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</si>
  <si>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</si>
  <si>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</si>
  <si>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</si>
  <si>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</si>
  <si>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</si>
  <si>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</si>
  <si>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</si>
  <si>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</si>
  <si>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</si>
  <si>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</si>
  <si>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</si>
  <si>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</si>
  <si>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</si>
  <si>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</si>
  <si>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</si>
  <si>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</si>
  <si>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</si>
  <si>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</si>
  <si>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</si>
  <si>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</si>
  <si>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</si>
  <si>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</si>
  <si>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</si>
  <si>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</si>
  <si>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</si>
  <si>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</si>
  <si>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</si>
  <si>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</si>
  <si>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</si>
  <si>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</si>
  <si>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</si>
  <si>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</si>
  <si>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</si>
  <si>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</si>
  <si>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</si>
  <si>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</si>
  <si>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</si>
  <si>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</si>
  <si>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</si>
  <si>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</si>
  <si>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</si>
  <si>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</si>
  <si>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</si>
  <si>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</si>
  <si>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</si>
  <si>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</si>
  <si>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</si>
  <si>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</si>
  <si>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</si>
  <si>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</si>
  <si>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</si>
  <si>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</si>
  <si>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</si>
  <si>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</si>
  <si>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</si>
  <si>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</si>
  <si>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</si>
  <si>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</si>
  <si>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</si>
  <si>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</si>
  <si>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</si>
  <si>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</si>
  <si>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</si>
  <si>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</si>
  <si>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</si>
  <si>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</si>
  <si>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</si>
  <si>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</si>
  <si>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</si>
  <si>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</si>
  <si>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</si>
  <si>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</si>
  <si>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</si>
  <si>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</si>
  <si>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</si>
  <si>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</si>
  <si>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</si>
  <si>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</si>
  <si>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</si>
  <si>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</si>
  <si>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</si>
  <si>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</si>
  <si>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</si>
  <si>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</si>
  <si>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</si>
  <si>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</si>
  <si>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</si>
  <si>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</si>
  <si>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</si>
  <si>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</si>
  <si>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</si>
  <si>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</si>
  <si>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</si>
  <si>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</si>
  <si>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</si>
  <si>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</si>
  <si>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</si>
  <si>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</si>
  <si>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</si>
  <si>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</si>
  <si>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</si>
  <si>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</si>
  <si>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</si>
  <si>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</si>
  <si>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</si>
  <si>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</si>
  <si>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</si>
  <si>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</si>
  <si>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</si>
  <si>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</si>
  <si>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</si>
  <si>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</si>
  <si>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</si>
  <si>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</si>
  <si>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</si>
  <si>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</si>
  <si>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</si>
  <si>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</si>
  <si>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</si>
  <si>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</si>
  <si>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</si>
  <si>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</si>
  <si>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</si>
  <si>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</si>
  <si>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</si>
  <si>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</si>
  <si>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</si>
  <si>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</si>
  <si>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</si>
  <si>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</si>
  <si>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</si>
  <si>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</si>
  <si>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</si>
  <si>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</si>
  <si>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</si>
  <si>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</si>
  <si>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</si>
  <si>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</si>
  <si>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</si>
  <si>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</si>
  <si>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</si>
  <si>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</si>
  <si>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</si>
  <si>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</si>
  <si>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</si>
  <si>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</si>
  <si>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</si>
  <si>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</si>
  <si>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</si>
  <si>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</si>
  <si>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</si>
  <si>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</si>
  <si>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</si>
  <si>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</si>
  <si>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</si>
  <si>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Prihodi za mjesec April</t>
  </si>
  <si>
    <t>Prihodi za period Januar - April</t>
  </si>
  <si>
    <t>Rashodi za mjesec April</t>
  </si>
  <si>
    <t>Suficit/Deficit za mjesec April</t>
  </si>
  <si>
    <t>Rashodi za period Januar - April</t>
  </si>
  <si>
    <t>Suficit/Deficit za period Januar -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</si>
</sst>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fmlaLink="[1]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2021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april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2022. godine iznosili su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586.6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11.3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prethodnu godinu prihodi su veći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21,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januaru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april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634.9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BDP-a 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niovu su pro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logodi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nje potro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nje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potrošnje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planirane, izdaci su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.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posmatranom periodu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36,4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0,7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120,5 mil. € ili 76,8% niže od planiranog, odnosno 107 mil. € ili 74,6% niže od zabilježenog u istom periodu 2021.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[1]Master!G279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[1]Master!G11" fLocksText="0">
      <xdr:nvSpPr>
        <xdr:cNvPr id="7" name="Rounded Rectangl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9089" name="Option Button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9090" name="Option Button 2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jan.paunovic/Desktop/MoF/Budzet/izvrsenje%20budzeta/Izvjestaji/Izvjestaji%202022/Januar%20GDDS/GDD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2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6">
          <cell r="G6" t="str">
            <v>Crna Gora</v>
          </cell>
        </row>
        <row r="7">
          <cell r="G7" t="str">
            <v>Ministarstvo finansija i socijalnog staranja</v>
          </cell>
        </row>
        <row r="8">
          <cell r="G8" t="str">
            <v>Direktorat za državni budžet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2022-04</v>
      </c>
      <c r="O6" s="143" t="str">
        <f>+CONCATENATE(N6,"p")</f>
        <v>2022-04p</v>
      </c>
      <c r="P6" s="130"/>
      <c r="Q6" s="130"/>
      <c r="R6" s="143" t="str">
        <f>+IF(Master!B3-10&gt;=0,CONCATENATE(Master!B4-1,"-",Master!B3),CONCATENATE(Master!B4-1,"-0",Master!B3))</f>
        <v>2021-04</v>
      </c>
      <c r="S6" s="130"/>
      <c r="T6" s="130"/>
    </row>
    <row r="7" spans="1:20">
      <c r="A7" s="144"/>
      <c r="B7" s="535" t="s">
        <v>692</v>
      </c>
      <c r="C7" s="536"/>
      <c r="D7" s="536"/>
      <c r="E7" s="536"/>
      <c r="F7" s="536"/>
      <c r="G7" s="544" t="s">
        <v>691</v>
      </c>
      <c r="H7" s="545"/>
      <c r="I7" s="545"/>
      <c r="J7" s="545"/>
      <c r="K7" s="545"/>
      <c r="L7" s="545"/>
      <c r="M7" s="546"/>
      <c r="N7" s="547" t="str">
        <f>+Master!G242</f>
        <v>Decembar</v>
      </c>
      <c r="O7" s="545"/>
      <c r="P7" s="545"/>
      <c r="Q7" s="545"/>
      <c r="R7" s="545"/>
      <c r="S7" s="545"/>
      <c r="T7" s="548"/>
    </row>
    <row r="8" spans="1:20">
      <c r="A8" s="144"/>
      <c r="B8" s="537"/>
      <c r="C8" s="538"/>
      <c r="D8" s="538"/>
      <c r="E8" s="538"/>
      <c r="F8" s="539"/>
      <c r="G8" s="145" t="str">
        <f>+Master!G25</f>
        <v>Ostvarenje</v>
      </c>
      <c r="H8" s="145" t="str">
        <f>+Master!G24</f>
        <v>Plan</v>
      </c>
      <c r="I8" s="533" t="str">
        <f>+Master!G260</f>
        <v>Odstupanje</v>
      </c>
      <c r="J8" s="533"/>
      <c r="K8" s="145" t="str">
        <f>+CONCATENATE(Master!G245," ",Master!B4-1)</f>
        <v>Jan - Apr 2021</v>
      </c>
      <c r="L8" s="533" t="str">
        <f>+I8</f>
        <v>Odstupanje</v>
      </c>
      <c r="M8" s="543"/>
      <c r="N8" s="146" t="str">
        <f>+G8</f>
        <v>Ostvarenje</v>
      </c>
      <c r="O8" s="145" t="str">
        <f>+H8</f>
        <v>Plan</v>
      </c>
      <c r="P8" s="533" t="str">
        <f>+I8</f>
        <v>Odstupanje</v>
      </c>
      <c r="Q8" s="533"/>
      <c r="R8" s="145" t="str">
        <f>+CONCATENATE(Master!G244," ",Master!B4-1)</f>
        <v>April 2021</v>
      </c>
      <c r="S8" s="533" t="str">
        <f>+P8</f>
        <v>Odstupanje</v>
      </c>
      <c r="T8" s="534"/>
    </row>
    <row r="9" spans="1:20" ht="15.7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3" t="str">
        <f>+VLOOKUP($A10,Master!$D$29:$G$225,4,FALSE)</f>
        <v>Prihodi budžeta</v>
      </c>
      <c r="C10" s="504"/>
      <c r="D10" s="504"/>
      <c r="E10" s="504"/>
      <c r="F10" s="504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5" t="str">
        <f>+VLOOKUP($A11,Master!$D$29:$G$225,4,FALSE)</f>
        <v>Porezi</v>
      </c>
      <c r="C11" s="506"/>
      <c r="D11" s="506"/>
      <c r="E11" s="506"/>
      <c r="F11" s="506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7" t="str">
        <f>+VLOOKUP($A12,Master!$D$29:$G$225,4,FALSE)</f>
        <v>Porez na dohodak fizičkih lica</v>
      </c>
      <c r="C12" s="508"/>
      <c r="D12" s="508"/>
      <c r="E12" s="508"/>
      <c r="F12" s="508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7" t="str">
        <f>+VLOOKUP($A13,Master!$D$29:$G$225,4,FALSE)</f>
        <v>Porez na dobit pravnih lica</v>
      </c>
      <c r="C13" s="508"/>
      <c r="D13" s="508"/>
      <c r="E13" s="508"/>
      <c r="F13" s="508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7" t="str">
        <f>+VLOOKUP($A14,Master!$D$29:$G$225,4,FALSE)</f>
        <v>Porez na promet nepokretnosti</v>
      </c>
      <c r="C14" s="508"/>
      <c r="D14" s="508"/>
      <c r="E14" s="508"/>
      <c r="F14" s="508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7" t="str">
        <f>+VLOOKUP($A15,Master!$D$29:$G$225,4,FALSE)</f>
        <v>Porez na dodatu vrijednost</v>
      </c>
      <c r="C15" s="508"/>
      <c r="D15" s="508"/>
      <c r="E15" s="508"/>
      <c r="F15" s="508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7" t="str">
        <f>+VLOOKUP($A16,Master!$D$29:$G$225,4,FALSE)</f>
        <v>Akcize</v>
      </c>
      <c r="C16" s="508"/>
      <c r="D16" s="508"/>
      <c r="E16" s="508"/>
      <c r="F16" s="508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7" t="str">
        <f>+VLOOKUP($A17,Master!$D$29:$G$225,4,FALSE)</f>
        <v>Porez na međunarodnu trgovinu i transakcije</v>
      </c>
      <c r="C17" s="508"/>
      <c r="D17" s="508"/>
      <c r="E17" s="508"/>
      <c r="F17" s="508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7" t="e">
        <f>+VLOOKUP($A18,Master!$D$29:$G$225,4,FALSE)</f>
        <v>#N/A</v>
      </c>
      <c r="C18" s="508"/>
      <c r="D18" s="508"/>
      <c r="E18" s="508"/>
      <c r="F18" s="508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7" t="str">
        <f>+VLOOKUP($A19,Master!$D$29:$G$225,4,FALSE)</f>
        <v>Ostali državni porezi</v>
      </c>
      <c r="C19" s="508"/>
      <c r="D19" s="508"/>
      <c r="E19" s="508"/>
      <c r="F19" s="508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11" t="str">
        <f>+VLOOKUP($A20,Master!$D$29:$G$225,4,FALSE)</f>
        <v>Doprinosi</v>
      </c>
      <c r="C20" s="512"/>
      <c r="D20" s="512"/>
      <c r="E20" s="512"/>
      <c r="F20" s="512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7" t="str">
        <f>+VLOOKUP($A21,Master!$D$29:$G$225,4,FALSE)</f>
        <v>Doprinosi za penzijsko i invalidsko osiguranje</v>
      </c>
      <c r="C21" s="508"/>
      <c r="D21" s="508"/>
      <c r="E21" s="508"/>
      <c r="F21" s="508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7" t="str">
        <f>+VLOOKUP($A22,Master!$D$29:$G$225,4,FALSE)</f>
        <v>Doprinosi za zdravstveno osiguranje</v>
      </c>
      <c r="C22" s="508"/>
      <c r="D22" s="508"/>
      <c r="E22" s="508"/>
      <c r="F22" s="508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7" t="str">
        <f>+VLOOKUP($A23,Master!$D$29:$G$225,4,FALSE)</f>
        <v>Doprinosi za osiguranje od nezaposlenosti</v>
      </c>
      <c r="C23" s="508"/>
      <c r="D23" s="508"/>
      <c r="E23" s="508"/>
      <c r="F23" s="508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7" t="str">
        <f>+VLOOKUP($A24,Master!$D$29:$G$225,4,FALSE)</f>
        <v>Ostali doprinosi</v>
      </c>
      <c r="C24" s="508"/>
      <c r="D24" s="508"/>
      <c r="E24" s="508"/>
      <c r="F24" s="508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9" t="str">
        <f>+VLOOKUP($A25,Master!$D$29:$G$225,4,FALSE)</f>
        <v>Takse</v>
      </c>
      <c r="C25" s="510"/>
      <c r="D25" s="510"/>
      <c r="E25" s="510"/>
      <c r="F25" s="510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9" t="str">
        <f>+VLOOKUP($A26,Master!$D$29:$G$225,4,FALSE)</f>
        <v>Naknade</v>
      </c>
      <c r="C26" s="510"/>
      <c r="D26" s="510"/>
      <c r="E26" s="510"/>
      <c r="F26" s="510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9" t="str">
        <f>+VLOOKUP($A27,Master!$D$29:$G$225,4,FALSE)</f>
        <v>Ostali prihodi</v>
      </c>
      <c r="C27" s="510"/>
      <c r="D27" s="510"/>
      <c r="E27" s="510"/>
      <c r="F27" s="510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9" t="str">
        <f>+VLOOKUP($A28,Master!$D$29:$G$225,4,FALSE)</f>
        <v>Primici od otplate kredita i sredstva prenesena iz prethodne godine</v>
      </c>
      <c r="C28" s="510"/>
      <c r="D28" s="510"/>
      <c r="E28" s="510"/>
      <c r="F28" s="510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3" t="str">
        <f>+VLOOKUP($A29,Master!$D$29:$G$225,4,FALSE)</f>
        <v>Donacije i transferi</v>
      </c>
      <c r="C29" s="514"/>
      <c r="D29" s="514"/>
      <c r="E29" s="514"/>
      <c r="F29" s="51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5" t="str">
        <f>+VLOOKUP($A30,Master!$D$29:$G$225,4,FALSE)</f>
        <v>Izdaci budžeta</v>
      </c>
      <c r="C30" s="516"/>
      <c r="D30" s="516"/>
      <c r="E30" s="516"/>
      <c r="F30" s="516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7" t="str">
        <f>+VLOOKUP($A31,Master!$D$29:$G$225,4,FALSE)</f>
        <v>Tekući izdaci</v>
      </c>
      <c r="C31" s="518"/>
      <c r="D31" s="518"/>
      <c r="E31" s="518"/>
      <c r="F31" s="518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9" t="str">
        <f>+VLOOKUP($A32,Master!$D$29:$G$225,4,FALSE)</f>
        <v>Tekuća budžetska potrošnja</v>
      </c>
      <c r="C32" s="520"/>
      <c r="D32" s="520"/>
      <c r="E32" s="520"/>
      <c r="F32" s="520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7" t="str">
        <f>+VLOOKUP($A33,Master!$D$29:$G$225,4,FALSE)</f>
        <v>Bruto zarade i doprinosi na teret poslodavca</v>
      </c>
      <c r="C33" s="508"/>
      <c r="D33" s="508"/>
      <c r="E33" s="508"/>
      <c r="F33" s="508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7" t="str">
        <f>+VLOOKUP($A34,Master!$D$29:$G$225,4,FALSE)</f>
        <v>Ostala lična primanja</v>
      </c>
      <c r="C34" s="508"/>
      <c r="D34" s="508"/>
      <c r="E34" s="508"/>
      <c r="F34" s="508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7" t="str">
        <f>+VLOOKUP($A35,Master!$D$29:$G$225,4,FALSE)</f>
        <v>Rashodi za materijal</v>
      </c>
      <c r="C35" s="508"/>
      <c r="D35" s="508"/>
      <c r="E35" s="508"/>
      <c r="F35" s="508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7" t="str">
        <f>+VLOOKUP($A36,Master!$D$29:$G$225,4,FALSE)</f>
        <v>Rashodi za usluge</v>
      </c>
      <c r="C36" s="508"/>
      <c r="D36" s="508"/>
      <c r="E36" s="508"/>
      <c r="F36" s="508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7" t="str">
        <f>+VLOOKUP($A37,Master!$D$29:$G$225,4,FALSE)</f>
        <v>Rashodi za tekuće održavanje</v>
      </c>
      <c r="C37" s="508"/>
      <c r="D37" s="508"/>
      <c r="E37" s="508"/>
      <c r="F37" s="508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7" t="str">
        <f>+VLOOKUP($A38,Master!$D$29:$G$225,4,FALSE)</f>
        <v>Kamate</v>
      </c>
      <c r="C38" s="508"/>
      <c r="D38" s="508"/>
      <c r="E38" s="508"/>
      <c r="F38" s="508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7" t="str">
        <f>+VLOOKUP($A39,Master!$D$29:$G$225,4,FALSE)</f>
        <v>Renta</v>
      </c>
      <c r="C39" s="508"/>
      <c r="D39" s="508"/>
      <c r="E39" s="508"/>
      <c r="F39" s="508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7" t="str">
        <f>+VLOOKUP($A40,Master!$D$29:$G$225,4,FALSE)</f>
        <v>Subvencije</v>
      </c>
      <c r="C40" s="508"/>
      <c r="D40" s="508"/>
      <c r="E40" s="508"/>
      <c r="F40" s="508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7" t="str">
        <f>+VLOOKUP($A41,Master!$D$29:$G$225,4,FALSE)</f>
        <v>Ostali izdaci</v>
      </c>
      <c r="C41" s="508"/>
      <c r="D41" s="508"/>
      <c r="E41" s="508"/>
      <c r="F41" s="508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7" t="e">
        <f>+VLOOKUP($A42,Master!$D$29:$G$225,4,FALSE)</f>
        <v>#N/A</v>
      </c>
      <c r="C42" s="508"/>
      <c r="D42" s="508"/>
      <c r="E42" s="508"/>
      <c r="F42" s="508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3" t="str">
        <f>+VLOOKUP($A43,Master!$D$29:$G$225,4,FALSE)</f>
        <v>Transferi za socijalnu zaštitu</v>
      </c>
      <c r="C43" s="524"/>
      <c r="D43" s="524"/>
      <c r="E43" s="524"/>
      <c r="F43" s="524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7" t="str">
        <f>+VLOOKUP($A44,Master!$D$29:$G$225,4,FALSE)</f>
        <v>Prava iz oblasti socijalne zaštite</v>
      </c>
      <c r="C44" s="508"/>
      <c r="D44" s="508"/>
      <c r="E44" s="508"/>
      <c r="F44" s="508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7" t="str">
        <f>+VLOOKUP($A45,Master!$D$29:$G$225,4,FALSE)</f>
        <v>Sredstva za tehnološke viškove</v>
      </c>
      <c r="C45" s="508"/>
      <c r="D45" s="508"/>
      <c r="E45" s="508"/>
      <c r="F45" s="508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7" t="str">
        <f>+VLOOKUP($A46,Master!$D$29:$G$225,4,FALSE)</f>
        <v>Prava iz oblasti penzijskog i invalidskog osiguranja</v>
      </c>
      <c r="C46" s="508"/>
      <c r="D46" s="508"/>
      <c r="E46" s="508"/>
      <c r="F46" s="508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7" t="str">
        <f>+VLOOKUP($A47,Master!$D$29:$G$225,4,FALSE)</f>
        <v>Ostala prava iz oblasti zdravstvene zaštite</v>
      </c>
      <c r="C47" s="508"/>
      <c r="D47" s="508"/>
      <c r="E47" s="508"/>
      <c r="F47" s="508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7" t="str">
        <f>+VLOOKUP($A48,Master!$D$29:$G$225,4,FALSE)</f>
        <v>Ostala prava iz zdravstvenog osiguranja</v>
      </c>
      <c r="C48" s="508"/>
      <c r="D48" s="508"/>
      <c r="E48" s="508"/>
      <c r="F48" s="508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21" t="str">
        <f>+VLOOKUP($A49,Master!$D$29:$G$225,4,FALSE)</f>
        <v xml:space="preserve">Transferi institucijama, pojedincima, nevladinom i javnom sektoru </v>
      </c>
      <c r="C49" s="522"/>
      <c r="D49" s="522"/>
      <c r="E49" s="522"/>
      <c r="F49" s="522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21" t="str">
        <f>+VLOOKUP($A50,Master!$D$29:$G$225,4,FALSE)</f>
        <v>Kapitalni izdaci</v>
      </c>
      <c r="C50" s="522"/>
      <c r="D50" s="522"/>
      <c r="E50" s="522"/>
      <c r="F50" s="522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5" t="str">
        <f>+VLOOKUP($A51,Master!$D$29:$G$225,4,FALSE)</f>
        <v>Pozajmice i krediti</v>
      </c>
      <c r="C51" s="526"/>
      <c r="D51" s="526"/>
      <c r="E51" s="526"/>
      <c r="F51" s="526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5" t="str">
        <f>+VLOOKUP($A52,Master!$D$29:$G$225,4,FALSE)</f>
        <v>Rezerve</v>
      </c>
      <c r="C52" s="526"/>
      <c r="D52" s="526"/>
      <c r="E52" s="526"/>
      <c r="F52" s="526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7" t="str">
        <f>+VLOOKUP($A53,Master!$D$29:$G$225,4,FALSE)</f>
        <v>Otplata garancija</v>
      </c>
      <c r="C53" s="528"/>
      <c r="D53" s="528"/>
      <c r="E53" s="528"/>
      <c r="F53" s="528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7" t="str">
        <f>+VLOOKUP($A54,Master!$D$29:$G$225,4,FALSE)</f>
        <v>Otplata obaveza iz prethodnog perioda</v>
      </c>
      <c r="C54" s="528"/>
      <c r="D54" s="528"/>
      <c r="E54" s="528"/>
      <c r="F54" s="528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7" t="str">
        <f>+VLOOKUP($A55,Master!$D$29:$G$227,4,FALSE)</f>
        <v>Neto povećanje obaveza</v>
      </c>
      <c r="C55" s="528"/>
      <c r="D55" s="528"/>
      <c r="E55" s="528"/>
      <c r="F55" s="528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9" t="str">
        <f>+VLOOKUP($A56,Master!$D$29:$G$225,4,FALSE)</f>
        <v>Suficit / deficit</v>
      </c>
      <c r="C56" s="530"/>
      <c r="D56" s="530"/>
      <c r="E56" s="530"/>
      <c r="F56" s="530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1" t="str">
        <f>+VLOOKUP($A57,Master!$D$29:$G$225,4,FALSE)</f>
        <v>Primarni suficit/deficit</v>
      </c>
      <c r="C57" s="532"/>
      <c r="D57" s="532"/>
      <c r="E57" s="532"/>
      <c r="F57" s="532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3" t="str">
        <f>+VLOOKUP($A58,Master!$D$29:$G$225,4,FALSE)</f>
        <v>Otplata dugova</v>
      </c>
      <c r="C58" s="524"/>
      <c r="D58" s="524"/>
      <c r="E58" s="524"/>
      <c r="F58" s="524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9" t="str">
        <f>+VLOOKUP($A59,Master!$D$29:$G$225,4,FALSE)</f>
        <v>Otplata hartija od vrijednosti i kredita rezidentima</v>
      </c>
      <c r="C59" s="550"/>
      <c r="D59" s="550"/>
      <c r="E59" s="550"/>
      <c r="F59" s="550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5" t="str">
        <f>+VLOOKUP($A60,Master!$D$29:$G$225,4,FALSE)</f>
        <v>Otplata hartija od vrijednosti i kredita nerezidentima</v>
      </c>
      <c r="C60" s="526"/>
      <c r="D60" s="526"/>
      <c r="E60" s="526"/>
      <c r="F60" s="526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51" t="str">
        <f>+VLOOKUP($A62,Master!$D$29:$G$225,4,FALSE)</f>
        <v>Nedostajuća sredstva</v>
      </c>
      <c r="C62" s="552"/>
      <c r="D62" s="552"/>
      <c r="E62" s="552"/>
      <c r="F62" s="552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5" t="str">
        <f>+VLOOKUP($A63,Master!$D$29:$G$225,4,FALSE)</f>
        <v>Finansiranje</v>
      </c>
      <c r="C63" s="516"/>
      <c r="D63" s="516"/>
      <c r="E63" s="516"/>
      <c r="F63" s="516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9" t="str">
        <f>+VLOOKUP($A64,Master!$D$29:$G$225,4,FALSE)</f>
        <v>Pozajmice i krediti od domaćih izvora</v>
      </c>
      <c r="C64" s="550"/>
      <c r="D64" s="550"/>
      <c r="E64" s="550"/>
      <c r="F64" s="550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5" t="str">
        <f>+VLOOKUP($A65,Master!$D$29:$G$225,4,FALSE)</f>
        <v>Pozajmice i krediti od inostranih izvora</v>
      </c>
      <c r="C65" s="526"/>
      <c r="D65" s="526"/>
      <c r="E65" s="526"/>
      <c r="F65" s="526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5" t="str">
        <f>+VLOOKUP($A66,Master!$D$29:$G$225,4,FALSE)</f>
        <v>Primici od prodaje imovine</v>
      </c>
      <c r="C66" s="526"/>
      <c r="D66" s="526"/>
      <c r="E66" s="526"/>
      <c r="F66" s="526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24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April</v>
      </c>
    </row>
    <row r="245" spans="4:7">
      <c r="D245" s="49"/>
      <c r="E245" s="9"/>
      <c r="F245" s="10"/>
      <c r="G245" s="52" t="str">
        <f>+CONCATENATE("Jan - ",LEFT(G244,3))</f>
        <v>Jan - Apr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Apr</v>
      </c>
      <c r="F253" s="10" t="str">
        <f>+CONCATENATE("Analytics for period ",G245)</f>
        <v>Analytics for period Jan - Apr</v>
      </c>
      <c r="G253" s="52" t="str">
        <f>+IF(ISBLANK(IF($B$2=1,E253,F253)),"",IF($B$2=1,E253,F253))</f>
        <v>Analitika za period Jan - Apr</v>
      </c>
    </row>
    <row r="254" spans="4:7">
      <c r="D254" s="46"/>
      <c r="E254" s="9" t="str">
        <f>+CONCATENATE("Analitika za period ",G244)</f>
        <v>Analitika za period April</v>
      </c>
      <c r="F254" s="10" t="str">
        <f>+CONCATENATE("Analytics for period ",G244)</f>
        <v>Analytics for period April</v>
      </c>
      <c r="G254" s="52" t="str">
        <f>+IF(ISBLANK(IF($B$2=1,E254,F254)),"",IF($B$2=1,E254,F254))</f>
        <v>Analitika za period April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April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April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April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April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April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April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L32"/>
  <sheetViews>
    <sheetView zoomScaleNormal="100" workbookViewId="0">
      <selection activeCell="S29" sqref="S29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+[1]Master!G6</f>
        <v>Crna Gora</v>
      </c>
      <c r="I2" s="129"/>
    </row>
    <row r="3" spans="3:11" s="126" customFormat="1">
      <c r="E3" s="129" t="str">
        <f>+[1]Master!G7</f>
        <v>Ministarstvo finansija i socijalnog staranja</v>
      </c>
    </row>
    <row r="4" spans="3:11" s="126" customFormat="1">
      <c r="E4" s="129" t="str">
        <f>+[1]Master!G8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">
        <v>840</v>
      </c>
      <c r="E11" s="135"/>
      <c r="F11" s="135"/>
      <c r="G11" s="137" t="s">
        <v>841</v>
      </c>
      <c r="H11" s="135"/>
      <c r="I11" s="135"/>
      <c r="J11" s="135"/>
      <c r="K11" s="136"/>
    </row>
    <row r="12" spans="3:11">
      <c r="C12" s="134"/>
      <c r="D12" s="138">
        <f>'2022'!J10</f>
        <v>181994151.28</v>
      </c>
      <c r="E12" s="455">
        <f>D12/'2022'!$T$7</f>
        <v>3.4297103738881354E-2</v>
      </c>
      <c r="F12" s="135"/>
      <c r="G12" s="138">
        <f>'2022'!S10</f>
        <v>598554722.5</v>
      </c>
      <c r="H12" s="455">
        <f>G12/'2022'!$T$7</f>
        <v>0.11279864361902608</v>
      </c>
      <c r="I12" s="135"/>
      <c r="J12" s="135"/>
      <c r="K12" s="136"/>
    </row>
    <row r="13" spans="3:11">
      <c r="C13" s="134"/>
      <c r="D13" s="139" t="s">
        <v>417</v>
      </c>
      <c r="E13" s="139" t="s">
        <v>810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">
        <v>842</v>
      </c>
      <c r="E15" s="135"/>
      <c r="F15" s="135"/>
      <c r="G15" s="137" t="s">
        <v>844</v>
      </c>
      <c r="H15" s="135"/>
      <c r="I15" s="135"/>
      <c r="J15" s="135"/>
      <c r="K15" s="136"/>
    </row>
    <row r="16" spans="3:11">
      <c r="C16" s="134"/>
      <c r="D16" s="138">
        <f>'2022'!J29</f>
        <v>196316924.41999996</v>
      </c>
      <c r="E16" s="455">
        <f>D16/'2022'!$T$7</f>
        <v>3.6996254413538363E-2</v>
      </c>
      <c r="F16" s="135"/>
      <c r="G16" s="138">
        <f>'2022'!S29</f>
        <v>634916138.03999996</v>
      </c>
      <c r="H16" s="455">
        <f>G16/'2022'!$T$7</f>
        <v>0.11965101350067842</v>
      </c>
      <c r="I16" s="135"/>
      <c r="J16" s="135"/>
      <c r="K16" s="136"/>
    </row>
    <row r="17" spans="3:12">
      <c r="C17" s="134"/>
      <c r="D17" s="139" t="s">
        <v>417</v>
      </c>
      <c r="E17" s="139" t="s">
        <v>810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">
        <v>843</v>
      </c>
      <c r="E19" s="135"/>
      <c r="F19" s="135"/>
      <c r="G19" s="137" t="s">
        <v>845</v>
      </c>
      <c r="H19" s="135"/>
      <c r="I19" s="135"/>
      <c r="J19" s="135"/>
      <c r="K19" s="136"/>
    </row>
    <row r="20" spans="3:12">
      <c r="C20" s="134"/>
      <c r="D20" s="138">
        <f>'2022'!J53</f>
        <v>-14322773.139999956</v>
      </c>
      <c r="E20" s="455">
        <f>D20/'2022'!$T$7</f>
        <v>-2.6991506746570095E-3</v>
      </c>
      <c r="F20" s="135"/>
      <c r="G20" s="138">
        <f>'2022'!S53</f>
        <v>-36361415.539999947</v>
      </c>
      <c r="H20" s="455">
        <f>G20/'2022'!$T$7</f>
        <v>-6.8523698816523341E-3</v>
      </c>
      <c r="I20" s="135"/>
      <c r="J20" s="135"/>
      <c r="K20" s="136"/>
    </row>
    <row r="21" spans="3:12">
      <c r="C21" s="134"/>
      <c r="D21" s="139" t="s">
        <v>417</v>
      </c>
      <c r="E21" s="139" t="s">
        <v>810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/6Q0BvRDa8Lr6gxewLLOiTqt7VSsrIKrlezT7HOBiclLw9Xe1Qou0bsM4lP1TovsINyoHdzIuBFNmDmubcQjeQ==" saltValue="CASe5dBkzg9sXe5+Py+Zbw==" spinCount="100000" sheet="1" objects="1" scenarios="1" selectLockedCells="1" selectUnlockedCell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3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4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="85" zoomScaleNormal="85" workbookViewId="0">
      <pane ySplit="5" topLeftCell="A27" activePane="bottomLeft" state="frozen"/>
      <selection activeCell="DK219" sqref="DK219"/>
      <selection pane="bottomLeft" activeCell="L53" sqref="L5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4"/>
      <c r="P4" s="484"/>
      <c r="Q4" s="484"/>
    </row>
    <row r="5" spans="1:20" s="1" customFormat="1">
      <c r="B5" s="484"/>
      <c r="G5" s="163"/>
      <c r="H5" s="163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2022-04</v>
      </c>
      <c r="O6" s="143" t="str">
        <f>+CONCATENATE(N6,"p")</f>
        <v>2022-04p</v>
      </c>
      <c r="P6" s="130"/>
      <c r="Q6" s="130"/>
      <c r="R6" s="143" t="str">
        <f>+IF(Master!B3-10&gt;=0,CONCATENATE(Master!B4-1,"-",Master!B3),CONCATENATE(Master!B4-1,"-0",Master!B3))</f>
        <v>2021-04</v>
      </c>
      <c r="S6" s="130"/>
      <c r="T6" s="130"/>
    </row>
    <row r="7" spans="1:20" ht="14.25" customHeight="1">
      <c r="A7" s="144"/>
      <c r="B7" s="535" t="str">
        <f>+Master!G253</f>
        <v>Analitika za period Jan - Apr</v>
      </c>
      <c r="C7" s="536"/>
      <c r="D7" s="536"/>
      <c r="E7" s="536"/>
      <c r="F7" s="536"/>
      <c r="G7" s="544" t="str">
        <f>+Master!G245</f>
        <v>Jan - Apr</v>
      </c>
      <c r="H7" s="545"/>
      <c r="I7" s="545"/>
      <c r="J7" s="545"/>
      <c r="K7" s="545"/>
      <c r="L7" s="545"/>
      <c r="M7" s="546"/>
      <c r="N7" s="547" t="str">
        <f>+Master!G244</f>
        <v>April</v>
      </c>
      <c r="O7" s="545"/>
      <c r="P7" s="545"/>
      <c r="Q7" s="545"/>
      <c r="R7" s="545"/>
      <c r="S7" s="545"/>
      <c r="T7" s="548"/>
    </row>
    <row r="8" spans="1:20">
      <c r="A8" s="144"/>
      <c r="B8" s="537"/>
      <c r="C8" s="538"/>
      <c r="D8" s="538"/>
      <c r="E8" s="538"/>
      <c r="F8" s="539"/>
      <c r="G8" s="357" t="str">
        <f>+Master!G25</f>
        <v>Ostvarenje</v>
      </c>
      <c r="H8" s="145" t="str">
        <f>+Master!G24</f>
        <v>Plan</v>
      </c>
      <c r="I8" s="533" t="str">
        <f>+Master!G260</f>
        <v>Odstupanje</v>
      </c>
      <c r="J8" s="533"/>
      <c r="K8" s="145" t="str">
        <f>+CONCATENATE(Master!G245," ",Master!B4-1)</f>
        <v>Jan - Apr 2021</v>
      </c>
      <c r="L8" s="533" t="str">
        <f>+I8</f>
        <v>Odstupanje</v>
      </c>
      <c r="M8" s="543"/>
      <c r="N8" s="146" t="str">
        <f>+G8</f>
        <v>Ostvarenje</v>
      </c>
      <c r="O8" s="145" t="str">
        <f>+H8</f>
        <v>Plan</v>
      </c>
      <c r="P8" s="533" t="str">
        <f>+I8</f>
        <v>Odstupanje</v>
      </c>
      <c r="Q8" s="533"/>
      <c r="R8" s="145" t="str">
        <f>+CONCATENATE(Master!G244," ",Master!B4-1)</f>
        <v>April 2021</v>
      </c>
      <c r="S8" s="533" t="str">
        <f>+P8</f>
        <v>Odstupanje</v>
      </c>
      <c r="T8" s="534"/>
    </row>
    <row r="9" spans="1:20" ht="15.75" thickBot="1">
      <c r="A9" s="144"/>
      <c r="B9" s="540"/>
      <c r="C9" s="541"/>
      <c r="D9" s="541"/>
      <c r="E9" s="541"/>
      <c r="F9" s="542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5" t="str">
        <f>+VLOOKUP($A10,Master!$D$29:$G$225,4,FALSE)</f>
        <v>Prihodi budžeta</v>
      </c>
      <c r="C10" s="516"/>
      <c r="D10" s="516"/>
      <c r="E10" s="516"/>
      <c r="F10" s="516"/>
      <c r="G10" s="151">
        <f>'2022'!S10</f>
        <v>598554722.5</v>
      </c>
      <c r="H10" s="151">
        <f>SUM('2022'!G84:J84)</f>
        <v>527985357.86068571</v>
      </c>
      <c r="I10" s="152">
        <f>+G10-H10</f>
        <v>70569364.639314294</v>
      </c>
      <c r="J10" s="154">
        <f>IF(+IF(ISERROR(G10/H10),"…",G10/H10-1)&gt;200%,"...",IF(ISERROR(G10/H10),"…",G10/H10-1))</f>
        <v>0.1336578062036613</v>
      </c>
      <c r="K10" s="151">
        <f>SUM('2021'!G10:J10)</f>
        <v>492535470.15999997</v>
      </c>
      <c r="L10" s="152">
        <f>+G10-K10</f>
        <v>106019252.34000003</v>
      </c>
      <c r="M10" s="154">
        <f>IF(+IF(ISERROR(G10/K10),"…",G10/K10-1)&gt;200%,"...",IF(ISERROR(G10/K10),"…",G10/K10-1))</f>
        <v>0.21525201485602596</v>
      </c>
      <c r="N10" s="151">
        <f>'2022'!J10</f>
        <v>181994151.28</v>
      </c>
      <c r="O10" s="151">
        <f>'2022'!J84</f>
        <v>161889007.68791279</v>
      </c>
      <c r="P10" s="152">
        <f>+N10-O10</f>
        <v>20105143.592087209</v>
      </c>
      <c r="Q10" s="154">
        <f>IF(+IF(ISERROR(N10/O10),"…",N10/O10-1)&gt;200%,"...",IF(ISERROR(N10/O10),"…",N10/O10-1))</f>
        <v>0.12419091252227332</v>
      </c>
      <c r="R10" s="151">
        <f>'2021'!I10</f>
        <v>154192756.19</v>
      </c>
      <c r="S10" s="152">
        <f>+N10-R10</f>
        <v>27801395.090000004</v>
      </c>
      <c r="T10" s="154">
        <f>IF(+IF(ISERROR(N10/R10),"…",N10/R10-1)&gt;200%,"...",IF(ISERROR(N10/R10),"…",N10/R10-1))</f>
        <v>0.18030286102248838</v>
      </c>
    </row>
    <row r="11" spans="1:20">
      <c r="A11" s="150">
        <v>711</v>
      </c>
      <c r="B11" s="505" t="str">
        <f>+VLOOKUP($A11,Master!$D$29:$G$225,4,FALSE)</f>
        <v>Porezi</v>
      </c>
      <c r="C11" s="506"/>
      <c r="D11" s="506"/>
      <c r="E11" s="506"/>
      <c r="F11" s="506"/>
      <c r="G11" s="277">
        <f>'2022'!S11</f>
        <v>434117319.49000007</v>
      </c>
      <c r="H11" s="277">
        <f>SUM('2022'!G85:J85)</f>
        <v>360641841.14662415</v>
      </c>
      <c r="I11" s="158">
        <f t="shared" ref="I11:I57" si="0">+G11-H11</f>
        <v>73475478.343375921</v>
      </c>
      <c r="J11" s="160">
        <f t="shared" ref="J11:J64" si="1">IF(+IF(ISERROR(G11/H11-1),"…",G11/H11-1)&gt;200%,"...",IF(ISERROR(G11/H11-1),"…",G11/H11-1))</f>
        <v>0.20373531287930446</v>
      </c>
      <c r="K11" s="277">
        <f>SUM('2021'!G11:J11)</f>
        <v>321253401.16000003</v>
      </c>
      <c r="L11" s="158">
        <f>+G11-K11</f>
        <v>112863918.33000004</v>
      </c>
      <c r="M11" s="160">
        <f t="shared" ref="M11:M64" si="2">IF(+IF(ISERROR(G11/K11),"…",G11/K11-1)&gt;200%,"...",IF(ISERROR(G11/K11),"…",G11/K11-1))</f>
        <v>0.35132365267562804</v>
      </c>
      <c r="N11" s="277">
        <f>'2022'!J11</f>
        <v>133978505.54000001</v>
      </c>
      <c r="O11" s="277">
        <f>'2022'!J85</f>
        <v>109215070.37754746</v>
      </c>
      <c r="P11" s="158">
        <f>+N11-O11</f>
        <v>24763435.162452549</v>
      </c>
      <c r="Q11" s="160">
        <f t="shared" ref="Q11:Q64" si="3">IF(+IF(ISERROR(N11/O11),"…",N11/O11-1)&gt;200%,"...",IF(ISERROR(N11/O11),"…",N11/O11-1))</f>
        <v>0.2267400925242955</v>
      </c>
      <c r="R11" s="277">
        <f>'2021'!I11</f>
        <v>99466337.219999999</v>
      </c>
      <c r="S11" s="158">
        <f t="shared" ref="S11:S57" si="4">+N11-R11</f>
        <v>34512168.320000008</v>
      </c>
      <c r="T11" s="160">
        <f t="shared" ref="T11:T64" si="5">IF(+IF(ISERROR(N11/R11),"…",N11/R11-1)&gt;200%,"...",IF(ISERROR(N11/R11),"…",N11/R11-1))</f>
        <v>0.346973350829898</v>
      </c>
    </row>
    <row r="12" spans="1:20">
      <c r="A12" s="150">
        <v>7111</v>
      </c>
      <c r="B12" s="507" t="str">
        <f>+VLOOKUP($A12,Master!$D$29:$G$225,4,FALSE)</f>
        <v>Porez na dohodak fizičkih lica</v>
      </c>
      <c r="C12" s="508"/>
      <c r="D12" s="508"/>
      <c r="E12" s="508"/>
      <c r="F12" s="508"/>
      <c r="G12" s="163">
        <f>'2022'!S12</f>
        <v>28527686.41</v>
      </c>
      <c r="H12" s="163">
        <f>SUM('2022'!G86:J86)</f>
        <v>35807797.813836746</v>
      </c>
      <c r="I12" s="164">
        <f t="shared" si="0"/>
        <v>-7280111.4038367458</v>
      </c>
      <c r="J12" s="166">
        <f t="shared" si="1"/>
        <v>-0.20331078279892389</v>
      </c>
      <c r="K12" s="163">
        <f>SUM('2021'!G12:J12)</f>
        <v>31997644.600000001</v>
      </c>
      <c r="L12" s="164">
        <f>+G12-K12</f>
        <v>-3469958.1900000013</v>
      </c>
      <c r="M12" s="166">
        <f t="shared" si="2"/>
        <v>-0.1084441756066008</v>
      </c>
      <c r="N12" s="163">
        <f>'2022'!J12</f>
        <v>8050769.3899999997</v>
      </c>
      <c r="O12" s="163">
        <f>'2022'!J86</f>
        <v>12249334.247183047</v>
      </c>
      <c r="P12" s="164">
        <f t="shared" ref="P12:P57" si="6">+N12-O12</f>
        <v>-4198564.8571830476</v>
      </c>
      <c r="Q12" s="166">
        <f t="shared" si="3"/>
        <v>-0.34275861630182736</v>
      </c>
      <c r="R12" s="163">
        <f>'2021'!I12</f>
        <v>10457309.710000001</v>
      </c>
      <c r="S12" s="164">
        <f t="shared" si="4"/>
        <v>-2406540.3200000012</v>
      </c>
      <c r="T12" s="166">
        <f t="shared" si="5"/>
        <v>-0.23012996523366824</v>
      </c>
    </row>
    <row r="13" spans="1:20">
      <c r="A13" s="150">
        <v>7112</v>
      </c>
      <c r="B13" s="507" t="str">
        <f>+VLOOKUP($A13,Master!$D$29:$G$225,4,FALSE)</f>
        <v>Porez na dobit pravnih lica</v>
      </c>
      <c r="C13" s="508"/>
      <c r="D13" s="508"/>
      <c r="E13" s="508"/>
      <c r="F13" s="508"/>
      <c r="G13" s="163">
        <f>'2022'!S13</f>
        <v>70019960.789999992</v>
      </c>
      <c r="H13" s="163">
        <f>SUM('2022'!G87:J87)</f>
        <v>54535394.062304914</v>
      </c>
      <c r="I13" s="164">
        <f t="shared" si="0"/>
        <v>15484566.727695078</v>
      </c>
      <c r="J13" s="166">
        <f t="shared" si="1"/>
        <v>0.28393609313622026</v>
      </c>
      <c r="K13" s="163">
        <f>SUM('2021'!G13:J13)</f>
        <v>48642282.089999996</v>
      </c>
      <c r="L13" s="164">
        <f t="shared" ref="L13:L57" si="7">+G13-K13</f>
        <v>21377678.699999996</v>
      </c>
      <c r="M13" s="166">
        <f t="shared" si="2"/>
        <v>0.43948757709282882</v>
      </c>
      <c r="N13" s="163">
        <f>'2022'!J13</f>
        <v>28771681.68</v>
      </c>
      <c r="O13" s="163">
        <f>'2022'!J87</f>
        <v>22814989.281143885</v>
      </c>
      <c r="P13" s="164">
        <f t="shared" si="6"/>
        <v>5956692.3988561146</v>
      </c>
      <c r="Q13" s="166">
        <f t="shared" si="3"/>
        <v>0.26108679366241017</v>
      </c>
      <c r="R13" s="163">
        <f>'2021'!I13</f>
        <v>28472275</v>
      </c>
      <c r="S13" s="164">
        <f t="shared" si="4"/>
        <v>299406.6799999997</v>
      </c>
      <c r="T13" s="166">
        <f t="shared" si="5"/>
        <v>1.0515727317188306E-2</v>
      </c>
    </row>
    <row r="14" spans="1:20">
      <c r="A14" s="150">
        <v>7113</v>
      </c>
      <c r="B14" s="507" t="str">
        <f>+VLOOKUP($A14,Master!$D$29:$G$225,4,FALSE)</f>
        <v>Porez na promet nepokretnosti</v>
      </c>
      <c r="C14" s="508"/>
      <c r="D14" s="508"/>
      <c r="E14" s="508"/>
      <c r="F14" s="508"/>
      <c r="G14" s="163">
        <f>'2022'!S14</f>
        <v>793573.93</v>
      </c>
      <c r="H14" s="163">
        <f>SUM('2022'!G88:J88)</f>
        <v>607042.51859226706</v>
      </c>
      <c r="I14" s="164">
        <f t="shared" si="0"/>
        <v>186531.41140773299</v>
      </c>
      <c r="J14" s="166">
        <f t="shared" si="1"/>
        <v>0.30727898902419515</v>
      </c>
      <c r="K14" s="163">
        <f>SUM('2021'!G14:J14)</f>
        <v>449543.81999999995</v>
      </c>
      <c r="L14" s="164">
        <f t="shared" si="7"/>
        <v>344030.1100000001</v>
      </c>
      <c r="M14" s="166">
        <f t="shared" si="2"/>
        <v>0.76528715265177083</v>
      </c>
      <c r="N14" s="163">
        <f>'2022'!J14</f>
        <v>245580.28</v>
      </c>
      <c r="O14" s="163">
        <f>'2022'!J88</f>
        <v>168679.89751277707</v>
      </c>
      <c r="P14" s="164">
        <f t="shared" si="6"/>
        <v>76900.382487222931</v>
      </c>
      <c r="Q14" s="166">
        <f t="shared" si="3"/>
        <v>0.45589535932340675</v>
      </c>
      <c r="R14" s="163">
        <f>'2021'!I14</f>
        <v>106253.15</v>
      </c>
      <c r="S14" s="164">
        <f t="shared" si="4"/>
        <v>139327.13</v>
      </c>
      <c r="T14" s="166">
        <f t="shared" si="5"/>
        <v>1.3112752892502484</v>
      </c>
    </row>
    <row r="15" spans="1:20">
      <c r="A15" s="150">
        <v>7114</v>
      </c>
      <c r="B15" s="507" t="str">
        <f>+VLOOKUP($A15,Master!$D$29:$G$225,4,FALSE)</f>
        <v>Porez na dodatu vrijednost</v>
      </c>
      <c r="C15" s="508"/>
      <c r="D15" s="508"/>
      <c r="E15" s="508"/>
      <c r="F15" s="508"/>
      <c r="G15" s="163">
        <f>'2022'!S15</f>
        <v>244898670.87</v>
      </c>
      <c r="H15" s="163">
        <f>SUM('2022'!G89:J89)</f>
        <v>192008261.16794083</v>
      </c>
      <c r="I15" s="164">
        <f t="shared" si="0"/>
        <v>52890409.70205918</v>
      </c>
      <c r="J15" s="166">
        <f t="shared" si="1"/>
        <v>0.2754590317121739</v>
      </c>
      <c r="K15" s="163">
        <f>SUM('2021'!G15:J15)</f>
        <v>171805579.81</v>
      </c>
      <c r="L15" s="164">
        <f t="shared" si="7"/>
        <v>73093091.060000002</v>
      </c>
      <c r="M15" s="166">
        <f t="shared" si="2"/>
        <v>0.42544072864707738</v>
      </c>
      <c r="N15" s="163">
        <f>'2022'!J15</f>
        <v>73487462.640000001</v>
      </c>
      <c r="O15" s="163">
        <f>'2022'!J89</f>
        <v>53003514.578586213</v>
      </c>
      <c r="P15" s="164">
        <f t="shared" si="6"/>
        <v>20483948.061413787</v>
      </c>
      <c r="Q15" s="166">
        <f t="shared" si="3"/>
        <v>0.38646395855586224</v>
      </c>
      <c r="R15" s="163">
        <f>'2021'!I15</f>
        <v>44544288.810000002</v>
      </c>
      <c r="S15" s="164">
        <f t="shared" si="4"/>
        <v>28943173.829999998</v>
      </c>
      <c r="T15" s="166">
        <f t="shared" si="5"/>
        <v>0.64976172261846465</v>
      </c>
    </row>
    <row r="16" spans="1:20">
      <c r="A16" s="150">
        <v>7115</v>
      </c>
      <c r="B16" s="507" t="str">
        <f>+VLOOKUP($A16,Master!$D$29:$G$225,4,FALSE)</f>
        <v>Akcize</v>
      </c>
      <c r="C16" s="508"/>
      <c r="D16" s="508"/>
      <c r="E16" s="508"/>
      <c r="F16" s="508"/>
      <c r="G16" s="163">
        <f>'2022'!S16</f>
        <v>75947887.25999999</v>
      </c>
      <c r="H16" s="163">
        <f>SUM('2022'!G90:J90)</f>
        <v>65801683.759379178</v>
      </c>
      <c r="I16" s="164">
        <f t="shared" si="0"/>
        <v>10146203.500620812</v>
      </c>
      <c r="J16" s="166">
        <f t="shared" si="1"/>
        <v>0.15419367592055888</v>
      </c>
      <c r="K16" s="163">
        <f>SUM('2021'!G16:J16)</f>
        <v>57939694.609999999</v>
      </c>
      <c r="L16" s="164">
        <f t="shared" si="7"/>
        <v>18008192.649999991</v>
      </c>
      <c r="M16" s="166">
        <f t="shared" si="2"/>
        <v>0.31080924349387051</v>
      </c>
      <c r="N16" s="163">
        <f>'2022'!J16</f>
        <v>19259652.579999998</v>
      </c>
      <c r="O16" s="163">
        <f>'2022'!J90</f>
        <v>17361043.168040603</v>
      </c>
      <c r="P16" s="164">
        <f t="shared" si="6"/>
        <v>1898609.4119593948</v>
      </c>
      <c r="Q16" s="166">
        <f t="shared" si="3"/>
        <v>0.10936033011279434</v>
      </c>
      <c r="R16" s="163">
        <f>'2021'!I16</f>
        <v>12802969.220000001</v>
      </c>
      <c r="S16" s="164">
        <f t="shared" si="4"/>
        <v>6456683.3599999975</v>
      </c>
      <c r="T16" s="166">
        <f t="shared" si="5"/>
        <v>0.5043114022264279</v>
      </c>
    </row>
    <row r="17" spans="1:20">
      <c r="A17" s="150">
        <v>7116</v>
      </c>
      <c r="B17" s="507" t="str">
        <f>+VLOOKUP($A17,Master!$D$29:$G$225,4,FALSE)</f>
        <v>Porez na međunarodnu trgovinu i transakcije</v>
      </c>
      <c r="C17" s="508"/>
      <c r="D17" s="508"/>
      <c r="E17" s="508"/>
      <c r="F17" s="508"/>
      <c r="G17" s="163">
        <f>'2022'!S17</f>
        <v>10234284.01</v>
      </c>
      <c r="H17" s="163">
        <f>SUM('2022'!G91:J91)</f>
        <v>8378937.4783964045</v>
      </c>
      <c r="I17" s="164">
        <f t="shared" si="0"/>
        <v>1855346.5316035952</v>
      </c>
      <c r="J17" s="166">
        <f t="shared" si="1"/>
        <v>0.22142980973271076</v>
      </c>
      <c r="K17" s="163">
        <f>SUM('2021'!G17:J17)</f>
        <v>7175474.5800000001</v>
      </c>
      <c r="L17" s="164">
        <f t="shared" si="7"/>
        <v>3058809.4299999997</v>
      </c>
      <c r="M17" s="166">
        <f t="shared" si="2"/>
        <v>0.42628670701806026</v>
      </c>
      <c r="N17" s="163">
        <f>'2022'!J17</f>
        <v>3111315.33</v>
      </c>
      <c r="O17" s="163">
        <f>'2022'!J91</f>
        <v>2633161.7547204318</v>
      </c>
      <c r="P17" s="164">
        <f t="shared" si="6"/>
        <v>478153.57527956832</v>
      </c>
      <c r="Q17" s="166">
        <f t="shared" si="3"/>
        <v>0.18158913876915816</v>
      </c>
      <c r="R17" s="163">
        <f>'2021'!I17</f>
        <v>2245463.5699999998</v>
      </c>
      <c r="S17" s="164">
        <f t="shared" si="4"/>
        <v>865851.76000000024</v>
      </c>
      <c r="T17" s="166">
        <f t="shared" si="5"/>
        <v>0.38560044864143594</v>
      </c>
    </row>
    <row r="18" spans="1:20">
      <c r="A18" s="150">
        <v>7118</v>
      </c>
      <c r="B18" s="507" t="str">
        <f>+VLOOKUP($A18,Master!$D$29:$G$225,4,FALSE)</f>
        <v>Ostali državni porezi</v>
      </c>
      <c r="C18" s="508"/>
      <c r="D18" s="508"/>
      <c r="E18" s="508"/>
      <c r="F18" s="508"/>
      <c r="G18" s="163">
        <f>'2022'!S18</f>
        <v>3695256.2199999997</v>
      </c>
      <c r="H18" s="163">
        <f>SUM('2022'!G92:J92)</f>
        <v>3502724.3461738569</v>
      </c>
      <c r="I18" s="164">
        <f t="shared" si="0"/>
        <v>192531.87382614287</v>
      </c>
      <c r="J18" s="166">
        <f t="shared" si="1"/>
        <v>5.4966321867848889E-2</v>
      </c>
      <c r="K18" s="163">
        <f>SUM('2021'!G18:J18)</f>
        <v>3243181.6500000004</v>
      </c>
      <c r="L18" s="164">
        <f t="shared" si="7"/>
        <v>452074.56999999937</v>
      </c>
      <c r="M18" s="166">
        <f t="shared" si="2"/>
        <v>0.13939230631747046</v>
      </c>
      <c r="N18" s="163">
        <f>'2022'!J18</f>
        <v>1052043.6399999999</v>
      </c>
      <c r="O18" s="163">
        <f>'2022'!J92</f>
        <v>984347.45036050549</v>
      </c>
      <c r="P18" s="164">
        <f t="shared" si="6"/>
        <v>67696.189639494405</v>
      </c>
      <c r="Q18" s="166">
        <f t="shared" si="3"/>
        <v>6.8772657068092657E-2</v>
      </c>
      <c r="R18" s="163">
        <f>'2021'!I18</f>
        <v>837777.76</v>
      </c>
      <c r="S18" s="164">
        <f t="shared" si="4"/>
        <v>214265.87999999989</v>
      </c>
      <c r="T18" s="166">
        <f t="shared" si="5"/>
        <v>0.25575503460488114</v>
      </c>
    </row>
    <row r="19" spans="1:20">
      <c r="A19" s="150">
        <v>712</v>
      </c>
      <c r="B19" s="509" t="str">
        <f>+VLOOKUP($A19,Master!$D$29:$G$225,4,FALSE)</f>
        <v>Doprinosi</v>
      </c>
      <c r="C19" s="510"/>
      <c r="D19" s="510"/>
      <c r="E19" s="510"/>
      <c r="F19" s="510"/>
      <c r="G19" s="169">
        <f>'2022'!S19</f>
        <v>121365346.22999999</v>
      </c>
      <c r="H19" s="169">
        <f>SUM('2022'!G93:J93)</f>
        <v>128237942.17716418</v>
      </c>
      <c r="I19" s="170">
        <f t="shared" si="0"/>
        <v>-6872595.9471641928</v>
      </c>
      <c r="J19" s="172">
        <f t="shared" si="1"/>
        <v>-5.359253143402376E-2</v>
      </c>
      <c r="K19" s="169">
        <f>SUM('2021'!G19:J19)</f>
        <v>143788136.77000001</v>
      </c>
      <c r="L19" s="170">
        <f t="shared" si="7"/>
        <v>-22422790.540000021</v>
      </c>
      <c r="M19" s="172">
        <f t="shared" si="2"/>
        <v>-0.15594325821098143</v>
      </c>
      <c r="N19" s="169">
        <f>'2022'!J19</f>
        <v>37592490.479999997</v>
      </c>
      <c r="O19" s="169">
        <f>'2022'!J93</f>
        <v>42715012.505468771</v>
      </c>
      <c r="P19" s="170">
        <f t="shared" si="6"/>
        <v>-5122522.0254687741</v>
      </c>
      <c r="Q19" s="172">
        <f t="shared" si="3"/>
        <v>-0.11992322429527424</v>
      </c>
      <c r="R19" s="169">
        <f>'2021'!I19</f>
        <v>47599893.060000002</v>
      </c>
      <c r="S19" s="170">
        <f t="shared" si="4"/>
        <v>-10007402.580000006</v>
      </c>
      <c r="T19" s="172">
        <f t="shared" si="5"/>
        <v>-0.21024002233336125</v>
      </c>
    </row>
    <row r="20" spans="1:20">
      <c r="A20" s="150">
        <v>7121</v>
      </c>
      <c r="B20" s="507" t="str">
        <f>+VLOOKUP($A20,Master!$D$29:$G$225,4,FALSE)</f>
        <v>Doprinosi za penzijsko i invalidsko osiguranje</v>
      </c>
      <c r="C20" s="508"/>
      <c r="D20" s="508"/>
      <c r="E20" s="508"/>
      <c r="F20" s="508"/>
      <c r="G20" s="163">
        <f>'2022'!S20</f>
        <v>96797513.269999996</v>
      </c>
      <c r="H20" s="163">
        <f>SUM('2022'!G94:J94)</f>
        <v>110232370.95252931</v>
      </c>
      <c r="I20" s="164">
        <f t="shared" si="0"/>
        <v>-13434857.682529315</v>
      </c>
      <c r="J20" s="166">
        <f t="shared" si="1"/>
        <v>-0.12187760787904067</v>
      </c>
      <c r="K20" s="163">
        <f>SUM('2021'!G20:J20)</f>
        <v>88440862.120000005</v>
      </c>
      <c r="L20" s="164">
        <f t="shared" si="7"/>
        <v>8356651.1499999911</v>
      </c>
      <c r="M20" s="166">
        <f t="shared" si="2"/>
        <v>9.4488576317374173E-2</v>
      </c>
      <c r="N20" s="163">
        <f>'2022'!J20</f>
        <v>32988975.75</v>
      </c>
      <c r="O20" s="163">
        <f>'2022'!J94</f>
        <v>38211450.90576046</v>
      </c>
      <c r="P20" s="164">
        <f t="shared" si="6"/>
        <v>-5222475.1557604596</v>
      </c>
      <c r="Q20" s="166">
        <f t="shared" si="3"/>
        <v>-0.13667303993874669</v>
      </c>
      <c r="R20" s="163">
        <f>'2021'!I20</f>
        <v>29662575.77</v>
      </c>
      <c r="S20" s="164">
        <f t="shared" si="4"/>
        <v>3326399.9800000004</v>
      </c>
      <c r="T20" s="166">
        <f t="shared" si="5"/>
        <v>0.11214130579193471</v>
      </c>
    </row>
    <row r="21" spans="1:20">
      <c r="A21" s="150">
        <v>7122</v>
      </c>
      <c r="B21" s="507" t="str">
        <f>+VLOOKUP($A21,Master!$D$29:$G$225,4,FALSE)</f>
        <v>Doprinosi za zdravstveno osiguranje</v>
      </c>
      <c r="C21" s="508"/>
      <c r="D21" s="508"/>
      <c r="E21" s="508"/>
      <c r="F21" s="508"/>
      <c r="G21" s="163">
        <f>'2022'!S21</f>
        <v>16915854.539999999</v>
      </c>
      <c r="H21" s="163">
        <f>SUM('2022'!G95:J95)</f>
        <v>8378974.6874089986</v>
      </c>
      <c r="I21" s="164">
        <f t="shared" si="0"/>
        <v>8536879.8525910005</v>
      </c>
      <c r="J21" s="166">
        <f t="shared" si="1"/>
        <v>1.0188454042496731</v>
      </c>
      <c r="K21" s="163">
        <f>SUM('2021'!G21:J21)</f>
        <v>47576082.960000001</v>
      </c>
      <c r="L21" s="164">
        <f t="shared" si="7"/>
        <v>-30660228.420000002</v>
      </c>
      <c r="M21" s="166">
        <f t="shared" si="2"/>
        <v>-0.64444625350468332</v>
      </c>
      <c r="N21" s="163">
        <f>'2022'!J21</f>
        <v>1899377.01</v>
      </c>
      <c r="O21" s="163">
        <f>'2022'!J95</f>
        <v>1387272.7272727001</v>
      </c>
      <c r="P21" s="164">
        <f t="shared" si="6"/>
        <v>512104.28272729996</v>
      </c>
      <c r="Q21" s="166">
        <f t="shared" si="3"/>
        <v>0.36914463368285788</v>
      </c>
      <c r="R21" s="163">
        <f>'2021'!I21</f>
        <v>15296477.220000001</v>
      </c>
      <c r="S21" s="164">
        <f t="shared" si="4"/>
        <v>-13397100.210000001</v>
      </c>
      <c r="T21" s="166">
        <f t="shared" si="5"/>
        <v>-0.87582912178520544</v>
      </c>
    </row>
    <row r="22" spans="1:20">
      <c r="A22" s="150">
        <v>7123</v>
      </c>
      <c r="B22" s="507" t="str">
        <f>+VLOOKUP($A22,Master!$D$29:$G$225,4,FALSE)</f>
        <v>Doprinosi za osiguranje od nezaposlenosti</v>
      </c>
      <c r="C22" s="508"/>
      <c r="D22" s="508"/>
      <c r="E22" s="508"/>
      <c r="F22" s="508"/>
      <c r="G22" s="163">
        <f>'2022'!S22</f>
        <v>4402942.71</v>
      </c>
      <c r="H22" s="163">
        <f>SUM('2022'!G96:J96)</f>
        <v>5214401.3897160431</v>
      </c>
      <c r="I22" s="164">
        <f t="shared" si="0"/>
        <v>-811458.67971604317</v>
      </c>
      <c r="J22" s="166">
        <f t="shared" si="1"/>
        <v>-0.15561876025049004</v>
      </c>
      <c r="K22" s="163">
        <f>SUM('2021'!G22:J22)</f>
        <v>4307119.62</v>
      </c>
      <c r="L22" s="164">
        <f t="shared" si="7"/>
        <v>95823.089999999851</v>
      </c>
      <c r="M22" s="166">
        <f t="shared" si="2"/>
        <v>2.224760360846445E-2</v>
      </c>
      <c r="N22" s="163">
        <f>'2022'!J22</f>
        <v>1501790.24</v>
      </c>
      <c r="O22" s="163">
        <f>'2022'!J96</f>
        <v>1626153.9845466164</v>
      </c>
      <c r="P22" s="164">
        <f t="shared" si="6"/>
        <v>-124363.74454661645</v>
      </c>
      <c r="Q22" s="166">
        <f t="shared" si="3"/>
        <v>-7.6477225237245872E-2</v>
      </c>
      <c r="R22" s="163">
        <f>'2021'!I22</f>
        <v>1459515.26</v>
      </c>
      <c r="S22" s="164">
        <f t="shared" si="4"/>
        <v>42274.979999999981</v>
      </c>
      <c r="T22" s="166">
        <f t="shared" si="5"/>
        <v>2.8965082557615762E-2</v>
      </c>
    </row>
    <row r="23" spans="1:20">
      <c r="A23" s="150">
        <v>7124</v>
      </c>
      <c r="B23" s="507" t="str">
        <f>+VLOOKUP($A23,Master!$D$29:$G$225,4,FALSE)</f>
        <v>Ostali doprinosi</v>
      </c>
      <c r="C23" s="508"/>
      <c r="D23" s="508"/>
      <c r="E23" s="508"/>
      <c r="F23" s="508"/>
      <c r="G23" s="163">
        <f>'2022'!S23</f>
        <v>3249035.71</v>
      </c>
      <c r="H23" s="163">
        <f>SUM('2022'!G97:J97)</f>
        <v>4412195.1475098273</v>
      </c>
      <c r="I23" s="164">
        <f t="shared" si="0"/>
        <v>-1163159.4375098273</v>
      </c>
      <c r="J23" s="166">
        <f t="shared" si="1"/>
        <v>-0.26362375158458162</v>
      </c>
      <c r="K23" s="163">
        <f>SUM('2021'!G23:J23)</f>
        <v>3464072.0700000003</v>
      </c>
      <c r="L23" s="164">
        <f t="shared" si="7"/>
        <v>-215036.36000000034</v>
      </c>
      <c r="M23" s="166">
        <f t="shared" si="2"/>
        <v>-6.2076179610200843E-2</v>
      </c>
      <c r="N23" s="163">
        <f>'2022'!J23</f>
        <v>1202347.48</v>
      </c>
      <c r="O23" s="163">
        <f>'2022'!J97</f>
        <v>1490134.8878889994</v>
      </c>
      <c r="P23" s="164">
        <f t="shared" si="6"/>
        <v>-287787.40788899944</v>
      </c>
      <c r="Q23" s="166">
        <f t="shared" si="3"/>
        <v>-0.19312842765307892</v>
      </c>
      <c r="R23" s="163">
        <f>'2021'!I23</f>
        <v>1181324.81</v>
      </c>
      <c r="S23" s="164">
        <f t="shared" si="4"/>
        <v>21022.669999999925</v>
      </c>
      <c r="T23" s="166">
        <f t="shared" si="5"/>
        <v>1.779584227982145E-2</v>
      </c>
    </row>
    <row r="24" spans="1:20">
      <c r="A24" s="150">
        <v>713</v>
      </c>
      <c r="B24" s="509" t="str">
        <f>+VLOOKUP($A24,Master!$D$29:$G$225,4,FALSE)</f>
        <v>Takse</v>
      </c>
      <c r="C24" s="510"/>
      <c r="D24" s="510"/>
      <c r="E24" s="510"/>
      <c r="F24" s="510"/>
      <c r="G24" s="175">
        <f>'2022'!S24</f>
        <v>3328624.8199999994</v>
      </c>
      <c r="H24" s="175">
        <f>SUM('2022'!G98:J98)</f>
        <v>3379235.4289085511</v>
      </c>
      <c r="I24" s="176">
        <f t="shared" si="0"/>
        <v>-50610.608908551745</v>
      </c>
      <c r="J24" s="178">
        <f t="shared" si="1"/>
        <v>-1.4976940782400083E-2</v>
      </c>
      <c r="K24" s="175">
        <f>SUM('2021'!G24:J24)</f>
        <v>2871308.4700000007</v>
      </c>
      <c r="L24" s="176">
        <f t="shared" si="7"/>
        <v>457316.3499999987</v>
      </c>
      <c r="M24" s="178">
        <f t="shared" si="2"/>
        <v>0.15927106222759768</v>
      </c>
      <c r="N24" s="175">
        <f>'2022'!J24</f>
        <v>1014885.97</v>
      </c>
      <c r="O24" s="175">
        <f>'2022'!J98</f>
        <v>888310.9651939217</v>
      </c>
      <c r="P24" s="176">
        <f t="shared" si="6"/>
        <v>126575.00480607827</v>
      </c>
      <c r="Q24" s="178">
        <f t="shared" si="3"/>
        <v>0.14248952198675879</v>
      </c>
      <c r="R24" s="175">
        <f>'2021'!I24</f>
        <v>872908.3</v>
      </c>
      <c r="S24" s="176">
        <f t="shared" si="4"/>
        <v>141977.66999999993</v>
      </c>
      <c r="T24" s="178">
        <f t="shared" si="5"/>
        <v>0.16264900906544244</v>
      </c>
    </row>
    <row r="25" spans="1:20">
      <c r="A25" s="150">
        <v>714</v>
      </c>
      <c r="B25" s="509" t="str">
        <f>+VLOOKUP($A25,Master!$D$29:$G$225,4,FALSE)</f>
        <v>Naknade</v>
      </c>
      <c r="C25" s="510"/>
      <c r="D25" s="510"/>
      <c r="E25" s="510"/>
      <c r="F25" s="510"/>
      <c r="G25" s="175">
        <f>'2022'!S25</f>
        <v>20413420.129999999</v>
      </c>
      <c r="H25" s="175">
        <f>SUM('2022'!G99:J99)</f>
        <v>20091544.442830335</v>
      </c>
      <c r="I25" s="176">
        <f t="shared" si="0"/>
        <v>321875.68716966361</v>
      </c>
      <c r="J25" s="178">
        <f t="shared" si="1"/>
        <v>1.6020455176332993E-2</v>
      </c>
      <c r="K25" s="175">
        <f>SUM('2021'!G25:J25)</f>
        <v>11165523.75</v>
      </c>
      <c r="L25" s="176">
        <f t="shared" si="7"/>
        <v>9247896.379999999</v>
      </c>
      <c r="M25" s="178">
        <f t="shared" si="2"/>
        <v>0.82825459755078645</v>
      </c>
      <c r="N25" s="175">
        <f>'2022'!J25</f>
        <v>3083781.29</v>
      </c>
      <c r="O25" s="175">
        <f>'2022'!J99</f>
        <v>4136191.0704011233</v>
      </c>
      <c r="P25" s="176">
        <f t="shared" si="6"/>
        <v>-1052409.7804011232</v>
      </c>
      <c r="Q25" s="178">
        <f t="shared" si="3"/>
        <v>-0.25443935313632926</v>
      </c>
      <c r="R25" s="175">
        <f>'2021'!I25</f>
        <v>2388170.21</v>
      </c>
      <c r="S25" s="176">
        <f t="shared" si="4"/>
        <v>695611.08000000007</v>
      </c>
      <c r="T25" s="178">
        <f t="shared" si="5"/>
        <v>0.29127366093390816</v>
      </c>
    </row>
    <row r="26" spans="1:20">
      <c r="A26" s="150">
        <v>715</v>
      </c>
      <c r="B26" s="509" t="str">
        <f>+VLOOKUP($A26,Master!$D$29:$G$225,4,FALSE)</f>
        <v>Ostali prihodi</v>
      </c>
      <c r="C26" s="510"/>
      <c r="D26" s="510"/>
      <c r="E26" s="510"/>
      <c r="F26" s="510"/>
      <c r="G26" s="175">
        <f>'2022'!S26</f>
        <v>8107853</v>
      </c>
      <c r="H26" s="175">
        <f>SUM('2022'!G100:J100)</f>
        <v>7920449.4150842549</v>
      </c>
      <c r="I26" s="176">
        <f t="shared" si="0"/>
        <v>187403.58491574507</v>
      </c>
      <c r="J26" s="178">
        <f t="shared" si="1"/>
        <v>2.3660726190465997E-2</v>
      </c>
      <c r="K26" s="175">
        <f>SUM('2021'!G26:J26)</f>
        <v>6370021.8100000005</v>
      </c>
      <c r="L26" s="176">
        <f t="shared" si="7"/>
        <v>1737831.1899999995</v>
      </c>
      <c r="M26" s="178">
        <f t="shared" si="2"/>
        <v>0.27281400940760658</v>
      </c>
      <c r="N26" s="175">
        <f>'2022'!J26</f>
        <v>3432683.2699999996</v>
      </c>
      <c r="O26" s="175">
        <f>'2022'!J100</f>
        <v>2112330.3067699438</v>
      </c>
      <c r="P26" s="176">
        <f t="shared" si="6"/>
        <v>1320352.9632300558</v>
      </c>
      <c r="Q26" s="178">
        <f t="shared" si="3"/>
        <v>0.62506936486134346</v>
      </c>
      <c r="R26" s="175">
        <f>'2021'!I26</f>
        <v>1693779.5</v>
      </c>
      <c r="S26" s="176">
        <f t="shared" si="4"/>
        <v>1738903.7699999996</v>
      </c>
      <c r="T26" s="178">
        <f t="shared" si="5"/>
        <v>1.0266411714157595</v>
      </c>
    </row>
    <row r="27" spans="1:20">
      <c r="A27" s="150">
        <v>73</v>
      </c>
      <c r="B27" s="509" t="str">
        <f>+VLOOKUP($A27,Master!$D$29:$G$225,4,FALSE)</f>
        <v>Primici od otplate kredita i sredstva prenesena iz prethodne godine</v>
      </c>
      <c r="C27" s="510"/>
      <c r="D27" s="510"/>
      <c r="E27" s="510"/>
      <c r="F27" s="510"/>
      <c r="G27" s="175">
        <f>'2022'!S27</f>
        <v>1534915.4699999997</v>
      </c>
      <c r="H27" s="175">
        <f>SUM('2022'!G101:J101)</f>
        <v>1266308.2140517491</v>
      </c>
      <c r="I27" s="176">
        <f t="shared" si="0"/>
        <v>268607.25594825065</v>
      </c>
      <c r="J27" s="178">
        <f t="shared" si="1"/>
        <v>0.21211838710956488</v>
      </c>
      <c r="K27" s="175">
        <f>SUM('2021'!G27:J27)</f>
        <v>2457396.63</v>
      </c>
      <c r="L27" s="176">
        <f t="shared" si="7"/>
        <v>-922481.16000000015</v>
      </c>
      <c r="M27" s="178">
        <f t="shared" si="2"/>
        <v>-0.37538960896190376</v>
      </c>
      <c r="N27" s="175">
        <f>'2022'!J27</f>
        <v>750452.36</v>
      </c>
      <c r="O27" s="175">
        <f>'2022'!J101</f>
        <v>419622.28002297197</v>
      </c>
      <c r="P27" s="176">
        <f t="shared" si="6"/>
        <v>330830.07997702801</v>
      </c>
      <c r="Q27" s="178">
        <f t="shared" si="3"/>
        <v>0.78839970069967902</v>
      </c>
      <c r="R27" s="175">
        <f>'2021'!I27</f>
        <v>648742.61</v>
      </c>
      <c r="S27" s="176">
        <f t="shared" si="4"/>
        <v>101709.75</v>
      </c>
      <c r="T27" s="178">
        <f t="shared" si="5"/>
        <v>0.15677982058246487</v>
      </c>
    </row>
    <row r="28" spans="1:20" ht="15.75" thickBot="1">
      <c r="A28" s="150">
        <v>74</v>
      </c>
      <c r="B28" s="513" t="str">
        <f>+VLOOKUP($A28,Master!$D$29:$G$225,4,FALSE)</f>
        <v>Donacije i transferi</v>
      </c>
      <c r="C28" s="514"/>
      <c r="D28" s="514"/>
      <c r="E28" s="514"/>
      <c r="F28" s="514"/>
      <c r="G28" s="175">
        <f>'2022'!S28</f>
        <v>9687243.3599999994</v>
      </c>
      <c r="H28" s="175">
        <f>SUM('2022'!G102:J102)</f>
        <v>6448037.036022421</v>
      </c>
      <c r="I28" s="176">
        <f t="shared" si="0"/>
        <v>3239206.3239775784</v>
      </c>
      <c r="J28" s="178">
        <f t="shared" si="1"/>
        <v>0.50235541543597217</v>
      </c>
      <c r="K28" s="175">
        <f>SUM('2021'!G28:J28)</f>
        <v>4629681.57</v>
      </c>
      <c r="L28" s="176">
        <f t="shared" si="7"/>
        <v>5057561.7899999991</v>
      </c>
      <c r="M28" s="178">
        <f t="shared" si="2"/>
        <v>1.0924210906366936</v>
      </c>
      <c r="N28" s="175">
        <f>'2022'!J28</f>
        <v>2141352.37</v>
      </c>
      <c r="O28" s="175">
        <f>'2022'!J102</f>
        <v>2402470.1825086102</v>
      </c>
      <c r="P28" s="176">
        <f t="shared" si="6"/>
        <v>-261117.81250861008</v>
      </c>
      <c r="Q28" s="178">
        <f t="shared" si="3"/>
        <v>-0.10868722301308908</v>
      </c>
      <c r="R28" s="175">
        <f>'2021'!I28</f>
        <v>1522925.29</v>
      </c>
      <c r="S28" s="176">
        <f t="shared" si="4"/>
        <v>618427.08000000007</v>
      </c>
      <c r="T28" s="178">
        <f t="shared" si="5"/>
        <v>0.40607840979513843</v>
      </c>
    </row>
    <row r="29" spans="1:20" ht="15.75" thickBot="1">
      <c r="A29" s="150">
        <v>4</v>
      </c>
      <c r="B29" s="515" t="str">
        <f>+VLOOKUP($A29,Master!$D$29:$G$225,4,FALSE)</f>
        <v>Izdaci budžeta</v>
      </c>
      <c r="C29" s="516"/>
      <c r="D29" s="516"/>
      <c r="E29" s="516"/>
      <c r="F29" s="516"/>
      <c r="G29" s="151">
        <f>'2022'!S29</f>
        <v>634916138.03999996</v>
      </c>
      <c r="H29" s="151">
        <f>SUM('2022'!G103:J103)</f>
        <v>684883299.38219047</v>
      </c>
      <c r="I29" s="152">
        <f t="shared" si="0"/>
        <v>-49967161.342190504</v>
      </c>
      <c r="J29" s="154">
        <f t="shared" si="1"/>
        <v>-7.2957190498387336E-2</v>
      </c>
      <c r="K29" s="151">
        <f>SUM('2021'!G29:J29)</f>
        <v>635896072.71000004</v>
      </c>
      <c r="L29" s="152">
        <f t="shared" si="7"/>
        <v>-979934.67000007629</v>
      </c>
      <c r="M29" s="154">
        <f t="shared" si="2"/>
        <v>-1.5410295991039602E-3</v>
      </c>
      <c r="N29" s="151">
        <f>'2022'!J29</f>
        <v>196316924.41999996</v>
      </c>
      <c r="O29" s="151">
        <f>'2022'!J103</f>
        <v>181656276.27454761</v>
      </c>
      <c r="P29" s="152">
        <f t="shared" si="6"/>
        <v>14660648.14545235</v>
      </c>
      <c r="Q29" s="154">
        <f t="shared" si="3"/>
        <v>8.0705431412096518E-2</v>
      </c>
      <c r="R29" s="151">
        <f>'2021'!I29</f>
        <v>164445513.62</v>
      </c>
      <c r="S29" s="152">
        <f t="shared" si="4"/>
        <v>31871410.799999952</v>
      </c>
      <c r="T29" s="154">
        <f t="shared" si="5"/>
        <v>0.19381137313145724</v>
      </c>
    </row>
    <row r="30" spans="1:20">
      <c r="A30" s="150">
        <v>41</v>
      </c>
      <c r="B30" s="519" t="str">
        <f>+VLOOKUP($A30,Master!$D$29:$G$225,4,FALSE)</f>
        <v>Tekući izdaci</v>
      </c>
      <c r="C30" s="520"/>
      <c r="D30" s="520"/>
      <c r="E30" s="520"/>
      <c r="F30" s="520"/>
      <c r="G30" s="313">
        <f>'2022'!S30</f>
        <v>269206012.38</v>
      </c>
      <c r="H30" s="313">
        <f>SUM('2022'!G104:J104)</f>
        <v>274601567.23266667</v>
      </c>
      <c r="I30" s="188">
        <f t="shared" si="0"/>
        <v>-5395554.852666676</v>
      </c>
      <c r="J30" s="190">
        <f t="shared" si="1"/>
        <v>-1.964866736574411E-2</v>
      </c>
      <c r="K30" s="313">
        <f>SUM('2021'!G30:J30)</f>
        <v>279596993.5</v>
      </c>
      <c r="L30" s="188">
        <f t="shared" si="7"/>
        <v>-10390981.120000005</v>
      </c>
      <c r="M30" s="190">
        <f t="shared" si="2"/>
        <v>-3.716413753211556E-2</v>
      </c>
      <c r="N30" s="313">
        <f>'2022'!J30</f>
        <v>96816834.039999992</v>
      </c>
      <c r="O30" s="313">
        <f>'2022'!J104</f>
        <v>84860701.324666679</v>
      </c>
      <c r="P30" s="188">
        <f t="shared" si="6"/>
        <v>11956132.715333313</v>
      </c>
      <c r="Q30" s="190">
        <f t="shared" si="3"/>
        <v>0.14089127863309314</v>
      </c>
      <c r="R30" s="313">
        <f>'2021'!I30</f>
        <v>74936031.789999992</v>
      </c>
      <c r="S30" s="188">
        <f t="shared" si="4"/>
        <v>21880802.25</v>
      </c>
      <c r="T30" s="190">
        <f t="shared" si="5"/>
        <v>0.29199307365672289</v>
      </c>
    </row>
    <row r="31" spans="1:20">
      <c r="A31" s="150">
        <v>411</v>
      </c>
      <c r="B31" s="507" t="str">
        <f>+VLOOKUP($A31,Master!$D$29:$G$225,4,FALSE)</f>
        <v>Bruto zarade i doprinosi na teret poslodavca</v>
      </c>
      <c r="C31" s="508"/>
      <c r="D31" s="508"/>
      <c r="E31" s="508"/>
      <c r="F31" s="508"/>
      <c r="G31" s="163">
        <f>'2022'!S31</f>
        <v>176145365.71999997</v>
      </c>
      <c r="H31" s="163">
        <f>SUM('2022'!G105:J105)</f>
        <v>178593100.50666666</v>
      </c>
      <c r="I31" s="164">
        <f t="shared" si="0"/>
        <v>-2447734.7866666913</v>
      </c>
      <c r="J31" s="166">
        <f t="shared" si="1"/>
        <v>-1.3705651448586154E-2</v>
      </c>
      <c r="K31" s="163">
        <f>SUM('2021'!G31:J31)</f>
        <v>180681743.65000001</v>
      </c>
      <c r="L31" s="164">
        <f t="shared" si="7"/>
        <v>-4536377.930000037</v>
      </c>
      <c r="M31" s="166">
        <f t="shared" si="2"/>
        <v>-2.510700770514751E-2</v>
      </c>
      <c r="N31" s="163">
        <f>'2022'!J31</f>
        <v>46977114.019999973</v>
      </c>
      <c r="O31" s="163">
        <f>'2022'!J105</f>
        <v>45488827.916666664</v>
      </c>
      <c r="P31" s="164">
        <f>+N31-O31</f>
        <v>1488286.1033333093</v>
      </c>
      <c r="Q31" s="166">
        <f>IF(+IF(ISERROR(N31/O31),"…",N31/O31-1)&gt;200%,"...",IF(ISERROR(N31/O31),"…",N31/O31-1))</f>
        <v>3.2717618182200203E-2</v>
      </c>
      <c r="R31" s="163">
        <f>'2021'!I31</f>
        <v>44665315.899999999</v>
      </c>
      <c r="S31" s="164">
        <f t="shared" si="4"/>
        <v>2311798.119999975</v>
      </c>
      <c r="T31" s="166">
        <f t="shared" si="5"/>
        <v>5.1758239551597418E-2</v>
      </c>
    </row>
    <row r="32" spans="1:20">
      <c r="A32" s="150">
        <v>412</v>
      </c>
      <c r="B32" s="507" t="str">
        <f>+VLOOKUP($A32,Master!$D$29:$G$225,4,FALSE)</f>
        <v>Ostala lična primanja</v>
      </c>
      <c r="C32" s="508"/>
      <c r="D32" s="508"/>
      <c r="E32" s="508"/>
      <c r="F32" s="508"/>
      <c r="G32" s="163">
        <f>'2022'!S32</f>
        <v>3744172.6500000004</v>
      </c>
      <c r="H32" s="163">
        <f>SUM('2022'!G106:J106)</f>
        <v>4568795.3599999994</v>
      </c>
      <c r="I32" s="164">
        <f t="shared" si="0"/>
        <v>-824622.70999999903</v>
      </c>
      <c r="J32" s="166">
        <f t="shared" si="1"/>
        <v>-0.18049018286518292</v>
      </c>
      <c r="K32" s="163">
        <f>SUM('2021'!G32:J32)</f>
        <v>2956344.53</v>
      </c>
      <c r="L32" s="164">
        <f t="shared" si="7"/>
        <v>787828.12000000058</v>
      </c>
      <c r="M32" s="166">
        <f t="shared" si="2"/>
        <v>0.26648724869695783</v>
      </c>
      <c r="N32" s="163">
        <f>'2022'!J32</f>
        <v>1448549.91</v>
      </c>
      <c r="O32" s="163">
        <f>'2022'!J106</f>
        <v>1115859.3500000001</v>
      </c>
      <c r="P32" s="164">
        <f t="shared" si="6"/>
        <v>332690.55999999982</v>
      </c>
      <c r="Q32" s="166">
        <f t="shared" si="3"/>
        <v>0.29814739644382593</v>
      </c>
      <c r="R32" s="163">
        <f>'2021'!I32</f>
        <v>864515.21</v>
      </c>
      <c r="S32" s="164">
        <f t="shared" si="4"/>
        <v>584034.69999999995</v>
      </c>
      <c r="T32" s="166">
        <f t="shared" si="5"/>
        <v>0.67556324428346382</v>
      </c>
    </row>
    <row r="33" spans="1:20">
      <c r="A33" s="150">
        <v>413</v>
      </c>
      <c r="B33" s="507" t="str">
        <f>+VLOOKUP($A33,Master!$D$29:$G$225,4,FALSE)</f>
        <v>Rashodi za materijal</v>
      </c>
      <c r="C33" s="508"/>
      <c r="D33" s="508"/>
      <c r="E33" s="508"/>
      <c r="F33" s="508"/>
      <c r="G33" s="163">
        <f>'2022'!S33</f>
        <v>8296959.4199999999</v>
      </c>
      <c r="H33" s="163">
        <f>SUM('2022'!G107:J107)</f>
        <v>8827309.3099999987</v>
      </c>
      <c r="I33" s="164">
        <f t="shared" si="0"/>
        <v>-530349.88999999873</v>
      </c>
      <c r="J33" s="166">
        <f t="shared" si="1"/>
        <v>-6.0080583037822488E-2</v>
      </c>
      <c r="K33" s="163">
        <f>SUM('2021'!G33:J33)</f>
        <v>7402025.4500000002</v>
      </c>
      <c r="L33" s="164">
        <f t="shared" si="7"/>
        <v>894933.96999999974</v>
      </c>
      <c r="M33" s="166">
        <f t="shared" si="2"/>
        <v>0.1209039304235302</v>
      </c>
      <c r="N33" s="163">
        <f>'2022'!J33</f>
        <v>2038640.9</v>
      </c>
      <c r="O33" s="163">
        <f>'2022'!J107</f>
        <v>1956746.52</v>
      </c>
      <c r="P33" s="164">
        <f t="shared" si="6"/>
        <v>81894.379999999888</v>
      </c>
      <c r="Q33" s="166">
        <f t="shared" si="3"/>
        <v>4.185231922630428E-2</v>
      </c>
      <c r="R33" s="163">
        <f>'2021'!I33</f>
        <v>2846541.08</v>
      </c>
      <c r="S33" s="164">
        <f t="shared" si="4"/>
        <v>-807900.18000000017</v>
      </c>
      <c r="T33" s="166">
        <f t="shared" si="5"/>
        <v>-0.28381820507575461</v>
      </c>
    </row>
    <row r="34" spans="1:20">
      <c r="A34" s="150">
        <v>414</v>
      </c>
      <c r="B34" s="507" t="str">
        <f>+VLOOKUP($A34,Master!$D$29:$G$225,4,FALSE)</f>
        <v>Rashodi za usluge</v>
      </c>
      <c r="C34" s="508"/>
      <c r="D34" s="508"/>
      <c r="E34" s="508"/>
      <c r="F34" s="508"/>
      <c r="G34" s="163">
        <f>'2022'!S34</f>
        <v>14625790.32</v>
      </c>
      <c r="H34" s="163">
        <f>SUM('2022'!G108:J108)</f>
        <v>13907725.330000002</v>
      </c>
      <c r="I34" s="164">
        <f t="shared" si="0"/>
        <v>718064.98999999836</v>
      </c>
      <c r="J34" s="166">
        <f t="shared" si="1"/>
        <v>5.1630656556833188E-2</v>
      </c>
      <c r="K34" s="163">
        <f>SUM('2021'!G34:J34)</f>
        <v>13178295.190000001</v>
      </c>
      <c r="L34" s="164">
        <f t="shared" si="7"/>
        <v>1447495.129999999</v>
      </c>
      <c r="M34" s="166">
        <f t="shared" si="2"/>
        <v>0.1098393311980439</v>
      </c>
      <c r="N34" s="163">
        <f>'2022'!J34</f>
        <v>6153105</v>
      </c>
      <c r="O34" s="163">
        <f>'2022'!J108</f>
        <v>3981055.8700000015</v>
      </c>
      <c r="P34" s="164">
        <f t="shared" si="6"/>
        <v>2172049.1299999985</v>
      </c>
      <c r="Q34" s="166">
        <f t="shared" si="3"/>
        <v>0.54559624404366813</v>
      </c>
      <c r="R34" s="163">
        <f>'2021'!I34</f>
        <v>3354555.29</v>
      </c>
      <c r="S34" s="164">
        <f t="shared" si="4"/>
        <v>2798549.71</v>
      </c>
      <c r="T34" s="166">
        <f t="shared" si="5"/>
        <v>0.83425356509774495</v>
      </c>
    </row>
    <row r="35" spans="1:20">
      <c r="A35" s="150">
        <v>415</v>
      </c>
      <c r="B35" s="507" t="str">
        <f>+VLOOKUP($A35,Master!$D$29:$G$225,4,FALSE)</f>
        <v>Rashodi za tekuće održavanje</v>
      </c>
      <c r="C35" s="508"/>
      <c r="D35" s="508"/>
      <c r="E35" s="508"/>
      <c r="F35" s="508"/>
      <c r="G35" s="163">
        <f>'2022'!S35</f>
        <v>5368736.3300000001</v>
      </c>
      <c r="H35" s="163">
        <f>SUM('2022'!G109:J109)</f>
        <v>6340065.6800000016</v>
      </c>
      <c r="I35" s="164">
        <f t="shared" si="0"/>
        <v>-971329.35000000149</v>
      </c>
      <c r="J35" s="166">
        <f t="shared" si="1"/>
        <v>-0.15320493493688869</v>
      </c>
      <c r="K35" s="163">
        <f>SUM('2021'!G35:J35)</f>
        <v>5229515.1500000004</v>
      </c>
      <c r="L35" s="164">
        <f t="shared" si="7"/>
        <v>139221.1799999997</v>
      </c>
      <c r="M35" s="166">
        <f t="shared" si="2"/>
        <v>2.6622196514718866E-2</v>
      </c>
      <c r="N35" s="163">
        <f>'2022'!J35</f>
        <v>1718005.5900000003</v>
      </c>
      <c r="O35" s="163">
        <f>'2022'!J109</f>
        <v>1750230.6700000004</v>
      </c>
      <c r="P35" s="164">
        <f t="shared" si="6"/>
        <v>-32225.080000000075</v>
      </c>
      <c r="Q35" s="166">
        <f t="shared" si="3"/>
        <v>-1.8411904529132772E-2</v>
      </c>
      <c r="R35" s="163">
        <f>'2021'!I35</f>
        <v>2439729.2400000002</v>
      </c>
      <c r="S35" s="164">
        <f t="shared" si="4"/>
        <v>-721723.64999999991</v>
      </c>
      <c r="T35" s="166">
        <f t="shared" si="5"/>
        <v>-0.29582120760252884</v>
      </c>
    </row>
    <row r="36" spans="1:20">
      <c r="A36" s="150">
        <v>416</v>
      </c>
      <c r="B36" s="507" t="str">
        <f>+VLOOKUP($A36,Master!$D$29:$G$225,4,FALSE)</f>
        <v>Kamate</v>
      </c>
      <c r="C36" s="508"/>
      <c r="D36" s="508"/>
      <c r="E36" s="508"/>
      <c r="F36" s="508"/>
      <c r="G36" s="163">
        <f>'2022'!S36</f>
        <v>33269810.07</v>
      </c>
      <c r="H36" s="163">
        <f>SUM('2022'!G110:J110)</f>
        <v>29246455.330000006</v>
      </c>
      <c r="I36" s="164">
        <f t="shared" si="0"/>
        <v>4023354.7399999946</v>
      </c>
      <c r="J36" s="166">
        <f t="shared" si="1"/>
        <v>0.13756726053132917</v>
      </c>
      <c r="K36" s="163">
        <f>SUM('2021'!G36:J36)</f>
        <v>47098169.980000004</v>
      </c>
      <c r="L36" s="164">
        <f t="shared" si="7"/>
        <v>-13828359.910000004</v>
      </c>
      <c r="M36" s="166">
        <f t="shared" si="2"/>
        <v>-0.29360715959605532</v>
      </c>
      <c r="N36" s="163">
        <f>'2022'!J36</f>
        <v>27195621.07</v>
      </c>
      <c r="O36" s="163">
        <f>'2022'!J110</f>
        <v>22646995.380000003</v>
      </c>
      <c r="P36" s="164">
        <f t="shared" si="6"/>
        <v>4548625.6899999976</v>
      </c>
      <c r="Q36" s="166">
        <f t="shared" si="3"/>
        <v>0.20084896974973443</v>
      </c>
      <c r="R36" s="163">
        <f>'2021'!I36</f>
        <v>14787982.57</v>
      </c>
      <c r="S36" s="164">
        <f t="shared" si="4"/>
        <v>12407638.5</v>
      </c>
      <c r="T36" s="166">
        <f t="shared" si="5"/>
        <v>0.8390352396797558</v>
      </c>
    </row>
    <row r="37" spans="1:20">
      <c r="A37" s="150">
        <v>417</v>
      </c>
      <c r="B37" s="507" t="str">
        <f>+VLOOKUP($A37,Master!$D$29:$G$225,4,FALSE)</f>
        <v>Renta</v>
      </c>
      <c r="C37" s="508"/>
      <c r="D37" s="508"/>
      <c r="E37" s="508"/>
      <c r="F37" s="508"/>
      <c r="G37" s="163">
        <f>'2022'!S37</f>
        <v>3034349.35</v>
      </c>
      <c r="H37" s="163">
        <f>SUM('2022'!G111:J111)</f>
        <v>4002694.8099999991</v>
      </c>
      <c r="I37" s="164">
        <f t="shared" si="0"/>
        <v>-968345.45999999903</v>
      </c>
      <c r="J37" s="166">
        <f t="shared" si="1"/>
        <v>-0.24192338061367191</v>
      </c>
      <c r="K37" s="163">
        <f>SUM('2021'!G37:J37)</f>
        <v>2598339.62</v>
      </c>
      <c r="L37" s="164">
        <f t="shared" si="7"/>
        <v>436009.73</v>
      </c>
      <c r="M37" s="166">
        <f t="shared" si="2"/>
        <v>0.1678032104209688</v>
      </c>
      <c r="N37" s="163">
        <f>'2022'!J37</f>
        <v>1247632.42</v>
      </c>
      <c r="O37" s="163">
        <f>'2022'!J111</f>
        <v>962640.17999999982</v>
      </c>
      <c r="P37" s="164">
        <f t="shared" si="6"/>
        <v>284992.24000000011</v>
      </c>
      <c r="Q37" s="166">
        <f t="shared" si="3"/>
        <v>0.29605271618726747</v>
      </c>
      <c r="R37" s="163">
        <f>'2021'!I37</f>
        <v>803228.89</v>
      </c>
      <c r="S37" s="164">
        <f t="shared" si="4"/>
        <v>444403.52999999991</v>
      </c>
      <c r="T37" s="166">
        <f t="shared" si="5"/>
        <v>0.55327134710007742</v>
      </c>
    </row>
    <row r="38" spans="1:20">
      <c r="A38" s="150">
        <v>418</v>
      </c>
      <c r="B38" s="507" t="str">
        <f>+VLOOKUP($A38,Master!$D$29:$G$225,4,FALSE)</f>
        <v>Subvencije</v>
      </c>
      <c r="C38" s="508"/>
      <c r="D38" s="508"/>
      <c r="E38" s="508"/>
      <c r="F38" s="508"/>
      <c r="G38" s="163">
        <f>'2022'!S38</f>
        <v>14900736.98</v>
      </c>
      <c r="H38" s="163">
        <f>SUM('2022'!G112:J112)</f>
        <v>14828555.32</v>
      </c>
      <c r="I38" s="164">
        <f t="shared" si="0"/>
        <v>72181.660000000149</v>
      </c>
      <c r="J38" s="166">
        <f t="shared" si="1"/>
        <v>4.8677472917839637E-3</v>
      </c>
      <c r="K38" s="163">
        <f>SUM('2021'!G38:J38)</f>
        <v>11211087.18</v>
      </c>
      <c r="L38" s="164">
        <f t="shared" si="7"/>
        <v>3689649.8000000007</v>
      </c>
      <c r="M38" s="166">
        <f t="shared" si="2"/>
        <v>0.32910722579895246</v>
      </c>
      <c r="N38" s="163">
        <f>'2022'!J38</f>
        <v>6972851.8400000008</v>
      </c>
      <c r="O38" s="163">
        <f>'2022'!J112</f>
        <v>3632138.83</v>
      </c>
      <c r="P38" s="164">
        <f t="shared" si="6"/>
        <v>3340713.0100000007</v>
      </c>
      <c r="Q38" s="166">
        <f t="shared" si="3"/>
        <v>0.91976468036052483</v>
      </c>
      <c r="R38" s="163">
        <f>'2021'!I38</f>
        <v>1744604.63</v>
      </c>
      <c r="S38" s="164">
        <f t="shared" si="4"/>
        <v>5228247.2100000009</v>
      </c>
      <c r="T38" s="166" t="str">
        <f t="shared" si="5"/>
        <v>...</v>
      </c>
    </row>
    <row r="39" spans="1:20">
      <c r="A39" s="150">
        <v>419</v>
      </c>
      <c r="B39" s="507" t="str">
        <f>+VLOOKUP($A39,Master!$D$29:$G$225,4,FALSE)</f>
        <v>Ostali izdaci</v>
      </c>
      <c r="C39" s="508"/>
      <c r="D39" s="508"/>
      <c r="E39" s="508"/>
      <c r="F39" s="508"/>
      <c r="G39" s="163">
        <f>'2022'!S39</f>
        <v>9820091.540000001</v>
      </c>
      <c r="H39" s="163">
        <f>SUM('2022'!G113:J113)</f>
        <v>14286865.585999999</v>
      </c>
      <c r="I39" s="164">
        <f t="shared" si="0"/>
        <v>-4466774.0459999982</v>
      </c>
      <c r="J39" s="166">
        <f t="shared" si="1"/>
        <v>-0.31264898651927431</v>
      </c>
      <c r="K39" s="163">
        <f>SUM('2021'!G39:J39)</f>
        <v>9241472.75</v>
      </c>
      <c r="L39" s="164">
        <f t="shared" si="7"/>
        <v>578618.79000000097</v>
      </c>
      <c r="M39" s="166">
        <f t="shared" si="2"/>
        <v>6.2611101677489733E-2</v>
      </c>
      <c r="N39" s="163">
        <f>'2022'!J39</f>
        <v>3065313.290000001</v>
      </c>
      <c r="O39" s="163">
        <f>'2022'!J113</f>
        <v>3326206.6079999981</v>
      </c>
      <c r="P39" s="164">
        <f t="shared" si="6"/>
        <v>-260893.31799999718</v>
      </c>
      <c r="Q39" s="166">
        <f t="shared" si="3"/>
        <v>-7.8435692290584669E-2</v>
      </c>
      <c r="R39" s="163">
        <f>'2021'!I39</f>
        <v>3429558.98</v>
      </c>
      <c r="S39" s="164">
        <f t="shared" si="4"/>
        <v>-364245.68999999901</v>
      </c>
      <c r="T39" s="166">
        <f t="shared" si="5"/>
        <v>-0.106207734616653</v>
      </c>
    </row>
    <row r="40" spans="1:20">
      <c r="A40" s="150">
        <v>42</v>
      </c>
      <c r="B40" s="523" t="str">
        <f>+VLOOKUP($A40,Master!$D$29:$G$225,4,FALSE)</f>
        <v>Transferi za socijalnu zaštitu</v>
      </c>
      <c r="C40" s="524"/>
      <c r="D40" s="524"/>
      <c r="E40" s="524"/>
      <c r="F40" s="524"/>
      <c r="G40" s="193">
        <f>'2022'!S40</f>
        <v>191973718.35999995</v>
      </c>
      <c r="H40" s="193">
        <f>SUM('2022'!G114:J114)</f>
        <v>206457712.33952385</v>
      </c>
      <c r="I40" s="194">
        <f t="shared" si="0"/>
        <v>-14483993.979523897</v>
      </c>
      <c r="J40" s="196">
        <f t="shared" si="1"/>
        <v>-7.0154773175557961E-2</v>
      </c>
      <c r="K40" s="193">
        <f>SUM('2021'!G40:J40)</f>
        <v>184678602.47999996</v>
      </c>
      <c r="L40" s="194">
        <f t="shared" si="7"/>
        <v>7295115.8799999952</v>
      </c>
      <c r="M40" s="196">
        <f t="shared" si="2"/>
        <v>3.9501684450909957E-2</v>
      </c>
      <c r="N40" s="193">
        <f>'2022'!J40</f>
        <v>49190467.409999959</v>
      </c>
      <c r="O40" s="193">
        <f>'2022'!J114</f>
        <v>51481848.149880961</v>
      </c>
      <c r="P40" s="194">
        <f t="shared" si="6"/>
        <v>-2291380.7398810014</v>
      </c>
      <c r="Q40" s="196">
        <f t="shared" si="3"/>
        <v>-4.4508517511065659E-2</v>
      </c>
      <c r="R40" s="193">
        <f>'2021'!I40</f>
        <v>47469284.640000001</v>
      </c>
      <c r="S40" s="194">
        <f t="shared" si="4"/>
        <v>1721182.7699999586</v>
      </c>
      <c r="T40" s="196">
        <f t="shared" si="5"/>
        <v>3.6258873144037196E-2</v>
      </c>
    </row>
    <row r="41" spans="1:20">
      <c r="A41" s="150">
        <v>421</v>
      </c>
      <c r="B41" s="507" t="str">
        <f>+VLOOKUP($A41,Master!$D$29:$G$225,4,FALSE)</f>
        <v>Prava iz oblasti socijalne zaštite</v>
      </c>
      <c r="C41" s="508"/>
      <c r="D41" s="508"/>
      <c r="E41" s="508"/>
      <c r="F41" s="508"/>
      <c r="G41" s="163">
        <f>'2022'!S41</f>
        <v>33583501.670000002</v>
      </c>
      <c r="H41" s="163">
        <f>SUM('2022'!G115:J115)</f>
        <v>36796190.529523812</v>
      </c>
      <c r="I41" s="164">
        <f t="shared" si="0"/>
        <v>-3212688.8595238104</v>
      </c>
      <c r="J41" s="166">
        <f t="shared" si="1"/>
        <v>-8.7310365918071731E-2</v>
      </c>
      <c r="K41" s="163">
        <f>SUM('2021'!G41:J41)</f>
        <v>26556579.059999999</v>
      </c>
      <c r="L41" s="164">
        <f t="shared" si="7"/>
        <v>7026922.6100000031</v>
      </c>
      <c r="M41" s="166">
        <f t="shared" si="2"/>
        <v>0.26460195020314492</v>
      </c>
      <c r="N41" s="163">
        <f>'2022'!J41</f>
        <v>8606006.9800000004</v>
      </c>
      <c r="O41" s="163">
        <f>'2022'!J115</f>
        <v>9199047.6323809531</v>
      </c>
      <c r="P41" s="164">
        <f t="shared" si="6"/>
        <v>-593040.65238095261</v>
      </c>
      <c r="Q41" s="166">
        <f t="shared" si="3"/>
        <v>-6.446761404880974E-2</v>
      </c>
      <c r="R41" s="163">
        <f>'2021'!I41</f>
        <v>6520717.1299999999</v>
      </c>
      <c r="S41" s="164">
        <f t="shared" si="4"/>
        <v>2085289.8500000006</v>
      </c>
      <c r="T41" s="166">
        <f t="shared" si="5"/>
        <v>0.31979455762713038</v>
      </c>
    </row>
    <row r="42" spans="1:20">
      <c r="A42" s="150">
        <v>422</v>
      </c>
      <c r="B42" s="507" t="str">
        <f>+VLOOKUP($A42,Master!$D$29:$G$225,4,FALSE)</f>
        <v>Sredstva za tehnološke viškove</v>
      </c>
      <c r="C42" s="508"/>
      <c r="D42" s="508"/>
      <c r="E42" s="508"/>
      <c r="F42" s="508"/>
      <c r="G42" s="163">
        <f>'2022'!S42</f>
        <v>7349437.5399999991</v>
      </c>
      <c r="H42" s="163">
        <f>SUM('2022'!G116:J116)</f>
        <v>9768986.4000000004</v>
      </c>
      <c r="I42" s="164">
        <f t="shared" si="0"/>
        <v>-2419548.8600000013</v>
      </c>
      <c r="J42" s="166">
        <f t="shared" si="1"/>
        <v>-0.24767655117218723</v>
      </c>
      <c r="K42" s="163">
        <f>SUM('2021'!G42:J42)</f>
        <v>5282918.5399999991</v>
      </c>
      <c r="L42" s="164">
        <f t="shared" si="7"/>
        <v>2066519</v>
      </c>
      <c r="M42" s="166">
        <f t="shared" si="2"/>
        <v>0.39116995356888484</v>
      </c>
      <c r="N42" s="163">
        <f>'2022'!J42</f>
        <v>2410229.4499999997</v>
      </c>
      <c r="O42" s="163">
        <f>'2022'!J116</f>
        <v>2291666.67</v>
      </c>
      <c r="P42" s="164">
        <f t="shared" si="6"/>
        <v>118562.7799999998</v>
      </c>
      <c r="Q42" s="166">
        <f t="shared" si="3"/>
        <v>5.1736485742928551E-2</v>
      </c>
      <c r="R42" s="163">
        <f>'2021'!I42</f>
        <v>1502929.47</v>
      </c>
      <c r="S42" s="164">
        <f t="shared" si="4"/>
        <v>907299.97999999975</v>
      </c>
      <c r="T42" s="166">
        <f t="shared" si="5"/>
        <v>0.60368766340046531</v>
      </c>
    </row>
    <row r="43" spans="1:20">
      <c r="A43" s="150">
        <v>423</v>
      </c>
      <c r="B43" s="507" t="str">
        <f>+VLOOKUP($A43,Master!$D$29:$G$225,4,FALSE)</f>
        <v>Prava iz oblasti penzijskog i invalidskog osiguranja</v>
      </c>
      <c r="C43" s="508"/>
      <c r="D43" s="508"/>
      <c r="E43" s="508"/>
      <c r="F43" s="508"/>
      <c r="G43" s="163">
        <f>'2022'!S43</f>
        <v>143754817.02999997</v>
      </c>
      <c r="H43" s="163">
        <f>SUM('2022'!G117:J117)</f>
        <v>152116535.39000002</v>
      </c>
      <c r="I43" s="164">
        <f t="shared" si="0"/>
        <v>-8361718.3600000441</v>
      </c>
      <c r="J43" s="166">
        <f t="shared" si="1"/>
        <v>-5.4969161232617303E-2</v>
      </c>
      <c r="K43" s="163">
        <f>SUM('2021'!G43:J43)</f>
        <v>144585096.34</v>
      </c>
      <c r="L43" s="164">
        <f t="shared" si="7"/>
        <v>-830279.31000003219</v>
      </c>
      <c r="M43" s="166">
        <f t="shared" si="2"/>
        <v>-5.7424958105473101E-3</v>
      </c>
      <c r="N43" s="163">
        <f>'2022'!J43</f>
        <v>36181040.329999961</v>
      </c>
      <c r="O43" s="163">
        <f>'2022'!J117</f>
        <v>38029133.847500004</v>
      </c>
      <c r="P43" s="164">
        <f t="shared" si="6"/>
        <v>-1848093.5175000429</v>
      </c>
      <c r="Q43" s="166">
        <f t="shared" si="3"/>
        <v>-4.8596781743992734E-2</v>
      </c>
      <c r="R43" s="163">
        <f>'2021'!I43</f>
        <v>36148021.82</v>
      </c>
      <c r="S43" s="164">
        <f t="shared" si="4"/>
        <v>33018.509999960661</v>
      </c>
      <c r="T43" s="166">
        <f t="shared" si="5"/>
        <v>9.1342508766811825E-4</v>
      </c>
    </row>
    <row r="44" spans="1:20">
      <c r="A44" s="150">
        <v>424</v>
      </c>
      <c r="B44" s="507" t="str">
        <f>+VLOOKUP($A44,Master!$D$29:$G$225,4,FALSE)</f>
        <v>Ostala prava iz oblasti zdravstvene zaštite</v>
      </c>
      <c r="C44" s="508"/>
      <c r="D44" s="508"/>
      <c r="E44" s="508"/>
      <c r="F44" s="508"/>
      <c r="G44" s="163">
        <f>'2022'!S44</f>
        <v>4185357.3899999997</v>
      </c>
      <c r="H44" s="163">
        <f>SUM('2022'!G118:J118)</f>
        <v>4118000</v>
      </c>
      <c r="I44" s="164">
        <f t="shared" si="0"/>
        <v>67357.389999999665</v>
      </c>
      <c r="J44" s="166">
        <f t="shared" si="1"/>
        <v>1.6356821272462296E-2</v>
      </c>
      <c r="K44" s="163">
        <f>SUM('2021'!G44:J44)</f>
        <v>5161828.5</v>
      </c>
      <c r="L44" s="164">
        <f t="shared" si="7"/>
        <v>-976471.11000000034</v>
      </c>
      <c r="M44" s="166">
        <f t="shared" si="2"/>
        <v>-0.18917155229004612</v>
      </c>
      <c r="N44" s="163">
        <f>'2022'!J44</f>
        <v>1402883.74</v>
      </c>
      <c r="O44" s="163">
        <f>'2022'!J118</f>
        <v>1136000</v>
      </c>
      <c r="P44" s="164">
        <f t="shared" si="6"/>
        <v>266883.74</v>
      </c>
      <c r="Q44" s="166">
        <f t="shared" si="3"/>
        <v>0.23493286971830996</v>
      </c>
      <c r="R44" s="163">
        <f>'2021'!I44</f>
        <v>1836110.36</v>
      </c>
      <c r="S44" s="164">
        <f t="shared" si="4"/>
        <v>-433226.62000000011</v>
      </c>
      <c r="T44" s="166">
        <f t="shared" si="5"/>
        <v>-0.23594802874485177</v>
      </c>
    </row>
    <row r="45" spans="1:20">
      <c r="A45" s="150">
        <v>425</v>
      </c>
      <c r="B45" s="507" t="str">
        <f>+VLOOKUP($A45,Master!$D$29:$G$225,4,FALSE)</f>
        <v>Ostala prava iz zdravstvenog osiguranja</v>
      </c>
      <c r="C45" s="508"/>
      <c r="D45" s="508"/>
      <c r="E45" s="508"/>
      <c r="F45" s="508"/>
      <c r="G45" s="163">
        <f>'2022'!S45</f>
        <v>3100604.7300000004</v>
      </c>
      <c r="H45" s="163">
        <f>SUM('2022'!G119:J119)</f>
        <v>3658000.02</v>
      </c>
      <c r="I45" s="164">
        <f t="shared" si="0"/>
        <v>-557395.28999999957</v>
      </c>
      <c r="J45" s="166">
        <f t="shared" si="1"/>
        <v>-0.15237706040253096</v>
      </c>
      <c r="K45" s="163">
        <f>SUM('2021'!G45:J45)</f>
        <v>3092180.04</v>
      </c>
      <c r="L45" s="164">
        <f t="shared" si="7"/>
        <v>8424.6900000004098</v>
      </c>
      <c r="M45" s="166">
        <f t="shared" si="2"/>
        <v>2.72451470839985E-3</v>
      </c>
      <c r="N45" s="163">
        <f>'2022'!J45</f>
        <v>590306.91</v>
      </c>
      <c r="O45" s="163">
        <f>'2022'!J119</f>
        <v>826000</v>
      </c>
      <c r="P45" s="164">
        <f t="shared" si="6"/>
        <v>-235693.08999999997</v>
      </c>
      <c r="Q45" s="166">
        <f t="shared" si="3"/>
        <v>-0.28534272397094429</v>
      </c>
      <c r="R45" s="163">
        <f>'2021'!I45</f>
        <v>1461505.86</v>
      </c>
      <c r="S45" s="164">
        <f t="shared" si="4"/>
        <v>-871198.95000000007</v>
      </c>
      <c r="T45" s="166">
        <f t="shared" si="5"/>
        <v>-0.59609678882847583</v>
      </c>
    </row>
    <row r="46" spans="1:20">
      <c r="A46" s="150">
        <v>43</v>
      </c>
      <c r="B46" s="521" t="str">
        <f>+VLOOKUP($A46,Master!$D$29:$G$225,4,FALSE)</f>
        <v xml:space="preserve">Transferi institucijama, pojedincima, nevladinom i javnom sektoru </v>
      </c>
      <c r="C46" s="522"/>
      <c r="D46" s="522"/>
      <c r="E46" s="522"/>
      <c r="F46" s="522"/>
      <c r="G46" s="175">
        <f>'2022'!S46</f>
        <v>90579445.700000003</v>
      </c>
      <c r="H46" s="175">
        <f>SUM('2022'!G120:J120)</f>
        <v>94008241.540000007</v>
      </c>
      <c r="I46" s="176">
        <f t="shared" si="0"/>
        <v>-3428795.8400000036</v>
      </c>
      <c r="J46" s="178">
        <f t="shared" si="1"/>
        <v>-3.6473353653158846E-2</v>
      </c>
      <c r="K46" s="175">
        <f>SUM('2021'!G46:J46)</f>
        <v>74712779.75</v>
      </c>
      <c r="L46" s="176">
        <f t="shared" si="7"/>
        <v>15866665.950000003</v>
      </c>
      <c r="M46" s="178">
        <f t="shared" si="2"/>
        <v>0.21236883439609944</v>
      </c>
      <c r="N46" s="175">
        <f>'2022'!J46</f>
        <v>28731832.689999998</v>
      </c>
      <c r="O46" s="175">
        <f>'2022'!J120</f>
        <v>20625695.450000003</v>
      </c>
      <c r="P46" s="176">
        <f t="shared" si="6"/>
        <v>8106137.2399999946</v>
      </c>
      <c r="Q46" s="178">
        <f t="shared" si="3"/>
        <v>0.39301158400455272</v>
      </c>
      <c r="R46" s="175">
        <f>'2021'!I46</f>
        <v>23735027.57</v>
      </c>
      <c r="S46" s="176">
        <f t="shared" si="4"/>
        <v>4996805.1199999973</v>
      </c>
      <c r="T46" s="178">
        <f t="shared" si="5"/>
        <v>0.2105245129909068</v>
      </c>
    </row>
    <row r="47" spans="1:20">
      <c r="A47" s="150">
        <v>44</v>
      </c>
      <c r="B47" s="521" t="str">
        <f>+VLOOKUP($A47,Master!$D$29:$G$225,4,FALSE)</f>
        <v>Kapitalni izdaci</v>
      </c>
      <c r="C47" s="522"/>
      <c r="D47" s="522"/>
      <c r="E47" s="522"/>
      <c r="F47" s="522"/>
      <c r="G47" s="175">
        <f>'2022'!S47</f>
        <v>54825143.350000001</v>
      </c>
      <c r="H47" s="175">
        <f>SUM('2022'!G121:J121)</f>
        <v>72730058.270000011</v>
      </c>
      <c r="I47" s="176">
        <f t="shared" si="0"/>
        <v>-17904914.920000009</v>
      </c>
      <c r="J47" s="178">
        <f t="shared" si="1"/>
        <v>-0.24618315103681832</v>
      </c>
      <c r="K47" s="175">
        <f>SUM('2021'!G47:J47)</f>
        <v>44064674.310000002</v>
      </c>
      <c r="L47" s="176">
        <f t="shared" si="7"/>
        <v>10760469.039999999</v>
      </c>
      <c r="M47" s="178">
        <f t="shared" si="2"/>
        <v>0.24419717627546444</v>
      </c>
      <c r="N47" s="175">
        <f>'2022'!J47</f>
        <v>19162268.539999999</v>
      </c>
      <c r="O47" s="175">
        <f>'2022'!J121</f>
        <v>19416173.270000003</v>
      </c>
      <c r="P47" s="176">
        <f t="shared" si="6"/>
        <v>-253904.73000000417</v>
      </c>
      <c r="Q47" s="178">
        <f t="shared" si="3"/>
        <v>-1.3076970753671313E-2</v>
      </c>
      <c r="R47" s="175">
        <f>'2021'!I47</f>
        <v>8279888.46</v>
      </c>
      <c r="S47" s="176">
        <f t="shared" si="4"/>
        <v>10882380.079999998</v>
      </c>
      <c r="T47" s="178">
        <f t="shared" si="5"/>
        <v>1.3143148162650489</v>
      </c>
    </row>
    <row r="48" spans="1:20">
      <c r="A48" s="150">
        <v>451</v>
      </c>
      <c r="B48" s="525" t="str">
        <f>+VLOOKUP($A48,Master!$D$29:$G$225,4,FALSE)</f>
        <v>Pozajmice i krediti</v>
      </c>
      <c r="C48" s="526"/>
      <c r="D48" s="526"/>
      <c r="E48" s="526"/>
      <c r="F48" s="526"/>
      <c r="G48" s="163">
        <f>'2022'!S48</f>
        <v>552676</v>
      </c>
      <c r="H48" s="163">
        <f>SUM('2022'!G122:J122)</f>
        <v>491333.63999999996</v>
      </c>
      <c r="I48" s="164">
        <f>G48-H48</f>
        <v>61342.360000000044</v>
      </c>
      <c r="J48" s="282">
        <f t="shared" si="1"/>
        <v>0.12484868734003252</v>
      </c>
      <c r="K48" s="163">
        <f>SUM('2021'!G48:J48)</f>
        <v>552118</v>
      </c>
      <c r="L48" s="279">
        <f t="shared" si="7"/>
        <v>558</v>
      </c>
      <c r="M48" s="282">
        <f t="shared" si="2"/>
        <v>1.0106535197185185E-3</v>
      </c>
      <c r="N48" s="163">
        <f>'2022'!J48</f>
        <v>302436</v>
      </c>
      <c r="O48" s="163">
        <f>'2022'!J122</f>
        <v>243666.74</v>
      </c>
      <c r="P48" s="164">
        <f t="shared" si="6"/>
        <v>58769.260000000009</v>
      </c>
      <c r="Q48" s="282">
        <f t="shared" si="3"/>
        <v>0.24118704095602062</v>
      </c>
      <c r="R48" s="163">
        <f>'2021'!I48</f>
        <v>5000</v>
      </c>
      <c r="S48" s="279">
        <f>+N48-R48-S58</f>
        <v>297436</v>
      </c>
      <c r="T48" s="282" t="str">
        <f t="shared" si="5"/>
        <v>...</v>
      </c>
    </row>
    <row r="49" spans="1:23">
      <c r="A49" s="150">
        <v>47</v>
      </c>
      <c r="B49" s="525" t="str">
        <f>+VLOOKUP($A49,Master!$D$29:$G$225,4,FALSE)</f>
        <v>Rezerve</v>
      </c>
      <c r="C49" s="526"/>
      <c r="D49" s="526"/>
      <c r="E49" s="526"/>
      <c r="F49" s="526"/>
      <c r="G49" s="163">
        <f>'2022'!S49</f>
        <v>2264374.2599999998</v>
      </c>
      <c r="H49" s="163">
        <f>SUM('2022'!G123:J123)</f>
        <v>13488470.720000001</v>
      </c>
      <c r="I49" s="164">
        <f t="shared" ref="I49:I50" si="8">G49-H49</f>
        <v>-11224096.460000001</v>
      </c>
      <c r="J49" s="283">
        <f t="shared" si="1"/>
        <v>-0.83212520477636476</v>
      </c>
      <c r="K49" s="163">
        <f>SUM('2021'!G49:J49)</f>
        <v>42938484.699999996</v>
      </c>
      <c r="L49" s="280">
        <f t="shared" si="7"/>
        <v>-40674110.439999998</v>
      </c>
      <c r="M49" s="283">
        <f t="shared" si="2"/>
        <v>-0.94726469096847288</v>
      </c>
      <c r="N49" s="163">
        <f>'2022'!J49</f>
        <v>401200</v>
      </c>
      <c r="O49" s="163">
        <f>'2022'!J123</f>
        <v>3372117.68</v>
      </c>
      <c r="P49" s="164">
        <f t="shared" si="6"/>
        <v>-2970917.68</v>
      </c>
      <c r="Q49" s="283">
        <f t="shared" si="3"/>
        <v>-0.88102431822604721</v>
      </c>
      <c r="R49" s="163">
        <f>'2021'!I49</f>
        <v>8526683.3100000005</v>
      </c>
      <c r="S49" s="280">
        <f t="shared" si="4"/>
        <v>-8125483.3100000005</v>
      </c>
      <c r="T49" s="283">
        <f t="shared" si="5"/>
        <v>-0.95294770716657473</v>
      </c>
      <c r="W49" s="344"/>
    </row>
    <row r="50" spans="1:23" ht="15.75" thickBot="1">
      <c r="A50" s="150">
        <v>462</v>
      </c>
      <c r="B50" s="527" t="str">
        <f>+VLOOKUP($A50,Master!$D$29:$G$225,4,FALSE)</f>
        <v>Otplata garancija</v>
      </c>
      <c r="C50" s="528"/>
      <c r="D50" s="528"/>
      <c r="E50" s="528"/>
      <c r="F50" s="528"/>
      <c r="G50" s="163">
        <f>'2022'!S50</f>
        <v>500000</v>
      </c>
      <c r="H50" s="163">
        <f>SUM('2022'!G124:J124)</f>
        <v>0</v>
      </c>
      <c r="I50" s="164">
        <f t="shared" si="8"/>
        <v>500000</v>
      </c>
      <c r="J50" s="284" t="str">
        <f t="shared" si="1"/>
        <v>...</v>
      </c>
      <c r="K50" s="163">
        <f>SUM('2021'!G50:J50)</f>
        <v>3831496.4</v>
      </c>
      <c r="L50" s="280">
        <f t="shared" si="7"/>
        <v>-3331496.4</v>
      </c>
      <c r="M50" s="284">
        <f t="shared" si="2"/>
        <v>-0.86950268307703482</v>
      </c>
      <c r="N50" s="163">
        <f>'2022'!J50</f>
        <v>500000</v>
      </c>
      <c r="O50" s="163">
        <f>'2022'!J124</f>
        <v>0</v>
      </c>
      <c r="P50" s="164">
        <f t="shared" si="6"/>
        <v>500000</v>
      </c>
      <c r="Q50" s="284" t="str">
        <f t="shared" si="3"/>
        <v>...</v>
      </c>
      <c r="R50" s="163">
        <f>'2021'!I50</f>
        <v>0</v>
      </c>
      <c r="S50" s="280">
        <f t="shared" si="4"/>
        <v>500000</v>
      </c>
      <c r="T50" s="284" t="str">
        <f t="shared" si="5"/>
        <v>...</v>
      </c>
    </row>
    <row r="51" spans="1:23" ht="15" customHeight="1" thickBot="1">
      <c r="A51" s="144">
        <v>4630</v>
      </c>
      <c r="B51" s="527" t="str">
        <f>+VLOOKUP($A51,Master!$D$29:$G$225,4,FALSE)</f>
        <v>Otplata obaveza iz prethodnog perioda</v>
      </c>
      <c r="C51" s="528"/>
      <c r="D51" s="528"/>
      <c r="E51" s="528"/>
      <c r="F51" s="528"/>
      <c r="G51" s="314">
        <f>'2022'!S51</f>
        <v>25014767.989999995</v>
      </c>
      <c r="H51" s="314">
        <f>SUM('2022'!G125:J125)</f>
        <v>23105915.640000012</v>
      </c>
      <c r="I51" s="281">
        <f>G51-H51</f>
        <v>1908852.3499999829</v>
      </c>
      <c r="J51" s="285">
        <f t="shared" si="1"/>
        <v>8.2613144605074851E-2</v>
      </c>
      <c r="K51" s="314">
        <f>SUM('2021'!G51:J51)</f>
        <v>5520923.5700000003</v>
      </c>
      <c r="L51" s="287">
        <f t="shared" si="7"/>
        <v>19493844.419999994</v>
      </c>
      <c r="M51" s="285" t="str">
        <f t="shared" si="2"/>
        <v>...</v>
      </c>
      <c r="N51" s="314">
        <f>'2022'!J51</f>
        <v>1211885.74</v>
      </c>
      <c r="O51" s="314">
        <f>'2022'!J125</f>
        <v>1656073.6600000036</v>
      </c>
      <c r="P51" s="281">
        <f>N51-O51</f>
        <v>-444187.92000000365</v>
      </c>
      <c r="Q51" s="285">
        <f t="shared" si="3"/>
        <v>-0.26821748979450755</v>
      </c>
      <c r="R51" s="314">
        <f>'2021'!I51</f>
        <v>1493597.85</v>
      </c>
      <c r="S51" s="287">
        <f>+N51-R51</f>
        <v>-281712.1100000001</v>
      </c>
      <c r="T51" s="285">
        <f t="shared" si="5"/>
        <v>-0.18861309287503336</v>
      </c>
    </row>
    <row r="52" spans="1:23" ht="15.75" thickBot="1">
      <c r="A52" s="144">
        <v>1005</v>
      </c>
      <c r="B52" s="527" t="str">
        <f>+VLOOKUP($A52,Master!$D$29:$G$227,4,FALSE)</f>
        <v>Neto povećanje obaveza</v>
      </c>
      <c r="C52" s="528"/>
      <c r="D52" s="528"/>
      <c r="E52" s="528"/>
      <c r="F52" s="528"/>
      <c r="G52" s="163">
        <f>'2022'!S52</f>
        <v>0</v>
      </c>
      <c r="H52" s="163">
        <f>SUM('2022'!G126:J126)</f>
        <v>0</v>
      </c>
      <c r="I52" s="281">
        <f>G52-H52</f>
        <v>0</v>
      </c>
      <c r="J52" s="285" t="str">
        <f t="shared" si="1"/>
        <v>...</v>
      </c>
      <c r="K52" s="163">
        <f>SUM('2021'!G52:J52)</f>
        <v>0</v>
      </c>
      <c r="L52" s="287">
        <f t="shared" si="7"/>
        <v>0</v>
      </c>
      <c r="M52" s="285" t="str">
        <f t="shared" si="2"/>
        <v>...</v>
      </c>
      <c r="N52" s="163">
        <f>'2022'!J52</f>
        <v>0</v>
      </c>
      <c r="O52" s="163">
        <f>'2022'!J126</f>
        <v>0</v>
      </c>
      <c r="P52" s="281">
        <f>N52-O52</f>
        <v>0</v>
      </c>
      <c r="Q52" s="285" t="str">
        <f t="shared" si="3"/>
        <v>...</v>
      </c>
      <c r="R52" s="163">
        <f>'2021'!I52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>'2022'!S53</f>
        <v>-36361415.539999947</v>
      </c>
      <c r="H53" s="151">
        <f>SUM('2022'!G127:J127)</f>
        <v>-156897941.52150488</v>
      </c>
      <c r="I53" s="320">
        <f>+G53-H53</f>
        <v>120536525.98150493</v>
      </c>
      <c r="J53" s="286">
        <f t="shared" si="1"/>
        <v>-0.76824797580268989</v>
      </c>
      <c r="K53" s="151">
        <f>SUM('2021'!G53:J53)</f>
        <v>-143360602.55000001</v>
      </c>
      <c r="L53" s="288">
        <f t="shared" si="7"/>
        <v>106999187.01000006</v>
      </c>
      <c r="M53" s="286">
        <f t="shared" si="2"/>
        <v>-0.74636395987999471</v>
      </c>
      <c r="N53" s="151">
        <f>'2022'!J53</f>
        <v>-14322773.139999956</v>
      </c>
      <c r="O53" s="151">
        <f>'2022'!J127</f>
        <v>-19767268.586634815</v>
      </c>
      <c r="P53" s="320">
        <f>N53-O53</f>
        <v>5444495.4466348588</v>
      </c>
      <c r="Q53" s="286">
        <f t="shared" si="3"/>
        <v>-0.2754298310246075</v>
      </c>
      <c r="R53" s="151">
        <f>'2021'!I53</f>
        <v>-10252757.430000007</v>
      </c>
      <c r="S53" s="288">
        <f t="shared" si="4"/>
        <v>-4070015.7099999487</v>
      </c>
      <c r="T53" s="286">
        <f t="shared" si="5"/>
        <v>0.39696791207513682</v>
      </c>
    </row>
    <row r="54" spans="1:23" ht="15.7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151">
        <f>'2022'!S54</f>
        <v>-3091605.4699999504</v>
      </c>
      <c r="H54" s="151">
        <f>SUM('2022'!G128:J128)</f>
        <v>-127651486.19150487</v>
      </c>
      <c r="I54" s="206">
        <f t="shared" si="0"/>
        <v>124559880.72150491</v>
      </c>
      <c r="J54" s="208">
        <f t="shared" si="1"/>
        <v>-0.97578088933988694</v>
      </c>
      <c r="K54" s="151">
        <f>SUM('2021'!G54:J54)</f>
        <v>-96262432.569999993</v>
      </c>
      <c r="L54" s="206">
        <f t="shared" si="7"/>
        <v>93170827.100000039</v>
      </c>
      <c r="M54" s="208">
        <f t="shared" si="2"/>
        <v>-0.96788357215311593</v>
      </c>
      <c r="N54" s="151">
        <f>'2022'!J54</f>
        <v>12872847.930000044</v>
      </c>
      <c r="O54" s="151">
        <f>'2022'!J128</f>
        <v>2879726.7933651879</v>
      </c>
      <c r="P54" s="206">
        <f t="shared" si="6"/>
        <v>9993121.1366348565</v>
      </c>
      <c r="Q54" s="208" t="str">
        <f t="shared" si="3"/>
        <v>...</v>
      </c>
      <c r="R54" s="151">
        <f>'2021'!I54</f>
        <v>4535225.1399999931</v>
      </c>
      <c r="S54" s="206">
        <f t="shared" si="4"/>
        <v>8337622.7900000513</v>
      </c>
      <c r="T54" s="208">
        <f t="shared" si="5"/>
        <v>1.8384143085783089</v>
      </c>
    </row>
    <row r="55" spans="1:23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491">
        <f>'2022'!S55</f>
        <v>111786168.72</v>
      </c>
      <c r="H55" s="491">
        <f>SUM('2022'!G129:J129)</f>
        <v>90437764.030000001</v>
      </c>
      <c r="I55" s="492">
        <f t="shared" si="0"/>
        <v>21348404.689999998</v>
      </c>
      <c r="J55" s="493">
        <f t="shared" si="1"/>
        <v>0.23605630810286637</v>
      </c>
      <c r="K55" s="491">
        <f>SUM('2021'!G55:J55)</f>
        <v>319223024.67000002</v>
      </c>
      <c r="L55" s="492">
        <f t="shared" si="7"/>
        <v>-207436855.95000002</v>
      </c>
      <c r="M55" s="493">
        <f t="shared" si="2"/>
        <v>-0.64981796399066116</v>
      </c>
      <c r="N55" s="491">
        <f>'2022'!J55</f>
        <v>57474225.629999995</v>
      </c>
      <c r="O55" s="491">
        <f>'2022'!J129</f>
        <v>38170817.960000001</v>
      </c>
      <c r="P55" s="492">
        <f t="shared" si="6"/>
        <v>19303407.669999994</v>
      </c>
      <c r="Q55" s="493">
        <f t="shared" si="3"/>
        <v>0.50571113488394293</v>
      </c>
      <c r="R55" s="491">
        <f>'2021'!I55</f>
        <v>238783771.24000001</v>
      </c>
      <c r="S55" s="492">
        <f t="shared" si="4"/>
        <v>-181309545.61000001</v>
      </c>
      <c r="T55" s="493">
        <f t="shared" si="5"/>
        <v>-0.75930430560026196</v>
      </c>
    </row>
    <row r="56" spans="1:23">
      <c r="A56" s="144">
        <v>4611</v>
      </c>
      <c r="B56" s="525" t="str">
        <f>+VLOOKUP($A56,Master!$D$29:$G$225,4,FALSE)</f>
        <v>Otplata hartija od vrijednosti i kredita rezidentima</v>
      </c>
      <c r="C56" s="526"/>
      <c r="D56" s="526"/>
      <c r="E56" s="526"/>
      <c r="F56" s="526"/>
      <c r="G56" s="163">
        <f>'2022'!S56</f>
        <v>12696919.859999999</v>
      </c>
      <c r="H56" s="163">
        <f>SUM('2022'!G130:J130)</f>
        <v>10300282.98</v>
      </c>
      <c r="I56" s="212">
        <f t="shared" si="0"/>
        <v>2396636.879999999</v>
      </c>
      <c r="J56" s="214">
        <f t="shared" si="1"/>
        <v>0.23267679972031208</v>
      </c>
      <c r="K56" s="163">
        <f>SUM('2021'!G56:J56)</f>
        <v>54995506.770000003</v>
      </c>
      <c r="L56" s="212">
        <f t="shared" si="7"/>
        <v>-42298586.910000004</v>
      </c>
      <c r="M56" s="214">
        <f t="shared" si="2"/>
        <v>-0.76912805053146349</v>
      </c>
      <c r="N56" s="163">
        <f>'2022'!J56</f>
        <v>4658647.9099999992</v>
      </c>
      <c r="O56" s="163">
        <f>'2022'!J130</f>
        <v>4045881.57</v>
      </c>
      <c r="P56" s="212">
        <f t="shared" si="6"/>
        <v>612766.33999999939</v>
      </c>
      <c r="Q56" s="214">
        <f t="shared" si="3"/>
        <v>0.15145434422589865</v>
      </c>
      <c r="R56" s="163">
        <f>'2021'!I56</f>
        <v>2399482.21</v>
      </c>
      <c r="S56" s="212">
        <f t="shared" si="4"/>
        <v>2259165.6999999993</v>
      </c>
      <c r="T56" s="214">
        <f t="shared" si="5"/>
        <v>0.94152217115208336</v>
      </c>
    </row>
    <row r="57" spans="1:23">
      <c r="A57" s="144">
        <v>4612</v>
      </c>
      <c r="B57" s="525" t="str">
        <f>+VLOOKUP($A57,Master!$D$29:$G$225,4,FALSE)</f>
        <v>Otplata hartija od vrijednosti i kredita nerezidentima</v>
      </c>
      <c r="C57" s="526"/>
      <c r="D57" s="526"/>
      <c r="E57" s="526"/>
      <c r="F57" s="526"/>
      <c r="G57" s="163">
        <f>'2022'!S57</f>
        <v>99089248.859999999</v>
      </c>
      <c r="H57" s="163">
        <f>SUM('2022'!G131:J131)</f>
        <v>80137481.049999997</v>
      </c>
      <c r="I57" s="212">
        <f t="shared" si="0"/>
        <v>18951767.810000002</v>
      </c>
      <c r="J57" s="214">
        <f t="shared" si="1"/>
        <v>0.23649068527840877</v>
      </c>
      <c r="K57" s="163">
        <f>SUM('2021'!G57:J57)</f>
        <v>264227517.89999998</v>
      </c>
      <c r="L57" s="212">
        <f t="shared" si="7"/>
        <v>-165138269.03999996</v>
      </c>
      <c r="M57" s="214">
        <f t="shared" si="2"/>
        <v>-0.6249851277886147</v>
      </c>
      <c r="N57" s="163">
        <f>'2022'!J57</f>
        <v>52815577.719999999</v>
      </c>
      <c r="O57" s="163">
        <f>'2022'!J131</f>
        <v>34124936.390000001</v>
      </c>
      <c r="P57" s="212">
        <f t="shared" si="6"/>
        <v>18690641.329999998</v>
      </c>
      <c r="Q57" s="214">
        <f t="shared" si="3"/>
        <v>0.54771212219686705</v>
      </c>
      <c r="R57" s="163">
        <f>'2021'!I57</f>
        <v>236384289.03</v>
      </c>
      <c r="S57" s="212">
        <f t="shared" si="4"/>
        <v>-183568711.31</v>
      </c>
      <c r="T57" s="214">
        <f t="shared" si="5"/>
        <v>-0.77656900153251274</v>
      </c>
    </row>
    <row r="58" spans="1:23" ht="15.75" thickBot="1">
      <c r="A58" s="144">
        <v>4418</v>
      </c>
      <c r="B58" s="523" t="str">
        <f>+VLOOKUP($A58,Master!$D$29:$G$225,4,FALSE)</f>
        <v>Izdaci za kupovinu hartija od vrijednosti</v>
      </c>
      <c r="C58" s="524"/>
      <c r="D58" s="524"/>
      <c r="E58" s="524"/>
      <c r="F58" s="524"/>
      <c r="G58" s="335">
        <f>'2022'!S58</f>
        <v>0</v>
      </c>
      <c r="H58" s="335">
        <f>SUM('2022'!G132:J132)</f>
        <v>189306.68</v>
      </c>
      <c r="I58" s="336">
        <f t="shared" ref="I58:I64" si="9">+G58-H58</f>
        <v>-189306.68</v>
      </c>
      <c r="J58" s="337">
        <f t="shared" si="1"/>
        <v>-1</v>
      </c>
      <c r="K58" s="335">
        <f>SUM('2021'!G58:J58)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'2022'!J58</f>
        <v>0</v>
      </c>
      <c r="O58" s="335">
        <f>'2022'!J132</f>
        <v>48116.67</v>
      </c>
      <c r="P58" s="336">
        <f t="shared" ref="P58:P64" si="11">+N58-O58</f>
        <v>-48116.67</v>
      </c>
      <c r="Q58" s="337">
        <f t="shared" si="3"/>
        <v>-1</v>
      </c>
      <c r="R58" s="335">
        <f>'2021'!I58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51" t="str">
        <f>+VLOOKUP($A59,Master!$D$29:$G$225,4,FALSE)</f>
        <v>Nedostajuća sredstva</v>
      </c>
      <c r="C59" s="552"/>
      <c r="D59" s="552"/>
      <c r="E59" s="552"/>
      <c r="F59" s="552"/>
      <c r="G59" s="319">
        <f>'2022'!S59</f>
        <v>-148147584.25999996</v>
      </c>
      <c r="H59" s="319">
        <f>SUM('2022'!G133:J133)</f>
        <v>-247525012.23150486</v>
      </c>
      <c r="I59" s="321">
        <f t="shared" si="9"/>
        <v>99377427.971504897</v>
      </c>
      <c r="J59" s="322">
        <f t="shared" si="1"/>
        <v>-0.40148438768102879</v>
      </c>
      <c r="K59" s="319">
        <f>SUM('2021'!G59:J59)</f>
        <v>-462583627.22000003</v>
      </c>
      <c r="L59" s="321">
        <f t="shared" si="10"/>
        <v>314436042.96000004</v>
      </c>
      <c r="M59" s="322">
        <f t="shared" si="2"/>
        <v>-0.67973880712050683</v>
      </c>
      <c r="N59" s="319">
        <f>'2022'!J59</f>
        <v>-71796998.769999951</v>
      </c>
      <c r="O59" s="319">
        <f>'2022'!J133</f>
        <v>-57986203.216634817</v>
      </c>
      <c r="P59" s="321">
        <f t="shared" si="11"/>
        <v>-13810795.553365134</v>
      </c>
      <c r="Q59" s="322">
        <f t="shared" si="3"/>
        <v>0.23817382044774327</v>
      </c>
      <c r="R59" s="319">
        <f>'2021'!I59</f>
        <v>-249036528.67000002</v>
      </c>
      <c r="S59" s="321">
        <f t="shared" si="12"/>
        <v>177239529.90000007</v>
      </c>
      <c r="T59" s="322">
        <f t="shared" si="5"/>
        <v>-0.71170093337938134</v>
      </c>
    </row>
    <row r="60" spans="1:23" ht="15.75" thickBot="1">
      <c r="A60" s="144">
        <v>1003</v>
      </c>
      <c r="B60" s="515" t="str">
        <f>+VLOOKUP($A60,Master!$D$29:$G$225,4,FALSE)</f>
        <v>Finansiranje</v>
      </c>
      <c r="C60" s="516"/>
      <c r="D60" s="516"/>
      <c r="E60" s="516"/>
      <c r="F60" s="516"/>
      <c r="G60" s="151">
        <f>'2022'!S60</f>
        <v>148147584.25999996</v>
      </c>
      <c r="H60" s="151">
        <f>SUM('2022'!G134:J134)</f>
        <v>247525012.23150486</v>
      </c>
      <c r="I60" s="320">
        <f t="shared" si="9"/>
        <v>-99377427.971504897</v>
      </c>
      <c r="J60" s="323">
        <f t="shared" si="1"/>
        <v>-0.40148438768102879</v>
      </c>
      <c r="K60" s="151">
        <f>SUM('2021'!G60:J60)</f>
        <v>462583627.22000003</v>
      </c>
      <c r="L60" s="320">
        <f t="shared" si="10"/>
        <v>-314436042.96000004</v>
      </c>
      <c r="M60" s="323">
        <f t="shared" si="2"/>
        <v>-0.67973880712050683</v>
      </c>
      <c r="N60" s="151">
        <f>'2022'!J60</f>
        <v>71796998.769999951</v>
      </c>
      <c r="O60" s="151">
        <f>'2022'!J134</f>
        <v>57986203.216634825</v>
      </c>
      <c r="P60" s="320">
        <f t="shared" si="11"/>
        <v>13810795.553365126</v>
      </c>
      <c r="Q60" s="323">
        <f t="shared" si="3"/>
        <v>0.23817382044774305</v>
      </c>
      <c r="R60" s="151">
        <f>'2021'!I60</f>
        <v>249036528.67000002</v>
      </c>
      <c r="S60" s="320">
        <f t="shared" si="12"/>
        <v>-177239529.90000007</v>
      </c>
      <c r="T60" s="323">
        <f t="shared" si="5"/>
        <v>-0.71170093337938134</v>
      </c>
    </row>
    <row r="61" spans="1:23">
      <c r="A61" s="144">
        <v>7511</v>
      </c>
      <c r="B61" s="549" t="str">
        <f>+VLOOKUP($A61,Master!$D$29:$G$225,4,FALSE)</f>
        <v>Pozajmice i krediti od domaćih izvora</v>
      </c>
      <c r="C61" s="550"/>
      <c r="D61" s="550"/>
      <c r="E61" s="550"/>
      <c r="F61" s="550"/>
      <c r="G61" s="483">
        <f>'2022'!S61</f>
        <v>0</v>
      </c>
      <c r="H61" s="483">
        <f>SUM('2022'!G135:J135)</f>
        <v>0</v>
      </c>
      <c r="I61" s="212">
        <f t="shared" si="9"/>
        <v>0</v>
      </c>
      <c r="J61" s="214" t="str">
        <f t="shared" si="1"/>
        <v>...</v>
      </c>
      <c r="K61" s="483">
        <f>SUM('2021'!G61:J61)</f>
        <v>0</v>
      </c>
      <c r="L61" s="212">
        <f t="shared" si="10"/>
        <v>0</v>
      </c>
      <c r="M61" s="214" t="str">
        <f t="shared" si="2"/>
        <v>...</v>
      </c>
      <c r="N61" s="483">
        <f>'2022'!J61</f>
        <v>0</v>
      </c>
      <c r="O61" s="483">
        <f>'2022'!J135</f>
        <v>0</v>
      </c>
      <c r="P61" s="212">
        <f t="shared" si="11"/>
        <v>0</v>
      </c>
      <c r="Q61" s="214" t="str">
        <f t="shared" si="3"/>
        <v>...</v>
      </c>
      <c r="R61" s="483">
        <f>'2021'!I61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25" t="str">
        <f>+VLOOKUP($A62,Master!$D$29:$G$225,4,FALSE)</f>
        <v>Pozajmice i krediti od inostranih izvora</v>
      </c>
      <c r="C62" s="526"/>
      <c r="D62" s="526"/>
      <c r="E62" s="526"/>
      <c r="F62" s="526"/>
      <c r="G62" s="163">
        <f>'2022'!S62</f>
        <v>21002662.420000002</v>
      </c>
      <c r="H62" s="163">
        <f>SUM('2022'!G136:J136)</f>
        <v>46097617.887999997</v>
      </c>
      <c r="I62" s="212">
        <f t="shared" si="9"/>
        <v>-25094955.467999995</v>
      </c>
      <c r="J62" s="214">
        <f t="shared" si="1"/>
        <v>-0.54438725074626126</v>
      </c>
      <c r="K62" s="163">
        <f>SUM('2021'!G62:J62)</f>
        <v>29312371.630000003</v>
      </c>
      <c r="L62" s="212">
        <f t="shared" si="10"/>
        <v>-8309709.2100000009</v>
      </c>
      <c r="M62" s="214">
        <f t="shared" si="2"/>
        <v>-0.28348812286124803</v>
      </c>
      <c r="N62" s="163">
        <f>'2022'!J62</f>
        <v>1092332.6199999999</v>
      </c>
      <c r="O62" s="163">
        <f>'2022'!J136</f>
        <v>10164404.471999999</v>
      </c>
      <c r="P62" s="212">
        <f t="shared" si="11"/>
        <v>-9072071.852</v>
      </c>
      <c r="Q62" s="214">
        <f t="shared" si="3"/>
        <v>-0.89253353474775021</v>
      </c>
      <c r="R62" s="163">
        <f>'2021'!I62</f>
        <v>1856107.06</v>
      </c>
      <c r="S62" s="212">
        <f t="shared" si="12"/>
        <v>-763774.44000000018</v>
      </c>
      <c r="T62" s="214">
        <f t="shared" si="5"/>
        <v>-0.41149266465265222</v>
      </c>
    </row>
    <row r="63" spans="1:23">
      <c r="A63" s="144">
        <v>72</v>
      </c>
      <c r="B63" s="525" t="str">
        <f>+VLOOKUP($A63,Master!$D$29:$G$225,4,FALSE)</f>
        <v>Primici od prodaje imovine</v>
      </c>
      <c r="C63" s="526"/>
      <c r="D63" s="526"/>
      <c r="E63" s="526"/>
      <c r="F63" s="526"/>
      <c r="G63" s="163">
        <f>'2022'!S63</f>
        <v>1913759.03</v>
      </c>
      <c r="H63" s="163">
        <f>SUM('2022'!G137:J137)</f>
        <v>2000000</v>
      </c>
      <c r="I63" s="212">
        <f t="shared" si="9"/>
        <v>-86240.969999999972</v>
      </c>
      <c r="J63" s="214">
        <f t="shared" si="1"/>
        <v>-4.3120484999999986E-2</v>
      </c>
      <c r="K63" s="163">
        <f>SUM('2021'!G63:J63)</f>
        <v>155733.29999999999</v>
      </c>
      <c r="L63" s="212">
        <f t="shared" si="10"/>
        <v>1758025.73</v>
      </c>
      <c r="M63" s="214" t="str">
        <f t="shared" si="2"/>
        <v>...</v>
      </c>
      <c r="N63" s="163">
        <f>'2022'!J63</f>
        <v>766267.74</v>
      </c>
      <c r="O63" s="163">
        <f>'2022'!J137</f>
        <v>500000</v>
      </c>
      <c r="P63" s="212">
        <f t="shared" si="11"/>
        <v>266267.74</v>
      </c>
      <c r="Q63" s="214">
        <f t="shared" si="3"/>
        <v>0.53253547999999995</v>
      </c>
      <c r="R63" s="163">
        <f>'2021'!I63</f>
        <v>52164.39</v>
      </c>
      <c r="S63" s="212">
        <f t="shared" si="12"/>
        <v>714103.35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125231162.80999994</v>
      </c>
      <c r="H64" s="317">
        <f>SUM('2022'!G138:J138)</f>
        <v>199427394.34350491</v>
      </c>
      <c r="I64" s="226">
        <f t="shared" si="9"/>
        <v>-74196231.533504963</v>
      </c>
      <c r="J64" s="228">
        <f t="shared" si="1"/>
        <v>-0.37204633685232447</v>
      </c>
      <c r="K64" s="317">
        <f>SUM('2021'!G64:J64)</f>
        <v>433115522.29000002</v>
      </c>
      <c r="L64" s="226">
        <f t="shared" si="10"/>
        <v>-307884359.48000008</v>
      </c>
      <c r="M64" s="228">
        <f t="shared" si="2"/>
        <v>-0.71085967515579074</v>
      </c>
      <c r="N64" s="317">
        <f>'2022'!J64</f>
        <v>69938398.409999952</v>
      </c>
      <c r="O64" s="317">
        <f>'2022'!J138</f>
        <v>47321798.744634822</v>
      </c>
      <c r="P64" s="226">
        <f t="shared" si="11"/>
        <v>22616599.66536513</v>
      </c>
      <c r="Q64" s="228">
        <f t="shared" si="3"/>
        <v>0.47793195240553521</v>
      </c>
      <c r="R64" s="317">
        <f>'2021'!I64</f>
        <v>247128257.22000003</v>
      </c>
      <c r="S64" s="226">
        <f t="shared" si="12"/>
        <v>-177189858.81000006</v>
      </c>
      <c r="T64" s="228">
        <f t="shared" si="5"/>
        <v>-0.71699554232788942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Wer11HMJW+sZE4h+fC+rBeApAt6VzpjTgtIjrljza6hCdwResrZ6L63xj6Cf8nt91ug2BfY5cZyIMJc8uHz3ug==" saltValue="RT07ZCQcaPg3ycU+z2pA2A==" spinCount="100000" sheet="1" objects="1" scenarios="1" selectLockedCells="1" selectUnlockedCell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63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="85" zoomScaleNormal="85" workbookViewId="0">
      <pane ySplit="1" topLeftCell="A2" activePane="bottomLeft" state="frozen"/>
      <selection pane="bottomLeft" activeCell="J53" sqref="J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555" t="str">
        <f>+Master!G251</f>
        <v>Ostvarenje budžeta</v>
      </c>
      <c r="C7" s="536"/>
      <c r="D7" s="536"/>
      <c r="E7" s="536"/>
      <c r="F7" s="536"/>
      <c r="G7" s="544">
        <v>2022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8"/>
      <c r="S7" s="235" t="str">
        <f>+Master!G248</f>
        <v>BDP</v>
      </c>
      <c r="T7" s="236">
        <v>5306400000</v>
      </c>
    </row>
    <row r="8" spans="1:20" ht="16.5" customHeight="1">
      <c r="A8" s="144"/>
      <c r="B8" s="537"/>
      <c r="C8" s="538"/>
      <c r="D8" s="538"/>
      <c r="E8" s="538"/>
      <c r="F8" s="53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4" t="str">
        <f>+Master!G246</f>
        <v>Jan - Dec</v>
      </c>
      <c r="T8" s="548"/>
    </row>
    <row r="9" spans="1:20" ht="13.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3" t="str">
        <f>+VLOOKUP($A10,Master!$D$29:$G$225,4,FALSE)</f>
        <v>Prihodi budžeta</v>
      </c>
      <c r="C10" s="504"/>
      <c r="D10" s="504"/>
      <c r="E10" s="504"/>
      <c r="F10" s="504"/>
      <c r="G10" s="151">
        <f>+G11+G19+SUM(G24:G28)</f>
        <v>107803954.11</v>
      </c>
      <c r="H10" s="151">
        <f t="shared" ref="H10:R10" si="1">+H11+H19+SUM(H24:H28)</f>
        <v>124618414.24000001</v>
      </c>
      <c r="I10" s="151">
        <f t="shared" si="1"/>
        <v>184138202.87</v>
      </c>
      <c r="J10" s="151">
        <f t="shared" si="1"/>
        <v>181994151.28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598554722.5</v>
      </c>
      <c r="T10" s="462">
        <f>+S10/$T$7*100</f>
        <v>11.279864361902609</v>
      </c>
    </row>
    <row r="11" spans="1:20">
      <c r="A11" s="150">
        <v>711</v>
      </c>
      <c r="B11" s="505" t="str">
        <f>+VLOOKUP($A11,Master!$D$29:$G$225,4,FALSE)</f>
        <v>Porezi</v>
      </c>
      <c r="C11" s="506"/>
      <c r="D11" s="506"/>
      <c r="E11" s="506"/>
      <c r="F11" s="506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434117319.49000007</v>
      </c>
      <c r="T11" s="463">
        <f t="shared" ref="T11:T64" si="3">+S11/$T$7*100</f>
        <v>8.1810138604326852</v>
      </c>
    </row>
    <row r="12" spans="1:20">
      <c r="A12" s="150">
        <v>7111</v>
      </c>
      <c r="B12" s="507" t="str">
        <f>+VLOOKUP($A12,Master!$D$29:$G$225,4,FALSE)</f>
        <v>Porez na dohodak fizičkih lica</v>
      </c>
      <c r="C12" s="508"/>
      <c r="D12" s="508"/>
      <c r="E12" s="508"/>
      <c r="F12" s="508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28527686.41</v>
      </c>
      <c r="T12" s="464">
        <f t="shared" si="3"/>
        <v>0.53760904586913916</v>
      </c>
    </row>
    <row r="13" spans="1:20">
      <c r="A13" s="150">
        <v>7112</v>
      </c>
      <c r="B13" s="507" t="str">
        <f>+VLOOKUP($A13,Master!$D$29:$G$225,4,FALSE)</f>
        <v>Porez na dobit pravnih lica</v>
      </c>
      <c r="C13" s="508"/>
      <c r="D13" s="508"/>
      <c r="E13" s="508"/>
      <c r="F13" s="508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70019960.789999992</v>
      </c>
      <c r="T13" s="464">
        <f t="shared" si="3"/>
        <v>1.3195379313658975</v>
      </c>
    </row>
    <row r="14" spans="1:20">
      <c r="A14" s="150">
        <v>7113</v>
      </c>
      <c r="B14" s="507" t="str">
        <f>+VLOOKUP($A14,Master!$D$29:$G$225,4,FALSE)</f>
        <v>Porez na promet nepokretnosti</v>
      </c>
      <c r="C14" s="508"/>
      <c r="D14" s="508"/>
      <c r="E14" s="508"/>
      <c r="F14" s="508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793573.93</v>
      </c>
      <c r="T14" s="464">
        <f t="shared" si="3"/>
        <v>1.495503410975426E-2</v>
      </c>
    </row>
    <row r="15" spans="1:20">
      <c r="A15" s="150">
        <v>7114</v>
      </c>
      <c r="B15" s="507" t="str">
        <f>+VLOOKUP($A15,Master!$D$29:$G$225,4,FALSE)</f>
        <v>Porez na dodatu vrijednost</v>
      </c>
      <c r="C15" s="508"/>
      <c r="D15" s="508"/>
      <c r="E15" s="508"/>
      <c r="F15" s="508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244898670.87</v>
      </c>
      <c r="T15" s="464">
        <f t="shared" si="3"/>
        <v>4.6151566197421978</v>
      </c>
    </row>
    <row r="16" spans="1:20">
      <c r="A16" s="150">
        <v>7115</v>
      </c>
      <c r="B16" s="507" t="str">
        <f>+VLOOKUP($A16,Master!$D$29:$G$225,4,FALSE)</f>
        <v>Akcize</v>
      </c>
      <c r="C16" s="508"/>
      <c r="D16" s="508"/>
      <c r="E16" s="508"/>
      <c r="F16" s="508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75947887.25999999</v>
      </c>
      <c r="T16" s="464">
        <f t="shared" si="3"/>
        <v>1.4312507021709633</v>
      </c>
    </row>
    <row r="17" spans="1:23">
      <c r="A17" s="150">
        <v>7116</v>
      </c>
      <c r="B17" s="507" t="str">
        <f>+VLOOKUP($A17,Master!$D$29:$G$225,4,FALSE)</f>
        <v>Porez na međunarodnu trgovinu i transakcije</v>
      </c>
      <c r="C17" s="508"/>
      <c r="D17" s="508"/>
      <c r="E17" s="508"/>
      <c r="F17" s="508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10234284.01</v>
      </c>
      <c r="T17" s="464">
        <f t="shared" si="3"/>
        <v>0.19286680254032865</v>
      </c>
    </row>
    <row r="18" spans="1:23">
      <c r="A18" s="150">
        <v>7118</v>
      </c>
      <c r="B18" s="507" t="str">
        <f>+VLOOKUP($A18,Master!$D$29:$G$225,4,FALSE)</f>
        <v>Ostali državni porezi</v>
      </c>
      <c r="C18" s="508"/>
      <c r="D18" s="508"/>
      <c r="E18" s="508"/>
      <c r="F18" s="508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3695256.2199999997</v>
      </c>
      <c r="T18" s="464">
        <f t="shared" si="3"/>
        <v>6.9637724634403736E-2</v>
      </c>
    </row>
    <row r="19" spans="1:23">
      <c r="A19" s="150">
        <v>712</v>
      </c>
      <c r="B19" s="511" t="str">
        <f>+VLOOKUP($A19,Master!$D$29:$G$225,4,FALSE)</f>
        <v>Doprinosi</v>
      </c>
      <c r="C19" s="512"/>
      <c r="D19" s="512"/>
      <c r="E19" s="512"/>
      <c r="F19" s="512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121365346.22999999</v>
      </c>
      <c r="T19" s="465">
        <f t="shared" si="3"/>
        <v>2.2871503510854816</v>
      </c>
    </row>
    <row r="20" spans="1:23">
      <c r="A20" s="150">
        <v>7121</v>
      </c>
      <c r="B20" s="507" t="str">
        <f>+VLOOKUP($A20,Master!$D$29:$G$225,4,FALSE)</f>
        <v>Doprinosi za penzijsko i invalidsko osiguranje</v>
      </c>
      <c r="C20" s="508"/>
      <c r="D20" s="508"/>
      <c r="E20" s="508"/>
      <c r="F20" s="508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96797513.269999996</v>
      </c>
      <c r="T20" s="464">
        <f t="shared" si="3"/>
        <v>1.8241654091285993</v>
      </c>
    </row>
    <row r="21" spans="1:23">
      <c r="A21" s="150">
        <v>7122</v>
      </c>
      <c r="B21" s="507" t="str">
        <f>+VLOOKUP($A21,Master!$D$29:$G$225,4,FALSE)</f>
        <v>Doprinosi za zdravstveno osiguranje</v>
      </c>
      <c r="C21" s="508"/>
      <c r="D21" s="508"/>
      <c r="E21" s="508"/>
      <c r="F21" s="508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16915854.539999999</v>
      </c>
      <c r="T21" s="464">
        <f t="shared" si="3"/>
        <v>0.31878212234283126</v>
      </c>
    </row>
    <row r="22" spans="1:23">
      <c r="A22" s="150">
        <v>7123</v>
      </c>
      <c r="B22" s="507" t="str">
        <f>+VLOOKUP($A22,Master!$D$29:$G$225,4,FALSE)</f>
        <v>Doprinosi za osiguranje od nezaposlenosti</v>
      </c>
      <c r="C22" s="508"/>
      <c r="D22" s="508"/>
      <c r="E22" s="508"/>
      <c r="F22" s="508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4402942.71</v>
      </c>
      <c r="T22" s="464">
        <f t="shared" si="3"/>
        <v>8.2974195499773862E-2</v>
      </c>
    </row>
    <row r="23" spans="1:23">
      <c r="A23" s="150">
        <v>7124</v>
      </c>
      <c r="B23" s="507" t="str">
        <f>+VLOOKUP($A23,Master!$D$29:$G$225,4,FALSE)</f>
        <v>Ostali doprinosi</v>
      </c>
      <c r="C23" s="508"/>
      <c r="D23" s="508"/>
      <c r="E23" s="508"/>
      <c r="F23" s="508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3249035.71</v>
      </c>
      <c r="T23" s="464">
        <f t="shared" si="3"/>
        <v>6.1228624114277097E-2</v>
      </c>
      <c r="W23" s="305"/>
    </row>
    <row r="24" spans="1:23">
      <c r="A24" s="150">
        <v>713</v>
      </c>
      <c r="B24" s="509" t="str">
        <f>+VLOOKUP($A24,Master!$D$29:$G$225,4,FALSE)</f>
        <v>Takse</v>
      </c>
      <c r="C24" s="510"/>
      <c r="D24" s="510"/>
      <c r="E24" s="510"/>
      <c r="F24" s="510"/>
      <c r="G24" s="175">
        <v>606952.54999999993</v>
      </c>
      <c r="H24" s="175">
        <v>773951.60000000009</v>
      </c>
      <c r="I24" s="175">
        <v>932834.7</v>
      </c>
      <c r="J24" s="175">
        <v>1014885.97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3328624.8199999994</v>
      </c>
      <c r="T24" s="465">
        <f t="shared" si="3"/>
        <v>6.2728494271068885E-2</v>
      </c>
      <c r="W24" s="305"/>
    </row>
    <row r="25" spans="1:23">
      <c r="A25" s="150">
        <v>714</v>
      </c>
      <c r="B25" s="509" t="str">
        <f>+VLOOKUP($A25,Master!$D$29:$G$225,4,FALSE)</f>
        <v>Naknade</v>
      </c>
      <c r="C25" s="510"/>
      <c r="D25" s="510"/>
      <c r="E25" s="510"/>
      <c r="F25" s="510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20413420.129999999</v>
      </c>
      <c r="T25" s="465">
        <f t="shared" si="3"/>
        <v>0.3846943338233077</v>
      </c>
    </row>
    <row r="26" spans="1:23">
      <c r="A26" s="150">
        <v>715</v>
      </c>
      <c r="B26" s="509" t="str">
        <f>+VLOOKUP($A26,Master!$D$29:$G$225,4,FALSE)</f>
        <v>Ostali prihodi</v>
      </c>
      <c r="C26" s="510"/>
      <c r="D26" s="510"/>
      <c r="E26" s="510"/>
      <c r="F26" s="510"/>
      <c r="G26" s="175">
        <v>1297684</v>
      </c>
      <c r="H26" s="175">
        <v>1641264.9300000002</v>
      </c>
      <c r="I26" s="175">
        <v>1736220.8</v>
      </c>
      <c r="J26" s="175">
        <v>3432683.2699999996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8107853</v>
      </c>
      <c r="T26" s="465">
        <f t="shared" si="3"/>
        <v>0.15279385270616613</v>
      </c>
    </row>
    <row r="27" spans="1:23">
      <c r="A27" s="150">
        <v>73</v>
      </c>
      <c r="B27" s="509" t="str">
        <f>+VLOOKUP($A27,Master!$D$29:$G$225,4,FALSE)</f>
        <v>Primici od otplate kredita i sredstva prenesena iz prethodne godine</v>
      </c>
      <c r="C27" s="510"/>
      <c r="D27" s="510"/>
      <c r="E27" s="510"/>
      <c r="F27" s="510"/>
      <c r="G27" s="175">
        <v>124509.95</v>
      </c>
      <c r="H27" s="175">
        <v>38275.089999999997</v>
      </c>
      <c r="I27" s="175">
        <v>621678.06999999995</v>
      </c>
      <c r="J27" s="175">
        <v>750452.36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1534915.4699999997</v>
      </c>
      <c r="T27" s="465">
        <f t="shared" si="3"/>
        <v>2.892574004975124E-2</v>
      </c>
    </row>
    <row r="28" spans="1:23" ht="13.5" thickBot="1">
      <c r="A28" s="150">
        <v>74</v>
      </c>
      <c r="B28" s="513" t="str">
        <f>+VLOOKUP($A28,Master!$D$29:$G$225,4,FALSE)</f>
        <v>Donacije i transferi</v>
      </c>
      <c r="C28" s="514"/>
      <c r="D28" s="514"/>
      <c r="E28" s="514"/>
      <c r="F28" s="514"/>
      <c r="G28" s="175">
        <v>944706.6</v>
      </c>
      <c r="H28" s="175">
        <v>1605897.73</v>
      </c>
      <c r="I28" s="175">
        <v>4995286.66</v>
      </c>
      <c r="J28" s="175">
        <v>2141352.37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9687243.3599999994</v>
      </c>
      <c r="T28" s="466">
        <f t="shared" si="3"/>
        <v>0.18255772953414742</v>
      </c>
    </row>
    <row r="29" spans="1:23" ht="13.5" thickBot="1">
      <c r="A29" s="150">
        <v>4</v>
      </c>
      <c r="B29" s="515" t="str">
        <f>+VLOOKUP($A29,Master!$D$29:$G$225,4,FALSE)</f>
        <v>Izdaci budžeta</v>
      </c>
      <c r="C29" s="516"/>
      <c r="D29" s="516"/>
      <c r="E29" s="516"/>
      <c r="F29" s="516"/>
      <c r="G29" s="151">
        <f>+G30+G40+G46+SUM(G47:G51)</f>
        <v>135525045.41</v>
      </c>
      <c r="H29" s="151">
        <f t="shared" ref="H29:R29" si="6">+H30+H40+H46+SUM(H47:H51)</f>
        <v>150836022.56</v>
      </c>
      <c r="I29" s="151">
        <f t="shared" si="6"/>
        <v>152238145.65000001</v>
      </c>
      <c r="J29" s="151">
        <f t="shared" si="6"/>
        <v>196316924.41999996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634916138.03999996</v>
      </c>
      <c r="T29" s="467">
        <f t="shared" si="3"/>
        <v>11.965101350067842</v>
      </c>
    </row>
    <row r="30" spans="1:23">
      <c r="A30" s="150">
        <v>41</v>
      </c>
      <c r="B30" s="519" t="str">
        <f>+VLOOKUP($A30,Master!$D$29:$G$225,4,FALSE)</f>
        <v>Tekući izdaci</v>
      </c>
      <c r="C30" s="520"/>
      <c r="D30" s="520"/>
      <c r="E30" s="520"/>
      <c r="F30" s="520"/>
      <c r="G30" s="187">
        <f t="shared" ref="G30:R30" si="7">+SUM(G31:G39)</f>
        <v>50898622.359999999</v>
      </c>
      <c r="H30" s="187">
        <f t="shared" si="7"/>
        <v>61675949.800000004</v>
      </c>
      <c r="I30" s="187">
        <f t="shared" si="7"/>
        <v>59814606.179999992</v>
      </c>
      <c r="J30" s="187">
        <f t="shared" si="7"/>
        <v>96816834.039999992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269206012.38</v>
      </c>
      <c r="T30" s="463">
        <f t="shared" si="3"/>
        <v>5.0732325565355039</v>
      </c>
      <c r="U30" s="242"/>
    </row>
    <row r="31" spans="1:23">
      <c r="A31" s="150">
        <v>411</v>
      </c>
      <c r="B31" s="507" t="str">
        <f>+VLOOKUP($A31,Master!$D$29:$G$225,4,FALSE)</f>
        <v>Bruto zarade i doprinosi na teret poslodavca</v>
      </c>
      <c r="C31" s="508"/>
      <c r="D31" s="508"/>
      <c r="E31" s="508"/>
      <c r="F31" s="508"/>
      <c r="G31" s="163">
        <v>44240125.009999998</v>
      </c>
      <c r="H31" s="163">
        <v>44552192.68</v>
      </c>
      <c r="I31" s="163">
        <v>40375934.009999998</v>
      </c>
      <c r="J31" s="163">
        <v>46977114.019999973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176145365.71999997</v>
      </c>
      <c r="T31" s="464">
        <f t="shared" si="3"/>
        <v>3.3194890268355191</v>
      </c>
      <c r="U31" s="242"/>
    </row>
    <row r="32" spans="1:23">
      <c r="A32" s="150">
        <v>412</v>
      </c>
      <c r="B32" s="507" t="str">
        <f>+VLOOKUP($A32,Master!$D$29:$G$225,4,FALSE)</f>
        <v>Ostala lična primanja</v>
      </c>
      <c r="C32" s="508"/>
      <c r="D32" s="508"/>
      <c r="E32" s="508"/>
      <c r="F32" s="508"/>
      <c r="G32" s="163">
        <v>137001.32999999999</v>
      </c>
      <c r="H32" s="163">
        <v>1212395.8600000001</v>
      </c>
      <c r="I32" s="163">
        <v>946225.55</v>
      </c>
      <c r="J32" s="163">
        <v>1448549.91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3744172.6500000004</v>
      </c>
      <c r="T32" s="464">
        <f t="shared" si="3"/>
        <v>7.0559562980551785E-2</v>
      </c>
      <c r="U32" s="457"/>
    </row>
    <row r="33" spans="1:21">
      <c r="A33" s="150">
        <v>413</v>
      </c>
      <c r="B33" s="507" t="str">
        <f>+VLOOKUP($A33,Master!$D$29:$G$225,4,FALSE)</f>
        <v>Rashodi za materijal</v>
      </c>
      <c r="C33" s="508"/>
      <c r="D33" s="508"/>
      <c r="E33" s="508"/>
      <c r="F33" s="508"/>
      <c r="G33" s="163">
        <v>140825.03</v>
      </c>
      <c r="H33" s="163">
        <v>3489117.82</v>
      </c>
      <c r="I33" s="163">
        <v>2628375.67</v>
      </c>
      <c r="J33" s="163">
        <v>2038640.9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8296959.4199999999</v>
      </c>
      <c r="T33" s="464">
        <f t="shared" si="3"/>
        <v>0.15635759497964721</v>
      </c>
      <c r="U33" s="457"/>
    </row>
    <row r="34" spans="1:21" s="361" customFormat="1">
      <c r="A34" s="360">
        <v>414</v>
      </c>
      <c r="B34" s="556" t="str">
        <f>+VLOOKUP($A34,Master!$D$29:$G$225,4,FALSE)</f>
        <v>Rashodi za usluge</v>
      </c>
      <c r="C34" s="557"/>
      <c r="D34" s="557"/>
      <c r="E34" s="557"/>
      <c r="F34" s="557"/>
      <c r="G34" s="163">
        <v>1088181.29</v>
      </c>
      <c r="H34" s="163">
        <v>2912682.95</v>
      </c>
      <c r="I34" s="163">
        <v>4471821.08</v>
      </c>
      <c r="J34" s="163">
        <v>6153105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14625790.32</v>
      </c>
      <c r="T34" s="464">
        <f t="shared" si="3"/>
        <v>0.2756254771596563</v>
      </c>
      <c r="U34" s="457"/>
    </row>
    <row r="35" spans="1:21">
      <c r="A35" s="150">
        <v>415</v>
      </c>
      <c r="B35" s="507" t="str">
        <f>+VLOOKUP($A35,Master!$D$29:$G$225,4,FALSE)</f>
        <v>Rashodi za tekuće održavanje</v>
      </c>
      <c r="C35" s="508"/>
      <c r="D35" s="508"/>
      <c r="E35" s="508"/>
      <c r="F35" s="508"/>
      <c r="G35" s="163">
        <v>51153.02</v>
      </c>
      <c r="H35" s="163">
        <v>1786959.03</v>
      </c>
      <c r="I35" s="163">
        <v>1812618.69</v>
      </c>
      <c r="J35" s="163">
        <v>1718005.5900000003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5368736.3300000001</v>
      </c>
      <c r="T35" s="464">
        <f t="shared" si="3"/>
        <v>0.10117473861751847</v>
      </c>
      <c r="U35" s="457"/>
    </row>
    <row r="36" spans="1:21">
      <c r="A36" s="150">
        <v>416</v>
      </c>
      <c r="B36" s="507" t="str">
        <f>+VLOOKUP($A36,Master!$D$29:$G$225,4,FALSE)</f>
        <v>Kamate</v>
      </c>
      <c r="C36" s="508"/>
      <c r="D36" s="508"/>
      <c r="E36" s="508"/>
      <c r="F36" s="508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33269810.07</v>
      </c>
      <c r="T36" s="464">
        <f t="shared" si="3"/>
        <v>0.6269751633876075</v>
      </c>
      <c r="U36" s="457"/>
    </row>
    <row r="37" spans="1:21">
      <c r="A37" s="150">
        <v>417</v>
      </c>
      <c r="B37" s="507" t="str">
        <f>+VLOOKUP($A37,Master!$D$29:$G$225,4,FALSE)</f>
        <v>Renta</v>
      </c>
      <c r="C37" s="508"/>
      <c r="D37" s="508"/>
      <c r="E37" s="508"/>
      <c r="F37" s="508"/>
      <c r="G37" s="163">
        <v>222069.04</v>
      </c>
      <c r="H37" s="163">
        <v>743329.49</v>
      </c>
      <c r="I37" s="163">
        <v>821318.4</v>
      </c>
      <c r="J37" s="163">
        <v>1247632.42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3034349.35</v>
      </c>
      <c r="T37" s="464">
        <f t="shared" si="3"/>
        <v>5.7182823571536263E-2</v>
      </c>
      <c r="U37" s="457"/>
    </row>
    <row r="38" spans="1:21">
      <c r="A38" s="150">
        <v>418</v>
      </c>
      <c r="B38" s="507" t="str">
        <f>+VLOOKUP($A38,Master!$D$29:$G$225,4,FALSE)</f>
        <v>Subvencije</v>
      </c>
      <c r="C38" s="508"/>
      <c r="D38" s="508"/>
      <c r="E38" s="508"/>
      <c r="F38" s="508"/>
      <c r="G38" s="163">
        <v>511006.04</v>
      </c>
      <c r="H38" s="163">
        <v>2686343.5</v>
      </c>
      <c r="I38" s="163">
        <v>4730535.5999999996</v>
      </c>
      <c r="J38" s="163">
        <v>6972851.8400000008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14900736.98</v>
      </c>
      <c r="T38" s="464">
        <f t="shared" si="3"/>
        <v>0.28080689318558721</v>
      </c>
      <c r="U38" s="457"/>
    </row>
    <row r="39" spans="1:21" s="361" customFormat="1">
      <c r="A39" s="360">
        <v>419</v>
      </c>
      <c r="B39" s="556" t="str">
        <f>+VLOOKUP($A39,Master!$D$29:$G$225,4,FALSE)</f>
        <v>Ostali izdaci</v>
      </c>
      <c r="C39" s="557"/>
      <c r="D39" s="557"/>
      <c r="E39" s="557"/>
      <c r="F39" s="557"/>
      <c r="G39" s="163">
        <v>653499.35</v>
      </c>
      <c r="H39" s="163">
        <v>3022584.28</v>
      </c>
      <c r="I39" s="163">
        <v>3078694.62</v>
      </c>
      <c r="J39" s="163">
        <v>3065313.290000001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9820091.540000001</v>
      </c>
      <c r="T39" s="464">
        <f t="shared" si="3"/>
        <v>0.18506127581788032</v>
      </c>
      <c r="U39" s="457"/>
    </row>
    <row r="40" spans="1:21">
      <c r="A40" s="150">
        <v>42</v>
      </c>
      <c r="B40" s="523" t="str">
        <f>+VLOOKUP($A40,Master!$D$29:$G$225,4,FALSE)</f>
        <v>Transferi za socijalnu zaštitu</v>
      </c>
      <c r="C40" s="524"/>
      <c r="D40" s="524"/>
      <c r="E40" s="524"/>
      <c r="F40" s="524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50290726.350000001</v>
      </c>
      <c r="J40" s="193">
        <f t="shared" si="8"/>
        <v>49190467.409999959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191973718.35999995</v>
      </c>
      <c r="T40" s="490">
        <f t="shared" si="3"/>
        <v>3.617776993064977</v>
      </c>
      <c r="U40" s="242"/>
    </row>
    <row r="41" spans="1:21">
      <c r="A41" s="150">
        <v>421</v>
      </c>
      <c r="B41" s="507" t="str">
        <f>+VLOOKUP($A41,Master!$D$29:$G$225,4,FALSE)</f>
        <v>Prava iz oblasti socijalne zaštite</v>
      </c>
      <c r="C41" s="508"/>
      <c r="D41" s="508"/>
      <c r="E41" s="508"/>
      <c r="F41" s="508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33583501.670000002</v>
      </c>
      <c r="T41" s="464">
        <f t="shared" si="3"/>
        <v>0.63288673432082021</v>
      </c>
      <c r="U41" s="457"/>
    </row>
    <row r="42" spans="1:21">
      <c r="A42" s="150">
        <v>422</v>
      </c>
      <c r="B42" s="507" t="str">
        <f>+VLOOKUP($A42,Master!$D$29:$G$225,4,FALSE)</f>
        <v>Sredstva za tehnološke viškove</v>
      </c>
      <c r="C42" s="508"/>
      <c r="D42" s="508"/>
      <c r="E42" s="508"/>
      <c r="F42" s="508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7349437.5399999991</v>
      </c>
      <c r="T42" s="464">
        <f t="shared" si="3"/>
        <v>0.13850138587366198</v>
      </c>
      <c r="U42" s="457"/>
    </row>
    <row r="43" spans="1:21">
      <c r="A43" s="150">
        <v>423</v>
      </c>
      <c r="B43" s="507" t="str">
        <f>+VLOOKUP($A43,Master!$D$29:$G$225,4,FALSE)</f>
        <v>Prava iz oblasti penzijskog i invalidskog osiguranja</v>
      </c>
      <c r="C43" s="508"/>
      <c r="D43" s="508"/>
      <c r="E43" s="508"/>
      <c r="F43" s="508"/>
      <c r="G43" s="163">
        <v>35149513.420000002</v>
      </c>
      <c r="H43" s="163">
        <v>36354430.689999998</v>
      </c>
      <c r="I43" s="163">
        <v>36069832.590000004</v>
      </c>
      <c r="J43" s="502">
        <v>36181040.329999961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143754817.02999997</v>
      </c>
      <c r="T43" s="464">
        <f t="shared" si="3"/>
        <v>2.7090836919568817</v>
      </c>
      <c r="U43" s="457"/>
    </row>
    <row r="44" spans="1:21">
      <c r="A44" s="150">
        <v>424</v>
      </c>
      <c r="B44" s="507" t="str">
        <f>+VLOOKUP($A44,Master!$D$29:$G$225,4,FALSE)</f>
        <v>Ostala prava iz oblasti zdravstvene zaštite</v>
      </c>
      <c r="C44" s="508"/>
      <c r="D44" s="508"/>
      <c r="E44" s="508"/>
      <c r="F44" s="508"/>
      <c r="G44" s="163">
        <v>103430</v>
      </c>
      <c r="H44" s="163">
        <v>1069904.71</v>
      </c>
      <c r="I44" s="163">
        <v>1609138.94</v>
      </c>
      <c r="J44" s="163">
        <v>1402883.74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4185357.3899999997</v>
      </c>
      <c r="T44" s="464">
        <f t="shared" si="3"/>
        <v>7.8873763568521021E-2</v>
      </c>
      <c r="U44" s="457"/>
    </row>
    <row r="45" spans="1:21" s="361" customFormat="1">
      <c r="A45" s="360">
        <v>425</v>
      </c>
      <c r="B45" s="558" t="str">
        <f>+VLOOKUP($A45,Master!$D$29:$G$225,4,FALSE)</f>
        <v>Ostala prava iz zdravstvenog osiguranja</v>
      </c>
      <c r="C45" s="559"/>
      <c r="D45" s="559"/>
      <c r="E45" s="559"/>
      <c r="F45" s="559"/>
      <c r="G45" s="163">
        <v>8803.7999999999993</v>
      </c>
      <c r="H45" s="163">
        <v>935570.06</v>
      </c>
      <c r="I45" s="163">
        <v>1565923.96</v>
      </c>
      <c r="J45" s="163">
        <v>590306.91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3100604.7300000004</v>
      </c>
      <c r="T45" s="464">
        <f t="shared" si="3"/>
        <v>5.8431417345092732E-2</v>
      </c>
      <c r="U45" s="457"/>
    </row>
    <row r="46" spans="1:21">
      <c r="A46" s="150">
        <v>43</v>
      </c>
      <c r="B46" s="521" t="str">
        <f>+VLOOKUP($A46,Master!$D$29:$G$225,4,FALSE)</f>
        <v xml:space="preserve">Transferi institucijama, pojedincima, nevladinom i javnom sektoru </v>
      </c>
      <c r="C46" s="522"/>
      <c r="D46" s="522"/>
      <c r="E46" s="522"/>
      <c r="F46" s="522"/>
      <c r="G46" s="175">
        <v>7351440.8700000001</v>
      </c>
      <c r="H46" s="175">
        <v>23788257.170000002</v>
      </c>
      <c r="I46" s="175">
        <v>30707914.969999999</v>
      </c>
      <c r="J46" s="175">
        <v>28731832.689999998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90579445.700000003</v>
      </c>
      <c r="T46" s="465">
        <f t="shared" si="3"/>
        <v>1.7069848805216343</v>
      </c>
      <c r="U46" s="481"/>
    </row>
    <row r="47" spans="1:21">
      <c r="A47" s="150">
        <v>44</v>
      </c>
      <c r="B47" s="521" t="str">
        <f>+VLOOKUP($A47,Master!$D$29:$G$225,4,FALSE)</f>
        <v>Kapitalni izdaci</v>
      </c>
      <c r="C47" s="522"/>
      <c r="D47" s="522"/>
      <c r="E47" s="522"/>
      <c r="F47" s="522"/>
      <c r="G47" s="175">
        <v>16016474.34</v>
      </c>
      <c r="H47" s="175">
        <v>11650538.710000001</v>
      </c>
      <c r="I47" s="175">
        <v>7995861.7599999998</v>
      </c>
      <c r="J47" s="175">
        <v>19162268.539999999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54825143.350000001</v>
      </c>
      <c r="T47" s="465">
        <f t="shared" si="3"/>
        <v>1.0331890424770089</v>
      </c>
      <c r="U47" s="481"/>
    </row>
    <row r="48" spans="1:21">
      <c r="A48" s="150">
        <v>451</v>
      </c>
      <c r="B48" s="560" t="str">
        <f>+VLOOKUP($A48,Master!$D$29:$G$225,4,FALSE)</f>
        <v>Pozajmice i krediti</v>
      </c>
      <c r="C48" s="561"/>
      <c r="D48" s="561"/>
      <c r="E48" s="561"/>
      <c r="F48" s="561"/>
      <c r="G48" s="163">
        <v>0</v>
      </c>
      <c r="H48" s="163">
        <v>248510</v>
      </c>
      <c r="I48" s="163">
        <v>1730</v>
      </c>
      <c r="J48" s="163">
        <v>302436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552676</v>
      </c>
      <c r="T48" s="464">
        <f t="shared" si="3"/>
        <v>1.0415272124227349E-2</v>
      </c>
      <c r="U48" s="481"/>
    </row>
    <row r="49" spans="1:21" s="361" customFormat="1">
      <c r="A49" s="360">
        <v>47</v>
      </c>
      <c r="B49" s="565" t="str">
        <f>+VLOOKUP($A49,Master!$D$29:$G$225,4,FALSE)</f>
        <v>Rezerve</v>
      </c>
      <c r="C49" s="566"/>
      <c r="D49" s="566"/>
      <c r="E49" s="566"/>
      <c r="F49" s="566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2264374.2599999998</v>
      </c>
      <c r="T49" s="464">
        <f t="shared" si="3"/>
        <v>4.2672513568521031E-2</v>
      </c>
      <c r="U49" s="481"/>
    </row>
    <row r="50" spans="1:21" ht="13.5" thickBot="1">
      <c r="A50" s="150">
        <v>462</v>
      </c>
      <c r="B50" s="527" t="str">
        <f>+VLOOKUP($A50,Master!$D$29:$G$225,4,FALSE)</f>
        <v>Otplata garancija</v>
      </c>
      <c r="C50" s="528"/>
      <c r="D50" s="528"/>
      <c r="E50" s="528"/>
      <c r="F50" s="528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9.4225840494497216E-3</v>
      </c>
      <c r="U50" s="481"/>
    </row>
    <row r="51" spans="1:21" ht="13.5" thickBot="1">
      <c r="A51" s="144">
        <v>4630</v>
      </c>
      <c r="B51" s="567" t="str">
        <f>+VLOOKUP($A51,Master!$D$29:$G$225,4,TRUE)</f>
        <v>Otplata obaveza iz prethodnog perioda</v>
      </c>
      <c r="C51" s="568"/>
      <c r="D51" s="568"/>
      <c r="E51" s="568"/>
      <c r="F51" s="568"/>
      <c r="G51" s="458">
        <v>17530850.219999999</v>
      </c>
      <c r="H51" s="458">
        <v>3946389.9</v>
      </c>
      <c r="I51" s="458">
        <v>2325642.13</v>
      </c>
      <c r="J51" s="458">
        <v>1211885.74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25014767.989999995</v>
      </c>
      <c r="T51" s="468">
        <f t="shared" si="3"/>
        <v>0.47140750772651879</v>
      </c>
      <c r="U51" s="481"/>
    </row>
    <row r="52" spans="1:21" ht="13.5" thickBot="1">
      <c r="A52" s="70">
        <v>1005</v>
      </c>
      <c r="B52" s="569" t="str">
        <f>+VLOOKUP($A52,Master!$D$29:$G$227,4,FALSE)</f>
        <v>Neto povećanje obaveza</v>
      </c>
      <c r="C52" s="570"/>
      <c r="D52" s="570"/>
      <c r="E52" s="570"/>
      <c r="F52" s="57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9">+G10-G29</f>
        <v>-27721091.299999997</v>
      </c>
      <c r="H53" s="151">
        <f t="shared" si="9"/>
        <v>-26217608.319999993</v>
      </c>
      <c r="I53" s="151">
        <f t="shared" si="9"/>
        <v>31900057.219999999</v>
      </c>
      <c r="J53" s="151">
        <f t="shared" si="9"/>
        <v>-14322773.139999956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-36361415.539999947</v>
      </c>
      <c r="T53" s="470">
        <f t="shared" si="3"/>
        <v>-0.68523698816523337</v>
      </c>
    </row>
    <row r="54" spans="1:21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10">+G53+G36</f>
        <v>-23866329.049999997</v>
      </c>
      <c r="H54" s="205">
        <f t="shared" si="10"/>
        <v>-24947264.129999992</v>
      </c>
      <c r="I54" s="205">
        <f t="shared" si="10"/>
        <v>32849139.779999997</v>
      </c>
      <c r="J54" s="205">
        <f t="shared" si="10"/>
        <v>12872847.930000044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-3091605.4699999504</v>
      </c>
      <c r="T54" s="470">
        <f t="shared" si="3"/>
        <v>-5.8261824777626078E-2</v>
      </c>
    </row>
    <row r="55" spans="1:21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111786168.72</v>
      </c>
      <c r="T55" s="471">
        <f t="shared" si="3"/>
        <v>2.1066291406603344</v>
      </c>
    </row>
    <row r="56" spans="1:21">
      <c r="A56" s="144">
        <v>4611</v>
      </c>
      <c r="B56" s="549" t="str">
        <f>+VLOOKUP($A56,Master!$D$29:$G$225,4,FALSE)</f>
        <v>Otplata hartija od vrijednosti i kredita rezidentima</v>
      </c>
      <c r="C56" s="550"/>
      <c r="D56" s="550"/>
      <c r="E56" s="550"/>
      <c r="F56" s="550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12696919.859999999</v>
      </c>
      <c r="T56" s="472">
        <f t="shared" si="3"/>
        <v>0.23927558909995475</v>
      </c>
    </row>
    <row r="57" spans="1:21" ht="13.5" thickBot="1">
      <c r="A57" s="144">
        <v>4612</v>
      </c>
      <c r="B57" s="525" t="str">
        <f>+VLOOKUP($A57,Master!$D$29:$G$225,4,FALSE)</f>
        <v>Otplata hartija od vrijednosti i kredita nerezidentima</v>
      </c>
      <c r="C57" s="526"/>
      <c r="D57" s="526"/>
      <c r="E57" s="526"/>
      <c r="F57" s="526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99089248.859999999</v>
      </c>
      <c r="T57" s="472">
        <f t="shared" si="3"/>
        <v>1.8673535515603801</v>
      </c>
    </row>
    <row r="58" spans="1:21" ht="13.5" thickBot="1">
      <c r="A58" s="144">
        <v>4418</v>
      </c>
      <c r="B58" s="517" t="str">
        <f>+VLOOKUP($A58,Master!$D$29:$G$225,4,FALSE)</f>
        <v>Izdaci za kupovinu hartija od vrijednosti</v>
      </c>
      <c r="C58" s="518"/>
      <c r="D58" s="518"/>
      <c r="E58" s="518"/>
      <c r="F58" s="518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51" t="str">
        <f>+VLOOKUP($A59,Master!$D$29:$G$225,4,FALSE)</f>
        <v>Nedostajuća sredstva</v>
      </c>
      <c r="C59" s="552"/>
      <c r="D59" s="552"/>
      <c r="E59" s="552"/>
      <c r="F59" s="552"/>
      <c r="G59" s="217">
        <f>+G53-G55-G58</f>
        <v>-56152350.269999996</v>
      </c>
      <c r="H59" s="217">
        <f t="shared" ref="H59:R59" si="12">+H53-H55-H58</f>
        <v>-40426609.449999996</v>
      </c>
      <c r="I59" s="217">
        <f t="shared" si="12"/>
        <v>20228374.229999997</v>
      </c>
      <c r="J59" s="217">
        <f t="shared" si="12"/>
        <v>-71796998.769999951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-148147584.25999996</v>
      </c>
      <c r="T59" s="474">
        <f t="shared" si="3"/>
        <v>-2.7918661288255686</v>
      </c>
    </row>
    <row r="60" spans="1:21" ht="13.5" thickBot="1">
      <c r="A60" s="144">
        <v>1003</v>
      </c>
      <c r="B60" s="515" t="str">
        <f>+VLOOKUP($A60,Master!$D$29:$G$225,4,FALSE)</f>
        <v>Finansiranje</v>
      </c>
      <c r="C60" s="516"/>
      <c r="D60" s="516"/>
      <c r="E60" s="516"/>
      <c r="F60" s="516"/>
      <c r="G60" s="151">
        <f>+SUM(G61:G64)</f>
        <v>56152350.269999996</v>
      </c>
      <c r="H60" s="151">
        <f t="shared" ref="H60:R60" si="13">+SUM(H61:H64)</f>
        <v>40426609.449999996</v>
      </c>
      <c r="I60" s="151">
        <f t="shared" si="13"/>
        <v>-20228374.229999997</v>
      </c>
      <c r="J60" s="151">
        <f t="shared" si="13"/>
        <v>71796998.769999951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148147584.25999996</v>
      </c>
      <c r="T60" s="475">
        <f t="shared" si="3"/>
        <v>2.7918661288255686</v>
      </c>
    </row>
    <row r="61" spans="1:21">
      <c r="A61" s="144">
        <v>7511</v>
      </c>
      <c r="B61" s="549" t="str">
        <f>+VLOOKUP($A61,Master!$D$29:$G$225,4,FALSE)</f>
        <v>Pozajmice i krediti od domaćih izvora</v>
      </c>
      <c r="C61" s="550"/>
      <c r="D61" s="550"/>
      <c r="E61" s="550"/>
      <c r="F61" s="55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25" t="str">
        <f>+VLOOKUP($A62,Master!$D$29:$G$225,4,FALSE)</f>
        <v>Pozajmice i krediti od inostranih izvora</v>
      </c>
      <c r="C62" s="526"/>
      <c r="D62" s="526"/>
      <c r="E62" s="526"/>
      <c r="F62" s="526"/>
      <c r="G62" s="211">
        <v>12789994.92</v>
      </c>
      <c r="H62" s="211">
        <v>6381871.5999999996</v>
      </c>
      <c r="I62" s="211">
        <v>738463.28</v>
      </c>
      <c r="J62" s="211">
        <v>1092332.6199999999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21002662.420000002</v>
      </c>
      <c r="T62" s="472">
        <f t="shared" si="3"/>
        <v>0.39579870382933818</v>
      </c>
    </row>
    <row r="63" spans="1:21">
      <c r="A63" s="144">
        <v>72</v>
      </c>
      <c r="B63" s="525" t="str">
        <f>+VLOOKUP($A63,Master!$D$29:$G$225,4,FALSE)</f>
        <v>Primici od prodaje imovine</v>
      </c>
      <c r="C63" s="526"/>
      <c r="D63" s="526"/>
      <c r="E63" s="526"/>
      <c r="F63" s="526"/>
      <c r="G63" s="211">
        <v>693159.59</v>
      </c>
      <c r="H63" s="211">
        <v>70539.22</v>
      </c>
      <c r="I63" s="211">
        <v>383792.48</v>
      </c>
      <c r="J63" s="211">
        <v>766267.74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1913759.03</v>
      </c>
      <c r="T63" s="472">
        <f t="shared" si="3"/>
        <v>3.6065110621136744E-2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42669195.759999998</v>
      </c>
      <c r="H64" s="225">
        <f t="shared" ref="H64:R64" si="14">-H59-SUM(H61:H63)</f>
        <v>33974198.629999995</v>
      </c>
      <c r="I64" s="225">
        <f t="shared" si="14"/>
        <v>-21350629.989999998</v>
      </c>
      <c r="J64" s="225">
        <f t="shared" si="14"/>
        <v>69938398.409999952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125231162.80999994</v>
      </c>
      <c r="T64" s="476">
        <f t="shared" si="3"/>
        <v>2.3600023143750932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77" t="str">
        <f>+Master!G252</f>
        <v>Plan ostvarenja budžeta</v>
      </c>
      <c r="C81" s="578"/>
      <c r="D81" s="578"/>
      <c r="E81" s="578"/>
      <c r="F81" s="578"/>
      <c r="G81" s="562">
        <v>2022</v>
      </c>
      <c r="H81" s="563"/>
      <c r="I81" s="563"/>
      <c r="J81" s="563"/>
      <c r="K81" s="563"/>
      <c r="L81" s="563"/>
      <c r="M81" s="563"/>
      <c r="N81" s="563"/>
      <c r="O81" s="563"/>
      <c r="P81" s="563"/>
      <c r="Q81" s="563"/>
      <c r="R81" s="564"/>
      <c r="S81" s="107" t="str">
        <f>+S7</f>
        <v>BDP</v>
      </c>
      <c r="T81" s="108">
        <v>5306400000</v>
      </c>
    </row>
    <row r="82" spans="1:21" ht="15.75" customHeight="1">
      <c r="B82" s="579"/>
      <c r="C82" s="580"/>
      <c r="D82" s="580"/>
      <c r="E82" s="580"/>
      <c r="F82" s="581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62" t="str">
        <f>+Master!G246</f>
        <v>Jan - Dec</v>
      </c>
      <c r="T82" s="564">
        <f>+T8</f>
        <v>0</v>
      </c>
    </row>
    <row r="83" spans="1:21" ht="13.5" thickBot="1">
      <c r="B83" s="582"/>
      <c r="C83" s="583"/>
      <c r="D83" s="583"/>
      <c r="E83" s="583"/>
      <c r="F83" s="584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71" t="str">
        <f>+VLOOKUP(LEFT($A84,LEN(A84)-1)*1,Master!$D$29:$G$225,4,FALSE)</f>
        <v>Prihodi budžeta</v>
      </c>
      <c r="C84" s="572"/>
      <c r="D84" s="572"/>
      <c r="E84" s="572"/>
      <c r="F84" s="572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73" t="str">
        <f>+VLOOKUP(LEFT($A85,LEN(A85)-1)*1,Master!$D$29:$G$225,4,FALSE)</f>
        <v>Porezi</v>
      </c>
      <c r="C85" s="574"/>
      <c r="D85" s="574"/>
      <c r="E85" s="574"/>
      <c r="F85" s="574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5" t="str">
        <f>+VLOOKUP(LEFT($A86,LEN(A86)-1)*1,Master!$D$29:$G$228,4,FALSE)</f>
        <v>Porez na dohodak fizičkih lica</v>
      </c>
      <c r="C86" s="576"/>
      <c r="D86" s="576"/>
      <c r="E86" s="576"/>
      <c r="F86" s="576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5" t="str">
        <f>+VLOOKUP(LEFT($A87,LEN(A87)-1)*1,Master!$D$29:$G$228,4,FALSE)</f>
        <v>Porez na dobit pravnih lica</v>
      </c>
      <c r="C87" s="576"/>
      <c r="D87" s="576"/>
      <c r="E87" s="576"/>
      <c r="F87" s="576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5" t="str">
        <f>+VLOOKUP(LEFT($A88,LEN(A88)-1)*1,Master!$D$29:$G$228,4,FALSE)</f>
        <v>Porez na promet nepokretnosti</v>
      </c>
      <c r="C88" s="576"/>
      <c r="D88" s="576"/>
      <c r="E88" s="576"/>
      <c r="F88" s="576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5" t="str">
        <f>+VLOOKUP(LEFT($A89,LEN(A89)-1)*1,Master!$D$29:$G$228,4,FALSE)</f>
        <v>Porez na dodatu vrijednost</v>
      </c>
      <c r="C89" s="576"/>
      <c r="D89" s="576"/>
      <c r="E89" s="576"/>
      <c r="F89" s="576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5" t="str">
        <f>+VLOOKUP(LEFT($A90,LEN(A90)-1)*1,Master!$D$29:$G$228,4,FALSE)</f>
        <v>Akcize</v>
      </c>
      <c r="C90" s="576"/>
      <c r="D90" s="576"/>
      <c r="E90" s="576"/>
      <c r="F90" s="576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5" t="str">
        <f>+VLOOKUP(LEFT($A91,LEN(A91)-1)*1,Master!$D$29:$G$228,4,FALSE)</f>
        <v>Porez na međunarodnu trgovinu i transakcije</v>
      </c>
      <c r="C91" s="576"/>
      <c r="D91" s="576"/>
      <c r="E91" s="576"/>
      <c r="F91" s="576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5" t="str">
        <f>+VLOOKUP(LEFT($A92,LEN(A92)-1)*1,Master!$D$29:$G$228,4,FALSE)</f>
        <v>Ostali državni porezi</v>
      </c>
      <c r="C92" s="576"/>
      <c r="D92" s="576"/>
      <c r="E92" s="576"/>
      <c r="F92" s="576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5" t="str">
        <f>+VLOOKUP(LEFT($A94,LEN(A94)-1)*1,Master!$D$29:$G$228,4,FALSE)</f>
        <v>Doprinosi za penzijsko i invalidsko osiguranje</v>
      </c>
      <c r="C94" s="576"/>
      <c r="D94" s="576"/>
      <c r="E94" s="576"/>
      <c r="F94" s="576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5" t="str">
        <f>+VLOOKUP(LEFT($A95,LEN(A95)-1)*1,Master!$D$29:$G$228,4,FALSE)</f>
        <v>Doprinosi za zdravstveno osiguranje</v>
      </c>
      <c r="C95" s="576"/>
      <c r="D95" s="576"/>
      <c r="E95" s="576"/>
      <c r="F95" s="576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5" t="str">
        <f>+VLOOKUP(LEFT($A96,LEN(A96)-1)*1,Master!$D$29:$G$228,4,FALSE)</f>
        <v>Doprinosi za osiguranje od nezaposlenosti</v>
      </c>
      <c r="C96" s="576"/>
      <c r="D96" s="576"/>
      <c r="E96" s="576"/>
      <c r="F96" s="576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5" t="str">
        <f>+VLOOKUP(LEFT($A97,LEN(A97)-1)*1,Master!$D$29:$G$228,4,FALSE)</f>
        <v>Ostali doprinosi</v>
      </c>
      <c r="C97" s="576"/>
      <c r="D97" s="576"/>
      <c r="E97" s="576"/>
      <c r="F97" s="576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89" t="str">
        <f>+VLOOKUP(LEFT($A102,LEN(A102)-1)*1,Master!$D$29:$G$228,4,FALSE)</f>
        <v>Donacije i transferi</v>
      </c>
      <c r="C102" s="590"/>
      <c r="D102" s="590"/>
      <c r="E102" s="590"/>
      <c r="F102" s="590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91" t="str">
        <f>+VLOOKUP(LEFT($A103,LEN(A103)-1)*1,Master!$D$29:$G$228,4,FALSE)</f>
        <v>Izdaci budžeta</v>
      </c>
      <c r="C103" s="592"/>
      <c r="D103" s="592"/>
      <c r="E103" s="592"/>
      <c r="F103" s="592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93" t="str">
        <f>+VLOOKUP(LEFT($A104,LEN(A104)-1)*1,Master!$D$29:$G$228,4,FALSE)</f>
        <v>Tekući izdaci</v>
      </c>
      <c r="C104" s="594"/>
      <c r="D104" s="594"/>
      <c r="E104" s="594"/>
      <c r="F104" s="594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5" t="str">
        <f>+VLOOKUP(LEFT($A105,LEN(A105)-1)*1,Master!$D$29:$G$228,4,FALSE)</f>
        <v>Bruto zarade i doprinosi na teret poslodavca</v>
      </c>
      <c r="C105" s="576"/>
      <c r="D105" s="576"/>
      <c r="E105" s="576"/>
      <c r="F105" s="576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5" t="str">
        <f>+VLOOKUP(LEFT($A106,LEN(A106)-1)*1,Master!$D$29:$G$228,4,FALSE)</f>
        <v>Ostala lična primanja</v>
      </c>
      <c r="C106" s="576"/>
      <c r="D106" s="576"/>
      <c r="E106" s="576"/>
      <c r="F106" s="576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5" t="str">
        <f>+VLOOKUP(LEFT($A107,LEN(A107)-1)*1,Master!$D$29:$G$228,4,FALSE)</f>
        <v>Rashodi za materijal</v>
      </c>
      <c r="C107" s="576"/>
      <c r="D107" s="576"/>
      <c r="E107" s="576"/>
      <c r="F107" s="576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5" t="str">
        <f>+VLOOKUP(LEFT($A108,LEN(A108)-1)*1,Master!$D$29:$G$228,4,FALSE)</f>
        <v>Rashodi za usluge</v>
      </c>
      <c r="C108" s="576"/>
      <c r="D108" s="576"/>
      <c r="E108" s="576"/>
      <c r="F108" s="576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5" t="str">
        <f>+VLOOKUP(LEFT($A109,LEN(A109)-1)*1,Master!$D$29:$G$228,4,FALSE)</f>
        <v>Rashodi za tekuće održavanje</v>
      </c>
      <c r="C109" s="576"/>
      <c r="D109" s="576"/>
      <c r="E109" s="576"/>
      <c r="F109" s="576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5" t="str">
        <f>+VLOOKUP(LEFT($A110,LEN(A110)-1)*1,Master!$D$29:$G$228,4,FALSE)</f>
        <v>Kamate</v>
      </c>
      <c r="C110" s="576"/>
      <c r="D110" s="576"/>
      <c r="E110" s="576"/>
      <c r="F110" s="576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5" t="str">
        <f>+VLOOKUP(LEFT($A111,LEN(A111)-1)*1,Master!$D$29:$G$228,4,FALSE)</f>
        <v>Renta</v>
      </c>
      <c r="C111" s="576"/>
      <c r="D111" s="576"/>
      <c r="E111" s="576"/>
      <c r="F111" s="576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5" t="str">
        <f>+VLOOKUP(LEFT($A112,LEN(A112)-1)*1,Master!$D$29:$G$228,4,FALSE)</f>
        <v>Subvencije</v>
      </c>
      <c r="C112" s="576"/>
      <c r="D112" s="576"/>
      <c r="E112" s="576"/>
      <c r="F112" s="576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5" t="str">
        <f>+VLOOKUP(LEFT($A113,LEN(A113)-1)*1,Master!$D$29:$G$228,4,FALSE)</f>
        <v>Ostali izdaci</v>
      </c>
      <c r="C113" s="576"/>
      <c r="D113" s="576"/>
      <c r="E113" s="576"/>
      <c r="F113" s="576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99" t="str">
        <f>+VLOOKUP(LEFT($A114,LEN(A114)-1)*1,Master!$D$29:$G$228,4,FALSE)</f>
        <v>Transferi za socijalnu zaštitu</v>
      </c>
      <c r="C114" s="600"/>
      <c r="D114" s="600"/>
      <c r="E114" s="600"/>
      <c r="F114" s="600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5" t="str">
        <f>+VLOOKUP(LEFT($A115,LEN(A115)-1)*1,Master!$D$29:$G$228,4,FALSE)</f>
        <v>Prava iz oblasti socijalne zaštite</v>
      </c>
      <c r="C115" s="576"/>
      <c r="D115" s="576"/>
      <c r="E115" s="576"/>
      <c r="F115" s="576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5" t="str">
        <f>+VLOOKUP(LEFT($A116,LEN(A116)-1)*1,Master!$D$29:$G$228,4,FALSE)</f>
        <v>Sredstva za tehnološke viškove</v>
      </c>
      <c r="C116" s="576"/>
      <c r="D116" s="576"/>
      <c r="E116" s="576"/>
      <c r="F116" s="576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5" t="str">
        <f>+VLOOKUP(LEFT($A117,LEN(A117)-1)*1,Master!$D$29:$G$228,4,FALSE)</f>
        <v>Prava iz oblasti penzijskog i invalidskog osiguranja</v>
      </c>
      <c r="C117" s="576"/>
      <c r="D117" s="576"/>
      <c r="E117" s="576"/>
      <c r="F117" s="576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5" t="str">
        <f>+VLOOKUP(LEFT($A118,LEN(A118)-1)*1,Master!$D$29:$G$228,4,FALSE)</f>
        <v>Ostala prava iz oblasti zdravstvene zaštite</v>
      </c>
      <c r="C118" s="576"/>
      <c r="D118" s="576"/>
      <c r="E118" s="576"/>
      <c r="F118" s="576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5" t="str">
        <f>+VLOOKUP(LEFT($A119,LEN(A119)-1)*1,Master!$D$29:$G$228,4,FALSE)</f>
        <v>Ostala prava iz zdravstvenog osiguranja</v>
      </c>
      <c r="C119" s="576"/>
      <c r="D119" s="576"/>
      <c r="E119" s="576"/>
      <c r="F119" s="576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95" t="str">
        <f>+VLOOKUP(LEFT($A120,LEN(A120)-1)*1,Master!$D$29:$G$228,4,FALSE)</f>
        <v xml:space="preserve">Transferi institucijama, pojedincima, nevladinom i javnom sektoru </v>
      </c>
      <c r="C120" s="596"/>
      <c r="D120" s="596"/>
      <c r="E120" s="596"/>
      <c r="F120" s="596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95" t="str">
        <f>+VLOOKUP(LEFT($A121,LEN(A121)-1)*1,Master!$D$29:$G$228,4,FALSE)</f>
        <v>Kapitalni izdaci</v>
      </c>
      <c r="C121" s="596"/>
      <c r="D121" s="596"/>
      <c r="E121" s="596"/>
      <c r="F121" s="596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97" t="str">
        <f>+VLOOKUP(LEFT($A122,LEN(A122)-1)*1,Master!$D$29:$G$228,4,FALSE)</f>
        <v>Pozajmice i krediti</v>
      </c>
      <c r="C122" s="598"/>
      <c r="D122" s="598"/>
      <c r="E122" s="598"/>
      <c r="F122" s="598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97" t="str">
        <f>+VLOOKUP(LEFT($A123,LEN(A123)-1)*1,Master!$D$29:$G$228,4,FALSE)</f>
        <v>Rezerve</v>
      </c>
      <c r="C123" s="598"/>
      <c r="D123" s="598"/>
      <c r="E123" s="598"/>
      <c r="F123" s="598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97" t="str">
        <f>+VLOOKUP(LEFT($A124,LEN(A124)-1)*1,Master!$D$29:$G$228,4,FALSE)</f>
        <v>Otplata garancija</v>
      </c>
      <c r="C124" s="598"/>
      <c r="D124" s="598"/>
      <c r="E124" s="598"/>
      <c r="F124" s="598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97" t="str">
        <f>+VLOOKUP(LEFT($A125,LEN(A125)-1)*1,Master!$D$29:$G$228,4,FALSE)</f>
        <v>Otplata obaveza iz prethodnog perioda</v>
      </c>
      <c r="C125" s="598"/>
      <c r="D125" s="598"/>
      <c r="E125" s="598"/>
      <c r="F125" s="598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97" t="str">
        <f>+VLOOKUP(LEFT($A126,LEN(A126)-1)*1,Master!$D$29:$G$228,4,FALSE)</f>
        <v>Neto povećanje obaveza</v>
      </c>
      <c r="C126" s="598"/>
      <c r="D126" s="598"/>
      <c r="E126" s="598"/>
      <c r="F126" s="59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605" t="str">
        <f>+VLOOKUP(LEFT($A127,LEN(A127)-1)*1,Master!$D$29:$G$225,4,FALSE)</f>
        <v>Suficit / deficit</v>
      </c>
      <c r="C127" s="606"/>
      <c r="D127" s="606"/>
      <c r="E127" s="606"/>
      <c r="F127" s="606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607" t="str">
        <f>+VLOOKUP(LEFT($A128,LEN(A128)-1)*1,Master!$D$29:$G$225,4,FALSE)</f>
        <v>Primarni suficit/deficit</v>
      </c>
      <c r="C128" s="608"/>
      <c r="D128" s="608"/>
      <c r="E128" s="608"/>
      <c r="F128" s="608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99" t="str">
        <f>+VLOOKUP(LEFT($A129,LEN(A129)-1)*1,Master!$D$29:$G$225,4,FALSE)</f>
        <v>Otplata dugova</v>
      </c>
      <c r="C129" s="600"/>
      <c r="D129" s="600"/>
      <c r="E129" s="600"/>
      <c r="F129" s="600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603" t="str">
        <f>+VLOOKUP(LEFT($A130,LEN(A130)-1)*1,Master!$D$29:$G$225,4,FALSE)</f>
        <v>Otplata hartija od vrijednosti i kredita rezidentima</v>
      </c>
      <c r="C130" s="604"/>
      <c r="D130" s="604"/>
      <c r="E130" s="604"/>
      <c r="F130" s="604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97" t="str">
        <f>+VLOOKUP(LEFT($A131,LEN(A131)-1)*1,Master!$D$29:$G$225,4,FALSE)</f>
        <v>Otplata hartija od vrijednosti i kredita nerezidentima</v>
      </c>
      <c r="C131" s="598"/>
      <c r="D131" s="598"/>
      <c r="E131" s="598"/>
      <c r="F131" s="598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91" t="str">
        <f>+VLOOKUP(LEFT($A132,LEN(A132)-1)*1,Master!$D$29:$G$225,4,FALSE)</f>
        <v>Izdaci za kupovinu hartija od vrijednosti</v>
      </c>
      <c r="C132" s="592"/>
      <c r="D132" s="592"/>
      <c r="E132" s="592"/>
      <c r="F132" s="592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601" t="str">
        <f>+VLOOKUP(LEFT($A133,LEN(A133)-1)*1,Master!$D$29:$G$225,4,FALSE)</f>
        <v>Nedostajuća sredstva</v>
      </c>
      <c r="C133" s="602"/>
      <c r="D133" s="602"/>
      <c r="E133" s="602"/>
      <c r="F133" s="602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91" t="str">
        <f>+VLOOKUP(LEFT($A134,LEN(A134)-1)*1,Master!$D$29:$G$225,4,FALSE)</f>
        <v>Finansiranje</v>
      </c>
      <c r="C134" s="592"/>
      <c r="D134" s="592"/>
      <c r="E134" s="592"/>
      <c r="F134" s="592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603" t="str">
        <f>+VLOOKUP(LEFT($A135,LEN(A135)-1)*1,Master!$D$29:$G$225,4,FALSE)</f>
        <v>Pozajmice i krediti od domaćih izvora</v>
      </c>
      <c r="C135" s="604"/>
      <c r="D135" s="604"/>
      <c r="E135" s="604"/>
      <c r="F135" s="604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97" t="str">
        <f>+VLOOKUP(LEFT($A136,LEN(A136)-1)*1,Master!$D$29:$G$225,4,FALSE)</f>
        <v>Pozajmice i krediti od inostranih izvora</v>
      </c>
      <c r="C136" s="598"/>
      <c r="D136" s="598"/>
      <c r="E136" s="598"/>
      <c r="F136" s="598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97" t="str">
        <f>+VLOOKUP(LEFT($A137,LEN(A137)-1)*1,Master!$D$29:$G$225,4,FALSE)</f>
        <v>Primici od prodaje imovine</v>
      </c>
      <c r="C137" s="598"/>
      <c r="D137" s="598"/>
      <c r="E137" s="598"/>
      <c r="F137" s="598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/4P9/lzbNbAuKFfW/PUO0WOMxJu2Cc0BnfhvZtqnHQbz2ky+vaSDHwFjGEovgxKS1Du4anKHjvjOHvHylYeg9Q==" saltValue="ZTkFG9F7ckFiZW0TgmDjIA==" spinCount="100000" sheet="1" objects="1" scenarios="1" selectLockedCells="1" selectUnlockedCell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H20" sqref="H2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5" t="str">
        <f>+Master!G251</f>
        <v>Ostvarenje budžeta</v>
      </c>
      <c r="C7" s="536"/>
      <c r="D7" s="536"/>
      <c r="E7" s="536"/>
      <c r="F7" s="536"/>
      <c r="G7" s="544">
        <v>2021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8"/>
      <c r="S7" s="235" t="str">
        <f>+Master!G248</f>
        <v>BDP</v>
      </c>
      <c r="T7" s="236">
        <v>4881300000</v>
      </c>
    </row>
    <row r="8" spans="1:20" ht="16.5" customHeight="1">
      <c r="A8" s="144"/>
      <c r="B8" s="537"/>
      <c r="C8" s="538"/>
      <c r="D8" s="538"/>
      <c r="E8" s="538"/>
      <c r="F8" s="53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4" t="str">
        <f>+Master!G246</f>
        <v>Jan - Dec</v>
      </c>
      <c r="T8" s="548"/>
    </row>
    <row r="9" spans="1:20" ht="13.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3" t="str">
        <f>+VLOOKUP($A10,Master!$D$29:$G$225,4,FALSE)</f>
        <v>Prihodi budžeta</v>
      </c>
      <c r="C10" s="504"/>
      <c r="D10" s="504"/>
      <c r="E10" s="504"/>
      <c r="F10" s="504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05" t="str">
        <f>+VLOOKUP($A11,Master!$D$29:$G$225,4,FALSE)</f>
        <v>Porezi</v>
      </c>
      <c r="C11" s="506"/>
      <c r="D11" s="506"/>
      <c r="E11" s="506"/>
      <c r="F11" s="506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07" t="str">
        <f>+VLOOKUP($A12,Master!$D$29:$G$225,4,FALSE)</f>
        <v>Porez na dohodak fizičkih lica</v>
      </c>
      <c r="C12" s="508"/>
      <c r="D12" s="508"/>
      <c r="E12" s="508"/>
      <c r="F12" s="508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07" t="str">
        <f>+VLOOKUP($A13,Master!$D$29:$G$225,4,FALSE)</f>
        <v>Porez na dobit pravnih lica</v>
      </c>
      <c r="C13" s="508"/>
      <c r="D13" s="508"/>
      <c r="E13" s="508"/>
      <c r="F13" s="508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07" t="str">
        <f>+VLOOKUP($A14,Master!$D$29:$G$225,4,FALSE)</f>
        <v>Porez na promet nepokretnosti</v>
      </c>
      <c r="C14" s="508"/>
      <c r="D14" s="508"/>
      <c r="E14" s="508"/>
      <c r="F14" s="508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07" t="str">
        <f>+VLOOKUP($A15,Master!$D$29:$G$225,4,FALSE)</f>
        <v>Porez na dodatu vrijednost</v>
      </c>
      <c r="C15" s="508"/>
      <c r="D15" s="508"/>
      <c r="E15" s="508"/>
      <c r="F15" s="508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07" t="str">
        <f>+VLOOKUP($A16,Master!$D$29:$G$225,4,FALSE)</f>
        <v>Akcize</v>
      </c>
      <c r="C16" s="508"/>
      <c r="D16" s="508"/>
      <c r="E16" s="508"/>
      <c r="F16" s="508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07" t="str">
        <f>+VLOOKUP($A17,Master!$D$29:$G$225,4,FALSE)</f>
        <v>Porez na međunarodnu trgovinu i transakcije</v>
      </c>
      <c r="C17" s="508"/>
      <c r="D17" s="508"/>
      <c r="E17" s="508"/>
      <c r="F17" s="508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07" t="str">
        <f>+VLOOKUP($A18,Master!$D$29:$G$225,4,FALSE)</f>
        <v>Ostali državni porezi</v>
      </c>
      <c r="C18" s="508"/>
      <c r="D18" s="508"/>
      <c r="E18" s="508"/>
      <c r="F18" s="508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11" t="str">
        <f>+VLOOKUP($A19,Master!$D$29:$G$225,4,FALSE)</f>
        <v>Doprinosi</v>
      </c>
      <c r="C19" s="512"/>
      <c r="D19" s="512"/>
      <c r="E19" s="512"/>
      <c r="F19" s="512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07" t="str">
        <f>+VLOOKUP($A20,Master!$D$29:$G$225,4,FALSE)</f>
        <v>Doprinosi za penzijsko i invalidsko osiguranje</v>
      </c>
      <c r="C20" s="508"/>
      <c r="D20" s="508"/>
      <c r="E20" s="508"/>
      <c r="F20" s="508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07" t="str">
        <f>+VLOOKUP($A21,Master!$D$29:$G$225,4,FALSE)</f>
        <v>Doprinosi za zdravstveno osiguranje</v>
      </c>
      <c r="C21" s="508"/>
      <c r="D21" s="508"/>
      <c r="E21" s="508"/>
      <c r="F21" s="508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07" t="str">
        <f>+VLOOKUP($A22,Master!$D$29:$G$225,4,FALSE)</f>
        <v>Doprinosi za osiguranje od nezaposlenosti</v>
      </c>
      <c r="C22" s="508"/>
      <c r="D22" s="508"/>
      <c r="E22" s="508"/>
      <c r="F22" s="508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07" t="str">
        <f>+VLOOKUP($A23,Master!$D$29:$G$225,4,FALSE)</f>
        <v>Ostali doprinosi</v>
      </c>
      <c r="C23" s="508"/>
      <c r="D23" s="508"/>
      <c r="E23" s="508"/>
      <c r="F23" s="508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09" t="str">
        <f>+VLOOKUP($A24,Master!$D$29:$G$225,4,FALSE)</f>
        <v>Takse</v>
      </c>
      <c r="C24" s="510"/>
      <c r="D24" s="510"/>
      <c r="E24" s="510"/>
      <c r="F24" s="510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09" t="str">
        <f>+VLOOKUP($A25,Master!$D$29:$G$225,4,FALSE)</f>
        <v>Naknade</v>
      </c>
      <c r="C25" s="510"/>
      <c r="D25" s="510"/>
      <c r="E25" s="510"/>
      <c r="F25" s="510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09" t="str">
        <f>+VLOOKUP($A26,Master!$D$29:$G$225,4,FALSE)</f>
        <v>Ostali prihodi</v>
      </c>
      <c r="C26" s="510"/>
      <c r="D26" s="510"/>
      <c r="E26" s="510"/>
      <c r="F26" s="510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09" t="str">
        <f>+VLOOKUP($A27,Master!$D$29:$G$225,4,FALSE)</f>
        <v>Primici od otplate kredita i sredstva prenesena iz prethodne godine</v>
      </c>
      <c r="C27" s="510"/>
      <c r="D27" s="510"/>
      <c r="E27" s="510"/>
      <c r="F27" s="510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13" t="str">
        <f>+VLOOKUP($A28,Master!$D$29:$G$225,4,FALSE)</f>
        <v>Donacije i transferi</v>
      </c>
      <c r="C28" s="514"/>
      <c r="D28" s="514"/>
      <c r="E28" s="514"/>
      <c r="F28" s="514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15" t="str">
        <f>+VLOOKUP($A29,Master!$D$29:$G$225,4,FALSE)</f>
        <v>Izdaci budžeta</v>
      </c>
      <c r="C29" s="516"/>
      <c r="D29" s="516"/>
      <c r="E29" s="516"/>
      <c r="F29" s="516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19" t="str">
        <f>+VLOOKUP($A30,Master!$D$29:$G$225,4,FALSE)</f>
        <v>Tekući izdaci</v>
      </c>
      <c r="C30" s="520"/>
      <c r="D30" s="520"/>
      <c r="E30" s="520"/>
      <c r="F30" s="520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07" t="str">
        <f>+VLOOKUP($A31,Master!$D$29:$G$225,4,FALSE)</f>
        <v>Bruto zarade i doprinosi na teret poslodavca</v>
      </c>
      <c r="C31" s="508"/>
      <c r="D31" s="508"/>
      <c r="E31" s="508"/>
      <c r="F31" s="508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07" t="str">
        <f>+VLOOKUP($A32,Master!$D$29:$G$225,4,FALSE)</f>
        <v>Ostala lična primanja</v>
      </c>
      <c r="C32" s="508"/>
      <c r="D32" s="508"/>
      <c r="E32" s="508"/>
      <c r="F32" s="508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07" t="str">
        <f>+VLOOKUP($A33,Master!$D$29:$G$225,4,FALSE)</f>
        <v>Rashodi za materijal</v>
      </c>
      <c r="C33" s="508"/>
      <c r="D33" s="508"/>
      <c r="E33" s="508"/>
      <c r="F33" s="508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556" t="str">
        <f>+VLOOKUP($A34,Master!$D$29:$G$225,4,FALSE)</f>
        <v>Rashodi za usluge</v>
      </c>
      <c r="C34" s="557"/>
      <c r="D34" s="557"/>
      <c r="E34" s="557"/>
      <c r="F34" s="557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07" t="str">
        <f>+VLOOKUP($A35,Master!$D$29:$G$225,4,FALSE)</f>
        <v>Rashodi za tekuće održavanje</v>
      </c>
      <c r="C35" s="508"/>
      <c r="D35" s="508"/>
      <c r="E35" s="508"/>
      <c r="F35" s="508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07" t="str">
        <f>+VLOOKUP($A36,Master!$D$29:$G$225,4,FALSE)</f>
        <v>Kamate</v>
      </c>
      <c r="C36" s="508"/>
      <c r="D36" s="508"/>
      <c r="E36" s="508"/>
      <c r="F36" s="508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07" t="str">
        <f>+VLOOKUP($A37,Master!$D$29:$G$225,4,FALSE)</f>
        <v>Renta</v>
      </c>
      <c r="C37" s="508"/>
      <c r="D37" s="508"/>
      <c r="E37" s="508"/>
      <c r="F37" s="508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07" t="str">
        <f>+VLOOKUP($A38,Master!$D$29:$G$225,4,FALSE)</f>
        <v>Subvencije</v>
      </c>
      <c r="C38" s="508"/>
      <c r="D38" s="508"/>
      <c r="E38" s="508"/>
      <c r="F38" s="508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556" t="str">
        <f>+VLOOKUP($A39,Master!$D$29:$G$225,4,FALSE)</f>
        <v>Ostali izdaci</v>
      </c>
      <c r="C39" s="557"/>
      <c r="D39" s="557"/>
      <c r="E39" s="557"/>
      <c r="F39" s="557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23" t="str">
        <f>+VLOOKUP($A40,Master!$D$29:$G$225,4,FALSE)</f>
        <v>Transferi za socijalnu zaštitu</v>
      </c>
      <c r="C40" s="524"/>
      <c r="D40" s="524"/>
      <c r="E40" s="524"/>
      <c r="F40" s="524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07" t="str">
        <f>+VLOOKUP($A41,Master!$D$29:$G$225,4,FALSE)</f>
        <v>Prava iz oblasti socijalne zaštite</v>
      </c>
      <c r="C41" s="508"/>
      <c r="D41" s="508"/>
      <c r="E41" s="508"/>
      <c r="F41" s="508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07" t="str">
        <f>+VLOOKUP($A42,Master!$D$29:$G$225,4,FALSE)</f>
        <v>Sredstva za tehnološke viškove</v>
      </c>
      <c r="C42" s="508"/>
      <c r="D42" s="508"/>
      <c r="E42" s="508"/>
      <c r="F42" s="508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07" t="str">
        <f>+VLOOKUP($A43,Master!$D$29:$G$225,4,FALSE)</f>
        <v>Prava iz oblasti penzijskog i invalidskog osiguranja</v>
      </c>
      <c r="C43" s="508"/>
      <c r="D43" s="508"/>
      <c r="E43" s="508"/>
      <c r="F43" s="508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07" t="str">
        <f>+VLOOKUP($A44,Master!$D$29:$G$225,4,FALSE)</f>
        <v>Ostala prava iz oblasti zdravstvene zaštite</v>
      </c>
      <c r="C44" s="508"/>
      <c r="D44" s="508"/>
      <c r="E44" s="508"/>
      <c r="F44" s="508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558" t="str">
        <f>+VLOOKUP($A45,Master!$D$29:$G$225,4,FALSE)</f>
        <v>Ostala prava iz zdravstvenog osiguranja</v>
      </c>
      <c r="C45" s="559"/>
      <c r="D45" s="559"/>
      <c r="E45" s="559"/>
      <c r="F45" s="559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21" t="str">
        <f>+VLOOKUP($A46,Master!$D$29:$G$225,4,FALSE)</f>
        <v xml:space="preserve">Transferi institucijama, pojedincima, nevladinom i javnom sektoru </v>
      </c>
      <c r="C46" s="522"/>
      <c r="D46" s="522"/>
      <c r="E46" s="522"/>
      <c r="F46" s="522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21" t="str">
        <f>+VLOOKUP($A47,Master!$D$29:$G$225,4,FALSE)</f>
        <v>Kapitalni izdaci</v>
      </c>
      <c r="C47" s="522"/>
      <c r="D47" s="522"/>
      <c r="E47" s="522"/>
      <c r="F47" s="522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560" t="str">
        <f>+VLOOKUP($A48,Master!$D$29:$G$225,4,FALSE)</f>
        <v>Pozajmice i krediti</v>
      </c>
      <c r="C48" s="561"/>
      <c r="D48" s="561"/>
      <c r="E48" s="561"/>
      <c r="F48" s="561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65" t="str">
        <f>+VLOOKUP($A49,Master!$D$29:$G$225,4,FALSE)</f>
        <v>Rezerve</v>
      </c>
      <c r="C49" s="566"/>
      <c r="D49" s="566"/>
      <c r="E49" s="566"/>
      <c r="F49" s="56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7" t="str">
        <f>+VLOOKUP($A50,Master!$D$29:$G$225,4,FALSE)</f>
        <v>Otplata garancija</v>
      </c>
      <c r="C50" s="528"/>
      <c r="D50" s="528"/>
      <c r="E50" s="528"/>
      <c r="F50" s="528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67" t="str">
        <f>+VLOOKUP($A51,Master!$D$29:$G$225,4,TRUE)</f>
        <v>Otplata obaveza iz prethodnog perioda</v>
      </c>
      <c r="C51" s="568"/>
      <c r="D51" s="568"/>
      <c r="E51" s="568"/>
      <c r="F51" s="56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69" t="str">
        <f>+VLOOKUP($A52,Master!$D$29:$G$227,4,FALSE)</f>
        <v>Neto povećanje obaveza</v>
      </c>
      <c r="C52" s="570"/>
      <c r="D52" s="570"/>
      <c r="E52" s="570"/>
      <c r="F52" s="57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49" t="str">
        <f>+VLOOKUP($A56,Master!$D$29:$G$225,4,FALSE)</f>
        <v>Otplata hartija od vrijednosti i kredita rezidentima</v>
      </c>
      <c r="C56" s="550"/>
      <c r="D56" s="550"/>
      <c r="E56" s="550"/>
      <c r="F56" s="550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25" t="str">
        <f>+VLOOKUP($A57,Master!$D$29:$G$225,4,FALSE)</f>
        <v>Otplata hartija od vrijednosti i kredita nerezidentima</v>
      </c>
      <c r="C57" s="526"/>
      <c r="D57" s="526"/>
      <c r="E57" s="526"/>
      <c r="F57" s="526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17" t="str">
        <f>+VLOOKUP($A58,Master!$D$29:$G$225,4,FALSE)</f>
        <v>Izdaci za kupovinu hartija od vrijednosti</v>
      </c>
      <c r="C58" s="518"/>
      <c r="D58" s="518"/>
      <c r="E58" s="518"/>
      <c r="F58" s="518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51" t="str">
        <f>+VLOOKUP($A59,Master!$D$29:$G$225,4,FALSE)</f>
        <v>Nedostajuća sredstva</v>
      </c>
      <c r="C59" s="552"/>
      <c r="D59" s="552"/>
      <c r="E59" s="552"/>
      <c r="F59" s="552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15" t="str">
        <f>+VLOOKUP($A60,Master!$D$29:$G$225,4,FALSE)</f>
        <v>Finansiranje</v>
      </c>
      <c r="C60" s="516"/>
      <c r="D60" s="516"/>
      <c r="E60" s="516"/>
      <c r="F60" s="516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49" t="str">
        <f>+VLOOKUP($A61,Master!$D$29:$G$225,4,FALSE)</f>
        <v>Pozajmice i krediti od domaćih izvora</v>
      </c>
      <c r="C61" s="550"/>
      <c r="D61" s="550"/>
      <c r="E61" s="550"/>
      <c r="F61" s="55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25" t="str">
        <f>+VLOOKUP($A62,Master!$D$29:$G$225,4,FALSE)</f>
        <v>Pozajmice i krediti od inostranih izvora</v>
      </c>
      <c r="C62" s="526"/>
      <c r="D62" s="526"/>
      <c r="E62" s="526"/>
      <c r="F62" s="526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25" t="str">
        <f>+VLOOKUP($A63,Master!$D$29:$G$225,4,FALSE)</f>
        <v>Primici od prodaje imovine</v>
      </c>
      <c r="C63" s="526"/>
      <c r="D63" s="526"/>
      <c r="E63" s="526"/>
      <c r="F63" s="526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7" t="str">
        <f>+Master!G252</f>
        <v>Plan ostvarenja budžeta</v>
      </c>
      <c r="C81" s="578"/>
      <c r="D81" s="578"/>
      <c r="E81" s="578"/>
      <c r="F81" s="578"/>
      <c r="G81" s="562">
        <v>2021</v>
      </c>
      <c r="H81" s="563"/>
      <c r="I81" s="563"/>
      <c r="J81" s="563"/>
      <c r="K81" s="563"/>
      <c r="L81" s="563"/>
      <c r="M81" s="563"/>
      <c r="N81" s="563"/>
      <c r="O81" s="563"/>
      <c r="P81" s="563"/>
      <c r="Q81" s="563"/>
      <c r="R81" s="564"/>
      <c r="S81" s="107" t="str">
        <f>+S7</f>
        <v>BDP</v>
      </c>
      <c r="T81" s="108">
        <v>4636600000</v>
      </c>
    </row>
    <row r="82" spans="1:21" ht="15.75" customHeight="1">
      <c r="B82" s="579"/>
      <c r="C82" s="580"/>
      <c r="D82" s="580"/>
      <c r="E82" s="580"/>
      <c r="F82" s="581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62" t="str">
        <f>+Master!G246</f>
        <v>Jan - Dec</v>
      </c>
      <c r="T82" s="564">
        <f>+T8</f>
        <v>0</v>
      </c>
    </row>
    <row r="83" spans="1:21" ht="13.5" thickBot="1">
      <c r="B83" s="582"/>
      <c r="C83" s="583"/>
      <c r="D83" s="583"/>
      <c r="E83" s="583"/>
      <c r="F83" s="584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71" t="str">
        <f>+VLOOKUP(LEFT($A84,LEN(A84)-1)*1,Master!$D$29:$G$225,4,FALSE)</f>
        <v>Prihodi budžeta</v>
      </c>
      <c r="C84" s="572"/>
      <c r="D84" s="572"/>
      <c r="E84" s="572"/>
      <c r="F84" s="57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73" t="str">
        <f>+VLOOKUP(LEFT($A85,LEN(A85)-1)*1,Master!$D$29:$G$225,4,FALSE)</f>
        <v>Porezi</v>
      </c>
      <c r="C85" s="574"/>
      <c r="D85" s="574"/>
      <c r="E85" s="574"/>
      <c r="F85" s="57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5" t="str">
        <f>+VLOOKUP(LEFT($A86,LEN(A86)-1)*1,Master!$D$29:$G$228,4,FALSE)</f>
        <v>Porez na dohodak fizičkih lica</v>
      </c>
      <c r="C86" s="576"/>
      <c r="D86" s="576"/>
      <c r="E86" s="576"/>
      <c r="F86" s="576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5" t="str">
        <f>+VLOOKUP(LEFT($A87,LEN(A87)-1)*1,Master!$D$29:$G$228,4,FALSE)</f>
        <v>Porez na dobit pravnih lica</v>
      </c>
      <c r="C87" s="576"/>
      <c r="D87" s="576"/>
      <c r="E87" s="576"/>
      <c r="F87" s="576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5" t="str">
        <f>+VLOOKUP(LEFT($A88,LEN(A88)-1)*1,Master!$D$29:$G$228,4,FALSE)</f>
        <v>Porez na promet nepokretnosti</v>
      </c>
      <c r="C88" s="576"/>
      <c r="D88" s="576"/>
      <c r="E88" s="576"/>
      <c r="F88" s="576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5" t="str">
        <f>+VLOOKUP(LEFT($A89,LEN(A89)-1)*1,Master!$D$29:$G$228,4,FALSE)</f>
        <v>Porez na dodatu vrijednost</v>
      </c>
      <c r="C89" s="576"/>
      <c r="D89" s="576"/>
      <c r="E89" s="576"/>
      <c r="F89" s="576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5" t="str">
        <f>+VLOOKUP(LEFT($A90,LEN(A90)-1)*1,Master!$D$29:$G$228,4,FALSE)</f>
        <v>Akcize</v>
      </c>
      <c r="C90" s="576"/>
      <c r="D90" s="576"/>
      <c r="E90" s="576"/>
      <c r="F90" s="576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5" t="str">
        <f>+VLOOKUP(LEFT($A91,LEN(A91)-1)*1,Master!$D$29:$G$228,4,FALSE)</f>
        <v>Porez na međunarodnu trgovinu i transakcije</v>
      </c>
      <c r="C91" s="576"/>
      <c r="D91" s="576"/>
      <c r="E91" s="576"/>
      <c r="F91" s="576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5" t="str">
        <f>+VLOOKUP(LEFT($A92,LEN(A92)-1)*1,Master!$D$29:$G$228,4,FALSE)</f>
        <v>Ostali državni porezi</v>
      </c>
      <c r="C92" s="576"/>
      <c r="D92" s="576"/>
      <c r="E92" s="576"/>
      <c r="F92" s="576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7" t="str">
        <f>+VLOOKUP(LEFT($A93,LEN(A93)-1)*1,Master!$D$29:$G$228,4,FALSE)</f>
        <v>Doprinosi</v>
      </c>
      <c r="C93" s="588"/>
      <c r="D93" s="588"/>
      <c r="E93" s="588"/>
      <c r="F93" s="588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5" t="str">
        <f>+VLOOKUP(LEFT($A94,LEN(A94)-1)*1,Master!$D$29:$G$228,4,FALSE)</f>
        <v>Doprinosi za penzijsko i invalidsko osiguranje</v>
      </c>
      <c r="C94" s="576"/>
      <c r="D94" s="576"/>
      <c r="E94" s="576"/>
      <c r="F94" s="576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5" t="str">
        <f>+VLOOKUP(LEFT($A95,LEN(A95)-1)*1,Master!$D$29:$G$228,4,FALSE)</f>
        <v>Doprinosi za zdravstveno osiguranje</v>
      </c>
      <c r="C95" s="576"/>
      <c r="D95" s="576"/>
      <c r="E95" s="576"/>
      <c r="F95" s="576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5" t="str">
        <f>+VLOOKUP(LEFT($A96,LEN(A96)-1)*1,Master!$D$29:$G$228,4,FALSE)</f>
        <v>Doprinosi za osiguranje od nezaposlenosti</v>
      </c>
      <c r="C96" s="576"/>
      <c r="D96" s="576"/>
      <c r="E96" s="576"/>
      <c r="F96" s="576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5" t="str">
        <f>+VLOOKUP(LEFT($A97,LEN(A97)-1)*1,Master!$D$29:$G$228,4,FALSE)</f>
        <v>Ostali doprinosi</v>
      </c>
      <c r="C97" s="576"/>
      <c r="D97" s="576"/>
      <c r="E97" s="576"/>
      <c r="F97" s="576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5" t="str">
        <f>+VLOOKUP(LEFT($A98,LEN(A98)-1)*1,Master!$D$29:$G$228,4,FALSE)</f>
        <v>Takse</v>
      </c>
      <c r="C98" s="586"/>
      <c r="D98" s="586"/>
      <c r="E98" s="586"/>
      <c r="F98" s="586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5" t="str">
        <f>+VLOOKUP(LEFT($A99,LEN(A99)-1)*1,Master!$D$29:$G$228,4,FALSE)</f>
        <v>Naknade</v>
      </c>
      <c r="C99" s="586"/>
      <c r="D99" s="586"/>
      <c r="E99" s="586"/>
      <c r="F99" s="586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5" t="str">
        <f>+VLOOKUP(LEFT($A100,LEN(A100)-1)*1,Master!$D$29:$G$228,4,FALSE)</f>
        <v>Ostali prihodi</v>
      </c>
      <c r="C100" s="586"/>
      <c r="D100" s="586"/>
      <c r="E100" s="586"/>
      <c r="F100" s="586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5" t="str">
        <f>+VLOOKUP(LEFT($A101,LEN(A101)-1)*1,Master!$D$29:$G$228,4,FALSE)</f>
        <v>Primici od otplate kredita i sredstva prenesena iz prethodne godine</v>
      </c>
      <c r="C101" s="586"/>
      <c r="D101" s="586"/>
      <c r="E101" s="586"/>
      <c r="F101" s="586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9" t="str">
        <f>+VLOOKUP(LEFT($A102,LEN(A102)-1)*1,Master!$D$29:$G$228,4,FALSE)</f>
        <v>Donacije i transferi</v>
      </c>
      <c r="C102" s="590"/>
      <c r="D102" s="590"/>
      <c r="E102" s="590"/>
      <c r="F102" s="590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91" t="str">
        <f>+VLOOKUP(LEFT($A103,LEN(A103)-1)*1,Master!$D$29:$G$228,4,FALSE)</f>
        <v>Izdaci budžeta</v>
      </c>
      <c r="C103" s="592"/>
      <c r="D103" s="592"/>
      <c r="E103" s="592"/>
      <c r="F103" s="592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3" t="str">
        <f>+VLOOKUP(LEFT($A104,LEN(A104)-1)*1,Master!$D$29:$G$228,4,FALSE)</f>
        <v>Tekući izdaci</v>
      </c>
      <c r="C104" s="594"/>
      <c r="D104" s="594"/>
      <c r="E104" s="594"/>
      <c r="F104" s="594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5" t="str">
        <f>+VLOOKUP(LEFT($A105,LEN(A105)-1)*1,Master!$D$29:$G$228,4,FALSE)</f>
        <v>Bruto zarade i doprinosi na teret poslodavca</v>
      </c>
      <c r="C105" s="576"/>
      <c r="D105" s="576"/>
      <c r="E105" s="576"/>
      <c r="F105" s="576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5" t="str">
        <f>+VLOOKUP(LEFT($A106,LEN(A106)-1)*1,Master!$D$29:$G$228,4,FALSE)</f>
        <v>Ostala lična primanja</v>
      </c>
      <c r="C106" s="576"/>
      <c r="D106" s="576"/>
      <c r="E106" s="576"/>
      <c r="F106" s="576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5" t="str">
        <f>+VLOOKUP(LEFT($A107,LEN(A107)-1)*1,Master!$D$29:$G$228,4,FALSE)</f>
        <v>Rashodi za materijal</v>
      </c>
      <c r="C107" s="576"/>
      <c r="D107" s="576"/>
      <c r="E107" s="576"/>
      <c r="F107" s="576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5" t="str">
        <f>+VLOOKUP(LEFT($A108,LEN(A108)-1)*1,Master!$D$29:$G$228,4,FALSE)</f>
        <v>Rashodi za usluge</v>
      </c>
      <c r="C108" s="576"/>
      <c r="D108" s="576"/>
      <c r="E108" s="576"/>
      <c r="F108" s="576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5" t="str">
        <f>+VLOOKUP(LEFT($A109,LEN(A109)-1)*1,Master!$D$29:$G$228,4,FALSE)</f>
        <v>Rashodi za tekuće održavanje</v>
      </c>
      <c r="C109" s="576"/>
      <c r="D109" s="576"/>
      <c r="E109" s="576"/>
      <c r="F109" s="576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5" t="str">
        <f>+VLOOKUP(LEFT($A110,LEN(A110)-1)*1,Master!$D$29:$G$228,4,FALSE)</f>
        <v>Kamate</v>
      </c>
      <c r="C110" s="576"/>
      <c r="D110" s="576"/>
      <c r="E110" s="576"/>
      <c r="F110" s="576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5" t="str">
        <f>+VLOOKUP(LEFT($A111,LEN(A111)-1)*1,Master!$D$29:$G$228,4,FALSE)</f>
        <v>Renta</v>
      </c>
      <c r="C111" s="576"/>
      <c r="D111" s="576"/>
      <c r="E111" s="576"/>
      <c r="F111" s="576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5" t="str">
        <f>+VLOOKUP(LEFT($A112,LEN(A112)-1)*1,Master!$D$29:$G$228,4,FALSE)</f>
        <v>Subvencije</v>
      </c>
      <c r="C112" s="576"/>
      <c r="D112" s="576"/>
      <c r="E112" s="576"/>
      <c r="F112" s="576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5" t="str">
        <f>+VLOOKUP(LEFT($A113,LEN(A113)-1)*1,Master!$D$29:$G$228,4,FALSE)</f>
        <v>Ostali izdaci</v>
      </c>
      <c r="C113" s="576"/>
      <c r="D113" s="576"/>
      <c r="E113" s="576"/>
      <c r="F113" s="576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99" t="str">
        <f>+VLOOKUP(LEFT($A114,LEN(A114)-1)*1,Master!$D$29:$G$228,4,FALSE)</f>
        <v>Transferi za socijalnu zaštitu</v>
      </c>
      <c r="C114" s="600"/>
      <c r="D114" s="600"/>
      <c r="E114" s="600"/>
      <c r="F114" s="600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5" t="str">
        <f>+VLOOKUP(LEFT($A115,LEN(A115)-1)*1,Master!$D$29:$G$228,4,FALSE)</f>
        <v>Prava iz oblasti socijalne zaštite</v>
      </c>
      <c r="C115" s="576"/>
      <c r="D115" s="576"/>
      <c r="E115" s="576"/>
      <c r="F115" s="576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5" t="str">
        <f>+VLOOKUP(LEFT($A116,LEN(A116)-1)*1,Master!$D$29:$G$228,4,FALSE)</f>
        <v>Sredstva za tehnološke viškove</v>
      </c>
      <c r="C116" s="576"/>
      <c r="D116" s="576"/>
      <c r="E116" s="576"/>
      <c r="F116" s="576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5" t="str">
        <f>+VLOOKUP(LEFT($A117,LEN(A117)-1)*1,Master!$D$29:$G$228,4,FALSE)</f>
        <v>Prava iz oblasti penzijskog i invalidskog osiguranja</v>
      </c>
      <c r="C117" s="576"/>
      <c r="D117" s="576"/>
      <c r="E117" s="576"/>
      <c r="F117" s="576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5" t="str">
        <f>+VLOOKUP(LEFT($A118,LEN(A118)-1)*1,Master!$D$29:$G$228,4,FALSE)</f>
        <v>Ostala prava iz oblasti zdravstvene zaštite</v>
      </c>
      <c r="C118" s="576"/>
      <c r="D118" s="576"/>
      <c r="E118" s="576"/>
      <c r="F118" s="576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5" t="str">
        <f>+VLOOKUP(LEFT($A119,LEN(A119)-1)*1,Master!$D$29:$G$228,4,FALSE)</f>
        <v>Ostala prava iz zdravstvenog osiguranja</v>
      </c>
      <c r="C119" s="576"/>
      <c r="D119" s="576"/>
      <c r="E119" s="576"/>
      <c r="F119" s="576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95" t="str">
        <f>+VLOOKUP(LEFT($A120,LEN(A120)-1)*1,Master!$D$29:$G$228,4,FALSE)</f>
        <v xml:space="preserve">Transferi institucijama, pojedincima, nevladinom i javnom sektoru </v>
      </c>
      <c r="C120" s="596"/>
      <c r="D120" s="596"/>
      <c r="E120" s="596"/>
      <c r="F120" s="596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95" t="str">
        <f>+VLOOKUP(LEFT($A121,LEN(A121)-1)*1,Master!$D$29:$G$228,4,FALSE)</f>
        <v>Kapitalni izdaci</v>
      </c>
      <c r="C121" s="596"/>
      <c r="D121" s="596"/>
      <c r="E121" s="596"/>
      <c r="F121" s="596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97" t="str">
        <f>+VLOOKUP(LEFT($A122,LEN(A122)-1)*1,Master!$D$29:$G$228,4,FALSE)</f>
        <v>Pozajmice i krediti</v>
      </c>
      <c r="C122" s="598"/>
      <c r="D122" s="598"/>
      <c r="E122" s="598"/>
      <c r="F122" s="598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97" t="str">
        <f>+VLOOKUP(LEFT($A123,LEN(A123)-1)*1,Master!$D$29:$G$228,4,FALSE)</f>
        <v>Rezerve</v>
      </c>
      <c r="C123" s="598"/>
      <c r="D123" s="598"/>
      <c r="E123" s="598"/>
      <c r="F123" s="598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97" t="str">
        <f>+VLOOKUP(LEFT($A124,LEN(A124)-1)*1,Master!$D$29:$G$228,4,FALSE)</f>
        <v>Otplata garancija</v>
      </c>
      <c r="C124" s="598"/>
      <c r="D124" s="598"/>
      <c r="E124" s="598"/>
      <c r="F124" s="598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97" t="str">
        <f>+VLOOKUP(LEFT($A125,LEN(A125)-1)*1,Master!$D$29:$G$228,4,FALSE)</f>
        <v>Otplata obaveza iz prethodnog perioda</v>
      </c>
      <c r="C125" s="598"/>
      <c r="D125" s="598"/>
      <c r="E125" s="598"/>
      <c r="F125" s="598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7" t="str">
        <f>+VLOOKUP(LEFT($A126,LEN(A126)-1)*1,Master!$D$29:$G$228,4,FALSE)</f>
        <v>Neto povećanje obaveza</v>
      </c>
      <c r="C126" s="598"/>
      <c r="D126" s="598"/>
      <c r="E126" s="598"/>
      <c r="F126" s="598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605" t="str">
        <f>+VLOOKUP(LEFT($A127,LEN(A127)-1)*1,Master!$D$29:$G$225,4,FALSE)</f>
        <v>Suficit / deficit</v>
      </c>
      <c r="C127" s="606"/>
      <c r="D127" s="606"/>
      <c r="E127" s="606"/>
      <c r="F127" s="606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7" t="str">
        <f>+VLOOKUP(LEFT($A128,LEN(A128)-1)*1,Master!$D$29:$G$225,4,FALSE)</f>
        <v>Primarni suficit/deficit</v>
      </c>
      <c r="C128" s="608"/>
      <c r="D128" s="608"/>
      <c r="E128" s="608"/>
      <c r="F128" s="608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99" t="str">
        <f>+VLOOKUP(LEFT($A129,LEN(A129)-1)*1,Master!$D$29:$G$225,4,FALSE)</f>
        <v>Otplata dugova</v>
      </c>
      <c r="C129" s="600"/>
      <c r="D129" s="600"/>
      <c r="E129" s="600"/>
      <c r="F129" s="600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603" t="str">
        <f>+VLOOKUP(LEFT($A130,LEN(A130)-1)*1,Master!$D$29:$G$225,4,FALSE)</f>
        <v>Otplata hartija od vrijednosti i kredita rezidentima</v>
      </c>
      <c r="C130" s="604"/>
      <c r="D130" s="604"/>
      <c r="E130" s="604"/>
      <c r="F130" s="604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97" t="str">
        <f>+VLOOKUP(LEFT($A131,LEN(A131)-1)*1,Master!$D$29:$G$225,4,FALSE)</f>
        <v>Otplata hartija od vrijednosti i kredita nerezidentima</v>
      </c>
      <c r="C131" s="598"/>
      <c r="D131" s="598"/>
      <c r="E131" s="598"/>
      <c r="F131" s="598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91" t="str">
        <f>+VLOOKUP(LEFT($A132,LEN(A132)-1)*1,Master!$D$29:$G$225,4,FALSE)</f>
        <v>Izdaci za kupovinu hartija od vrijednosti</v>
      </c>
      <c r="C132" s="592"/>
      <c r="D132" s="592"/>
      <c r="E132" s="592"/>
      <c r="F132" s="592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601" t="str">
        <f>+VLOOKUP(LEFT($A133,LEN(A133)-1)*1,Master!$D$29:$G$225,4,FALSE)</f>
        <v>Nedostajuća sredstva</v>
      </c>
      <c r="C133" s="602"/>
      <c r="D133" s="602"/>
      <c r="E133" s="602"/>
      <c r="F133" s="602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91" t="str">
        <f>+VLOOKUP(LEFT($A134,LEN(A134)-1)*1,Master!$D$29:$G$225,4,FALSE)</f>
        <v>Finansiranje</v>
      </c>
      <c r="C134" s="592"/>
      <c r="D134" s="592"/>
      <c r="E134" s="592"/>
      <c r="F134" s="592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603" t="str">
        <f>+VLOOKUP(LEFT($A135,LEN(A135)-1)*1,Master!$D$29:$G$225,4,FALSE)</f>
        <v>Pozajmice i krediti od domaćih izvora</v>
      </c>
      <c r="C135" s="604"/>
      <c r="D135" s="604"/>
      <c r="E135" s="604"/>
      <c r="F135" s="604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97" t="str">
        <f>+VLOOKUP(LEFT($A136,LEN(A136)-1)*1,Master!$D$29:$G$225,4,FALSE)</f>
        <v>Pozajmice i krediti od inostranih izvora</v>
      </c>
      <c r="C136" s="598"/>
      <c r="D136" s="598"/>
      <c r="E136" s="598"/>
      <c r="F136" s="598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97" t="str">
        <f>+VLOOKUP(LEFT($A137,LEN(A137)-1)*1,Master!$D$29:$G$225,4,FALSE)</f>
        <v>Primici od prodaje imovine</v>
      </c>
      <c r="C137" s="598"/>
      <c r="D137" s="598"/>
      <c r="E137" s="598"/>
      <c r="F137" s="598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38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5" t="str">
        <f>+Master!G251</f>
        <v>Ostvarenje budžeta</v>
      </c>
      <c r="C7" s="536"/>
      <c r="D7" s="536"/>
      <c r="E7" s="536"/>
      <c r="F7" s="536"/>
      <c r="G7" s="544">
        <v>2020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8"/>
      <c r="S7" s="235" t="str">
        <f>+Master!G248</f>
        <v>BDP</v>
      </c>
      <c r="T7" s="236">
        <v>4185600000</v>
      </c>
    </row>
    <row r="8" spans="1:20" ht="16.5" customHeight="1">
      <c r="A8" s="144"/>
      <c r="B8" s="537"/>
      <c r="C8" s="538"/>
      <c r="D8" s="538"/>
      <c r="E8" s="538"/>
      <c r="F8" s="539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4" t="str">
        <f>+Master!G246</f>
        <v>Jan - Dec</v>
      </c>
      <c r="T8" s="548"/>
    </row>
    <row r="9" spans="1:20" ht="13.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3" t="str">
        <f>+VLOOKUP($A10,Master!$D$29:$G$225,4,FALSE)</f>
        <v>Prihodi budžeta</v>
      </c>
      <c r="C10" s="504"/>
      <c r="D10" s="504"/>
      <c r="E10" s="504"/>
      <c r="F10" s="504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05" t="str">
        <f>+VLOOKUP($A11,Master!$D$29:$G$225,4,FALSE)</f>
        <v>Porezi</v>
      </c>
      <c r="C11" s="506"/>
      <c r="D11" s="506"/>
      <c r="E11" s="506"/>
      <c r="F11" s="506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07" t="str">
        <f>+VLOOKUP($A12,Master!$D$29:$G$225,4,FALSE)</f>
        <v>Porez na dohodak fizičkih lica</v>
      </c>
      <c r="C12" s="508"/>
      <c r="D12" s="508"/>
      <c r="E12" s="508"/>
      <c r="F12" s="508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07" t="str">
        <f>+VLOOKUP($A13,Master!$D$29:$G$225,4,FALSE)</f>
        <v>Porez na dobit pravnih lica</v>
      </c>
      <c r="C13" s="508"/>
      <c r="D13" s="508"/>
      <c r="E13" s="508"/>
      <c r="F13" s="508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07" t="str">
        <f>+VLOOKUP($A14,Master!$D$29:$G$225,4,FALSE)</f>
        <v>Porez na promet nepokretnosti</v>
      </c>
      <c r="C14" s="508"/>
      <c r="D14" s="508"/>
      <c r="E14" s="508"/>
      <c r="F14" s="508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07" t="str">
        <f>+VLOOKUP($A15,Master!$D$29:$G$225,4,FALSE)</f>
        <v>Porez na dodatu vrijednost</v>
      </c>
      <c r="C15" s="508"/>
      <c r="D15" s="508"/>
      <c r="E15" s="508"/>
      <c r="F15" s="508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07" t="str">
        <f>+VLOOKUP($A16,Master!$D$29:$G$225,4,FALSE)</f>
        <v>Akcize</v>
      </c>
      <c r="C16" s="508"/>
      <c r="D16" s="508"/>
      <c r="E16" s="508"/>
      <c r="F16" s="508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07" t="str">
        <f>+VLOOKUP($A17,Master!$D$29:$G$225,4,FALSE)</f>
        <v>Porez na međunarodnu trgovinu i transakcije</v>
      </c>
      <c r="C17" s="508"/>
      <c r="D17" s="508"/>
      <c r="E17" s="508"/>
      <c r="F17" s="508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07" t="str">
        <f>+VLOOKUP($A18,Master!$D$29:$G$225,4,FALSE)</f>
        <v>Ostali državni porezi</v>
      </c>
      <c r="C18" s="508"/>
      <c r="D18" s="508"/>
      <c r="E18" s="508"/>
      <c r="F18" s="508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11" t="str">
        <f>+VLOOKUP($A19,Master!$D$29:$G$225,4,FALSE)</f>
        <v>Doprinosi</v>
      </c>
      <c r="C19" s="512"/>
      <c r="D19" s="512"/>
      <c r="E19" s="512"/>
      <c r="F19" s="512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07" t="str">
        <f>+VLOOKUP($A20,Master!$D$29:$G$225,4,FALSE)</f>
        <v>Doprinosi za penzijsko i invalidsko osiguranje</v>
      </c>
      <c r="C20" s="508"/>
      <c r="D20" s="508"/>
      <c r="E20" s="508"/>
      <c r="F20" s="508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07" t="str">
        <f>+VLOOKUP($A21,Master!$D$29:$G$225,4,FALSE)</f>
        <v>Doprinosi za zdravstveno osiguranje</v>
      </c>
      <c r="C21" s="508"/>
      <c r="D21" s="508"/>
      <c r="E21" s="508"/>
      <c r="F21" s="508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07" t="str">
        <f>+VLOOKUP($A22,Master!$D$29:$G$225,4,FALSE)</f>
        <v>Doprinosi za osiguranje od nezaposlenosti</v>
      </c>
      <c r="C22" s="508"/>
      <c r="D22" s="508"/>
      <c r="E22" s="508"/>
      <c r="F22" s="508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07" t="str">
        <f>+VLOOKUP($A23,Master!$D$29:$G$225,4,FALSE)</f>
        <v>Ostali doprinosi</v>
      </c>
      <c r="C23" s="508"/>
      <c r="D23" s="508"/>
      <c r="E23" s="508"/>
      <c r="F23" s="508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09" t="str">
        <f>+VLOOKUP($A24,Master!$D$29:$G$225,4,FALSE)</f>
        <v>Takse</v>
      </c>
      <c r="C24" s="510"/>
      <c r="D24" s="510"/>
      <c r="E24" s="510"/>
      <c r="F24" s="510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09" t="str">
        <f>+VLOOKUP($A25,Master!$D$29:$G$225,4,FALSE)</f>
        <v>Naknade</v>
      </c>
      <c r="C25" s="510"/>
      <c r="D25" s="510"/>
      <c r="E25" s="510"/>
      <c r="F25" s="510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09" t="str">
        <f>+VLOOKUP($A26,Master!$D$29:$G$225,4,FALSE)</f>
        <v>Ostali prihodi</v>
      </c>
      <c r="C26" s="510"/>
      <c r="D26" s="510"/>
      <c r="E26" s="510"/>
      <c r="F26" s="510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09" t="str">
        <f>+VLOOKUP($A27,Master!$D$29:$G$225,4,FALSE)</f>
        <v>Primici od otplate kredita i sredstva prenesena iz prethodne godine</v>
      </c>
      <c r="C27" s="510"/>
      <c r="D27" s="510"/>
      <c r="E27" s="510"/>
      <c r="F27" s="510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13" t="str">
        <f>+VLOOKUP($A28,Master!$D$29:$G$225,4,FALSE)</f>
        <v>Donacije i transferi</v>
      </c>
      <c r="C28" s="514"/>
      <c r="D28" s="514"/>
      <c r="E28" s="514"/>
      <c r="F28" s="51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15" t="str">
        <f>+VLOOKUP($A29,Master!$D$29:$G$225,4,FALSE)</f>
        <v>Izdaci budžeta</v>
      </c>
      <c r="C29" s="516"/>
      <c r="D29" s="516"/>
      <c r="E29" s="516"/>
      <c r="F29" s="516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19" t="str">
        <f>+VLOOKUP($A30,Master!$D$29:$G$225,4,FALSE)</f>
        <v>Tekući izdaci</v>
      </c>
      <c r="C30" s="520"/>
      <c r="D30" s="520"/>
      <c r="E30" s="520"/>
      <c r="F30" s="520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07" t="str">
        <f>+VLOOKUP($A31,Master!$D$29:$G$225,4,FALSE)</f>
        <v>Bruto zarade i doprinosi na teret poslodavca</v>
      </c>
      <c r="C31" s="508"/>
      <c r="D31" s="508"/>
      <c r="E31" s="508"/>
      <c r="F31" s="508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07" t="str">
        <f>+VLOOKUP($A32,Master!$D$29:$G$225,4,FALSE)</f>
        <v>Ostala lična primanja</v>
      </c>
      <c r="C32" s="508"/>
      <c r="D32" s="508"/>
      <c r="E32" s="508"/>
      <c r="F32" s="508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07" t="str">
        <f>+VLOOKUP($A33,Master!$D$29:$G$225,4,FALSE)</f>
        <v>Rashodi za materijal</v>
      </c>
      <c r="C33" s="508"/>
      <c r="D33" s="508"/>
      <c r="E33" s="508"/>
      <c r="F33" s="508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556" t="str">
        <f>+VLOOKUP($A34,Master!$D$29:$G$225,4,FALSE)</f>
        <v>Rashodi za usluge</v>
      </c>
      <c r="C34" s="557"/>
      <c r="D34" s="557"/>
      <c r="E34" s="557"/>
      <c r="F34" s="557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07" t="str">
        <f>+VLOOKUP($A35,Master!$D$29:$G$225,4,FALSE)</f>
        <v>Rashodi za tekuće održavanje</v>
      </c>
      <c r="C35" s="508"/>
      <c r="D35" s="508"/>
      <c r="E35" s="508"/>
      <c r="F35" s="508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07" t="str">
        <f>+VLOOKUP($A36,Master!$D$29:$G$225,4,FALSE)</f>
        <v>Kamate</v>
      </c>
      <c r="C36" s="508"/>
      <c r="D36" s="508"/>
      <c r="E36" s="508"/>
      <c r="F36" s="508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07" t="str">
        <f>+VLOOKUP($A37,Master!$D$29:$G$225,4,FALSE)</f>
        <v>Renta</v>
      </c>
      <c r="C37" s="508"/>
      <c r="D37" s="508"/>
      <c r="E37" s="508"/>
      <c r="F37" s="508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07" t="str">
        <f>+VLOOKUP($A38,Master!$D$29:$G$225,4,FALSE)</f>
        <v>Subvencije</v>
      </c>
      <c r="C38" s="508"/>
      <c r="D38" s="508"/>
      <c r="E38" s="508"/>
      <c r="F38" s="508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556" t="str">
        <f>+VLOOKUP($A39,Master!$D$29:$G$225,4,FALSE)</f>
        <v>Ostali izdaci</v>
      </c>
      <c r="C39" s="557"/>
      <c r="D39" s="557"/>
      <c r="E39" s="557"/>
      <c r="F39" s="557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23" t="str">
        <f>+VLOOKUP($A40,Master!$D$29:$G$225,4,FALSE)</f>
        <v>Transferi za socijalnu zaštitu</v>
      </c>
      <c r="C40" s="524"/>
      <c r="D40" s="524"/>
      <c r="E40" s="524"/>
      <c r="F40" s="524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07" t="str">
        <f>+VLOOKUP($A41,Master!$D$29:$G$225,4,FALSE)</f>
        <v>Prava iz oblasti socijalne zaštite</v>
      </c>
      <c r="C41" s="508"/>
      <c r="D41" s="508"/>
      <c r="E41" s="508"/>
      <c r="F41" s="508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07" t="str">
        <f>+VLOOKUP($A42,Master!$D$29:$G$225,4,FALSE)</f>
        <v>Sredstva za tehnološke viškove</v>
      </c>
      <c r="C42" s="508"/>
      <c r="D42" s="508"/>
      <c r="E42" s="508"/>
      <c r="F42" s="508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07" t="str">
        <f>+VLOOKUP($A43,Master!$D$29:$G$225,4,FALSE)</f>
        <v>Prava iz oblasti penzijskog i invalidskog osiguranja</v>
      </c>
      <c r="C43" s="508"/>
      <c r="D43" s="508"/>
      <c r="E43" s="508"/>
      <c r="F43" s="508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07" t="str">
        <f>+VLOOKUP($A44,Master!$D$29:$G$225,4,FALSE)</f>
        <v>Ostala prava iz oblasti zdravstvene zaštite</v>
      </c>
      <c r="C44" s="508"/>
      <c r="D44" s="508"/>
      <c r="E44" s="508"/>
      <c r="F44" s="508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558" t="str">
        <f>+VLOOKUP($A45,Master!$D$29:$G$225,4,FALSE)</f>
        <v>Ostala prava iz zdravstvenog osiguranja</v>
      </c>
      <c r="C45" s="559"/>
      <c r="D45" s="559"/>
      <c r="E45" s="559"/>
      <c r="F45" s="559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21" t="str">
        <f>+VLOOKUP($A46,Master!$D$29:$G$225,4,FALSE)</f>
        <v xml:space="preserve">Transferi institucijama, pojedincima, nevladinom i javnom sektoru </v>
      </c>
      <c r="C46" s="522"/>
      <c r="D46" s="522"/>
      <c r="E46" s="522"/>
      <c r="F46" s="522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21" t="str">
        <f>+VLOOKUP($A47,Master!$D$29:$G$225,4,FALSE)</f>
        <v>Kapitalni izdaci</v>
      </c>
      <c r="C47" s="522"/>
      <c r="D47" s="522"/>
      <c r="E47" s="522"/>
      <c r="F47" s="522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560" t="str">
        <f>+VLOOKUP($A48,Master!$D$29:$G$225,4,FALSE)</f>
        <v>Pozajmice i krediti</v>
      </c>
      <c r="C48" s="561"/>
      <c r="D48" s="561"/>
      <c r="E48" s="561"/>
      <c r="F48" s="561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65" t="str">
        <f>+VLOOKUP($A49,Master!$D$29:$G$225,4,FALSE)</f>
        <v>Rezerve</v>
      </c>
      <c r="C49" s="566"/>
      <c r="D49" s="566"/>
      <c r="E49" s="566"/>
      <c r="F49" s="56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7" t="str">
        <f>+VLOOKUP($A50,Master!$D$29:$G$225,4,FALSE)</f>
        <v>Otplata garancija</v>
      </c>
      <c r="C50" s="528"/>
      <c r="D50" s="528"/>
      <c r="E50" s="528"/>
      <c r="F50" s="528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67" t="str">
        <f>+VLOOKUP($A51,Master!$D$29:$G$225,4,TRUE)</f>
        <v>Otplata obaveza iz prethodnog perioda</v>
      </c>
      <c r="C51" s="568"/>
      <c r="D51" s="568"/>
      <c r="E51" s="568"/>
      <c r="F51" s="56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69" t="str">
        <f>+VLOOKUP($A52,Master!$D$29:$G$227,4,FALSE)</f>
        <v>Neto povećanje obaveza</v>
      </c>
      <c r="C52" s="570"/>
      <c r="D52" s="570"/>
      <c r="E52" s="570"/>
      <c r="F52" s="57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9" t="str">
        <f>+VLOOKUP($A53,Master!$D$29:$G$225,4,FALSE)</f>
        <v>Suficit / deficit</v>
      </c>
      <c r="C53" s="530"/>
      <c r="D53" s="530"/>
      <c r="E53" s="530"/>
      <c r="F53" s="530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1" t="str">
        <f>+VLOOKUP($A54,Master!$D$29:$G$225,4,FALSE)</f>
        <v>Primarni suficit/deficit</v>
      </c>
      <c r="C54" s="532"/>
      <c r="D54" s="532"/>
      <c r="E54" s="532"/>
      <c r="F54" s="532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3" t="str">
        <f>+VLOOKUP($A55,Master!$D$29:$G$225,4,FALSE)</f>
        <v>Otplata dugova</v>
      </c>
      <c r="C55" s="554"/>
      <c r="D55" s="554"/>
      <c r="E55" s="554"/>
      <c r="F55" s="554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49" t="str">
        <f>+VLOOKUP($A56,Master!$D$29:$G$225,4,FALSE)</f>
        <v>Otplata hartija od vrijednosti i kredita rezidentima</v>
      </c>
      <c r="C56" s="550"/>
      <c r="D56" s="550"/>
      <c r="E56" s="550"/>
      <c r="F56" s="550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25" t="str">
        <f>+VLOOKUP($A57,Master!$D$29:$G$225,4,FALSE)</f>
        <v>Otplata hartija od vrijednosti i kredita nerezidentima</v>
      </c>
      <c r="C57" s="526"/>
      <c r="D57" s="526"/>
      <c r="E57" s="526"/>
      <c r="F57" s="526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17" t="str">
        <f>+VLOOKUP($A58,Master!$D$29:$G$225,4,FALSE)</f>
        <v>Izdaci za kupovinu hartija od vrijednosti</v>
      </c>
      <c r="C58" s="518"/>
      <c r="D58" s="518"/>
      <c r="E58" s="518"/>
      <c r="F58" s="518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51" t="str">
        <f>+VLOOKUP($A59,Master!$D$29:$G$225,4,FALSE)</f>
        <v>Nedostajuća sredstva</v>
      </c>
      <c r="C59" s="552"/>
      <c r="D59" s="552"/>
      <c r="E59" s="552"/>
      <c r="F59" s="552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15" t="str">
        <f>+VLOOKUP($A60,Master!$D$29:$G$225,4,FALSE)</f>
        <v>Finansiranje</v>
      </c>
      <c r="C60" s="516"/>
      <c r="D60" s="516"/>
      <c r="E60" s="516"/>
      <c r="F60" s="516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49" t="str">
        <f>+VLOOKUP($A61,Master!$D$29:$G$225,4,FALSE)</f>
        <v>Pozajmice i krediti od domaćih izvora</v>
      </c>
      <c r="C61" s="550"/>
      <c r="D61" s="550"/>
      <c r="E61" s="550"/>
      <c r="F61" s="550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25" t="str">
        <f>+VLOOKUP($A62,Master!$D$29:$G$225,4,FALSE)</f>
        <v>Pozajmice i krediti od inostranih izvora</v>
      </c>
      <c r="C62" s="526"/>
      <c r="D62" s="526"/>
      <c r="E62" s="526"/>
      <c r="F62" s="526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25" t="str">
        <f>+VLOOKUP($A63,Master!$D$29:$G$225,4,FALSE)</f>
        <v>Primici od prodaje imovine</v>
      </c>
      <c r="C63" s="526"/>
      <c r="D63" s="526"/>
      <c r="E63" s="526"/>
      <c r="F63" s="526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7" t="str">
        <f>+Master!G252</f>
        <v>Plan ostvarenja budžeta</v>
      </c>
      <c r="C100" s="578"/>
      <c r="D100" s="578"/>
      <c r="E100" s="578"/>
      <c r="F100" s="578"/>
      <c r="G100" s="562">
        <v>2020</v>
      </c>
      <c r="H100" s="563"/>
      <c r="I100" s="563"/>
      <c r="J100" s="563"/>
      <c r="K100" s="563"/>
      <c r="L100" s="563"/>
      <c r="M100" s="563"/>
      <c r="N100" s="563"/>
      <c r="O100" s="563"/>
      <c r="P100" s="563"/>
      <c r="Q100" s="563"/>
      <c r="R100" s="564"/>
      <c r="S100" s="107" t="str">
        <f>+S7</f>
        <v>BDP</v>
      </c>
      <c r="T100" s="108">
        <v>4607300000</v>
      </c>
    </row>
    <row r="101" spans="1:21" ht="15.75" customHeight="1">
      <c r="B101" s="579"/>
      <c r="C101" s="580"/>
      <c r="D101" s="580"/>
      <c r="E101" s="580"/>
      <c r="F101" s="581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2" t="str">
        <f>+Master!G246</f>
        <v>Jan - Dec</v>
      </c>
      <c r="T101" s="564">
        <f>+T8</f>
        <v>0</v>
      </c>
    </row>
    <row r="102" spans="1:21" ht="13.5" thickBot="1">
      <c r="B102" s="582"/>
      <c r="C102" s="583"/>
      <c r="D102" s="583"/>
      <c r="E102" s="583"/>
      <c r="F102" s="58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71" t="str">
        <f>+VLOOKUP(LEFT($A103,LEN(A103)-1)*1,Master!$D$29:$G$225,4,FALSE)</f>
        <v>Prihodi budžeta</v>
      </c>
      <c r="C103" s="572"/>
      <c r="D103" s="572"/>
      <c r="E103" s="572"/>
      <c r="F103" s="57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73" t="str">
        <f>+VLOOKUP(LEFT($A104,LEN(A104)-1)*1,Master!$D$29:$G$225,4,FALSE)</f>
        <v>Porezi</v>
      </c>
      <c r="C104" s="574"/>
      <c r="D104" s="574"/>
      <c r="E104" s="574"/>
      <c r="F104" s="57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5" t="str">
        <f>+VLOOKUP(LEFT($A105,LEN(A105)-1)*1,Master!$D$29:$G$228,4,FALSE)</f>
        <v>Porez na dohodak fizičkih lica</v>
      </c>
      <c r="C105" s="576"/>
      <c r="D105" s="576"/>
      <c r="E105" s="576"/>
      <c r="F105" s="576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5" t="str">
        <f>+VLOOKUP(LEFT($A106,LEN(A106)-1)*1,Master!$D$29:$G$228,4,FALSE)</f>
        <v>Porez na dobit pravnih lica</v>
      </c>
      <c r="C106" s="576"/>
      <c r="D106" s="576"/>
      <c r="E106" s="576"/>
      <c r="F106" s="576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5" t="str">
        <f>+VLOOKUP(LEFT($A107,LEN(A107)-1)*1,Master!$D$29:$G$228,4,FALSE)</f>
        <v>Porez na promet nepokretnosti</v>
      </c>
      <c r="C107" s="576"/>
      <c r="D107" s="576"/>
      <c r="E107" s="576"/>
      <c r="F107" s="576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5" t="str">
        <f>+VLOOKUP(LEFT($A108,LEN(A108)-1)*1,Master!$D$29:$G$228,4,FALSE)</f>
        <v>Porez na dodatu vrijednost</v>
      </c>
      <c r="C108" s="576"/>
      <c r="D108" s="576"/>
      <c r="E108" s="576"/>
      <c r="F108" s="576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5" t="str">
        <f>+VLOOKUP(LEFT($A109,LEN(A109)-1)*1,Master!$D$29:$G$228,4,FALSE)</f>
        <v>Akcize</v>
      </c>
      <c r="C109" s="576"/>
      <c r="D109" s="576"/>
      <c r="E109" s="576"/>
      <c r="F109" s="576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5" t="str">
        <f>+VLOOKUP(LEFT($A110,LEN(A110)-1)*1,Master!$D$29:$G$228,4,FALSE)</f>
        <v>Porez na međunarodnu trgovinu i transakcije</v>
      </c>
      <c r="C110" s="576"/>
      <c r="D110" s="576"/>
      <c r="E110" s="576"/>
      <c r="F110" s="576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5" t="str">
        <f>+VLOOKUP(LEFT($A111,LEN(A111)-1)*1,Master!$D$29:$G$228,4,FALSE)</f>
        <v>Ostali državni porezi</v>
      </c>
      <c r="C111" s="576"/>
      <c r="D111" s="576"/>
      <c r="E111" s="576"/>
      <c r="F111" s="576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7" t="str">
        <f>+VLOOKUP(LEFT($A112,LEN(A112)-1)*1,Master!$D$29:$G$228,4,FALSE)</f>
        <v>Doprinosi</v>
      </c>
      <c r="C112" s="588"/>
      <c r="D112" s="588"/>
      <c r="E112" s="588"/>
      <c r="F112" s="588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5" t="str">
        <f>+VLOOKUP(LEFT($A113,LEN(A113)-1)*1,Master!$D$29:$G$228,4,FALSE)</f>
        <v>Doprinosi za penzijsko i invalidsko osiguranje</v>
      </c>
      <c r="C113" s="576"/>
      <c r="D113" s="576"/>
      <c r="E113" s="576"/>
      <c r="F113" s="576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5" t="str">
        <f>+VLOOKUP(LEFT($A114,LEN(A114)-1)*1,Master!$D$29:$G$228,4,FALSE)</f>
        <v>Doprinosi za zdravstveno osiguranje</v>
      </c>
      <c r="C114" s="576"/>
      <c r="D114" s="576"/>
      <c r="E114" s="576"/>
      <c r="F114" s="576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5" t="str">
        <f>+VLOOKUP(LEFT($A115,LEN(A115)-1)*1,Master!$D$29:$G$228,4,FALSE)</f>
        <v>Doprinosi za osiguranje od nezaposlenosti</v>
      </c>
      <c r="C115" s="576"/>
      <c r="D115" s="576"/>
      <c r="E115" s="576"/>
      <c r="F115" s="576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5" t="str">
        <f>+VLOOKUP(LEFT($A116,LEN(A116)-1)*1,Master!$D$29:$G$228,4,FALSE)</f>
        <v>Ostali doprinosi</v>
      </c>
      <c r="C116" s="576"/>
      <c r="D116" s="576"/>
      <c r="E116" s="576"/>
      <c r="F116" s="576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5" t="str">
        <f>+VLOOKUP(LEFT($A117,LEN(A117)-1)*1,Master!$D$29:$G$228,4,FALSE)</f>
        <v>Takse</v>
      </c>
      <c r="C117" s="586"/>
      <c r="D117" s="586"/>
      <c r="E117" s="586"/>
      <c r="F117" s="586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5" t="str">
        <f>+VLOOKUP(LEFT($A118,LEN(A118)-1)*1,Master!$D$29:$G$228,4,FALSE)</f>
        <v>Naknade</v>
      </c>
      <c r="C118" s="586"/>
      <c r="D118" s="586"/>
      <c r="E118" s="586"/>
      <c r="F118" s="586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5" t="str">
        <f>+VLOOKUP(LEFT($A119,LEN(A119)-1)*1,Master!$D$29:$G$228,4,FALSE)</f>
        <v>Ostali prihodi</v>
      </c>
      <c r="C119" s="586"/>
      <c r="D119" s="586"/>
      <c r="E119" s="586"/>
      <c r="F119" s="586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5" t="str">
        <f>+VLOOKUP(LEFT($A120,LEN(A120)-1)*1,Master!$D$29:$G$228,4,FALSE)</f>
        <v>Primici od otplate kredita i sredstva prenesena iz prethodne godine</v>
      </c>
      <c r="C120" s="586"/>
      <c r="D120" s="586"/>
      <c r="E120" s="586"/>
      <c r="F120" s="586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9" t="str">
        <f>+VLOOKUP(LEFT($A121,LEN(A121)-1)*1,Master!$D$29:$G$228,4,FALSE)</f>
        <v>Donacije i transferi</v>
      </c>
      <c r="C121" s="590"/>
      <c r="D121" s="590"/>
      <c r="E121" s="590"/>
      <c r="F121" s="590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91" t="str">
        <f>+VLOOKUP(LEFT($A122,LEN(A122)-1)*1,Master!$D$29:$G$228,4,FALSE)</f>
        <v>Izdaci budžeta</v>
      </c>
      <c r="C122" s="592"/>
      <c r="D122" s="592"/>
      <c r="E122" s="592"/>
      <c r="F122" s="592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93" t="str">
        <f>+VLOOKUP(LEFT($A123,LEN(A123)-1)*1,Master!$D$29:$G$228,4,FALSE)</f>
        <v>Tekući izdaci</v>
      </c>
      <c r="C123" s="594"/>
      <c r="D123" s="594"/>
      <c r="E123" s="594"/>
      <c r="F123" s="594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5" t="str">
        <f>+VLOOKUP(LEFT($A124,LEN(A124)-1)*1,Master!$D$29:$G$228,4,FALSE)</f>
        <v>Bruto zarade i doprinosi na teret poslodavca</v>
      </c>
      <c r="C124" s="576"/>
      <c r="D124" s="576"/>
      <c r="E124" s="576"/>
      <c r="F124" s="576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5" t="str">
        <f>+VLOOKUP(LEFT($A125,LEN(A125)-1)*1,Master!$D$29:$G$228,4,FALSE)</f>
        <v>Ostala lična primanja</v>
      </c>
      <c r="C125" s="576"/>
      <c r="D125" s="576"/>
      <c r="E125" s="576"/>
      <c r="F125" s="576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5" t="str">
        <f>+VLOOKUP(LEFT($A126,LEN(A126)-1)*1,Master!$D$29:$G$228,4,FALSE)</f>
        <v>Rashodi za materijal</v>
      </c>
      <c r="C126" s="576"/>
      <c r="D126" s="576"/>
      <c r="E126" s="576"/>
      <c r="F126" s="576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5" t="str">
        <f>+VLOOKUP(LEFT($A127,LEN(A127)-1)*1,Master!$D$29:$G$228,4,FALSE)</f>
        <v>Rashodi za usluge</v>
      </c>
      <c r="C127" s="576"/>
      <c r="D127" s="576"/>
      <c r="E127" s="576"/>
      <c r="F127" s="576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5" t="str">
        <f>+VLOOKUP(LEFT($A128,LEN(A128)-1)*1,Master!$D$29:$G$228,4,FALSE)</f>
        <v>Rashodi za tekuće održavanje</v>
      </c>
      <c r="C128" s="576"/>
      <c r="D128" s="576"/>
      <c r="E128" s="576"/>
      <c r="F128" s="576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5" t="str">
        <f>+VLOOKUP(LEFT($A129,LEN(A129)-1)*1,Master!$D$29:$G$228,4,FALSE)</f>
        <v>Kamate</v>
      </c>
      <c r="C129" s="576"/>
      <c r="D129" s="576"/>
      <c r="E129" s="576"/>
      <c r="F129" s="576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5" t="str">
        <f>+VLOOKUP(LEFT($A130,LEN(A130)-1)*1,Master!$D$29:$G$228,4,FALSE)</f>
        <v>Renta</v>
      </c>
      <c r="C130" s="576"/>
      <c r="D130" s="576"/>
      <c r="E130" s="576"/>
      <c r="F130" s="576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5" t="str">
        <f>+VLOOKUP(LEFT($A131,LEN(A131)-1)*1,Master!$D$29:$G$228,4,FALSE)</f>
        <v>Subvencije</v>
      </c>
      <c r="C131" s="576"/>
      <c r="D131" s="576"/>
      <c r="E131" s="576"/>
      <c r="F131" s="576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5" t="str">
        <f>+VLOOKUP(LEFT($A132,LEN(A132)-1)*1,Master!$D$29:$G$228,4,FALSE)</f>
        <v>Ostali izdaci</v>
      </c>
      <c r="C132" s="576"/>
      <c r="D132" s="576"/>
      <c r="E132" s="576"/>
      <c r="F132" s="576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99" t="str">
        <f>+VLOOKUP(LEFT($A133,LEN(A133)-1)*1,Master!$D$29:$G$228,4,FALSE)</f>
        <v>Transferi za socijalnu zaštitu</v>
      </c>
      <c r="C133" s="600"/>
      <c r="D133" s="600"/>
      <c r="E133" s="600"/>
      <c r="F133" s="600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5" t="str">
        <f>+VLOOKUP(LEFT($A134,LEN(A134)-1)*1,Master!$D$29:$G$228,4,FALSE)</f>
        <v>Prava iz oblasti socijalne zaštite</v>
      </c>
      <c r="C134" s="576"/>
      <c r="D134" s="576"/>
      <c r="E134" s="576"/>
      <c r="F134" s="576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5" t="str">
        <f>+VLOOKUP(LEFT($A135,LEN(A135)-1)*1,Master!$D$29:$G$228,4,FALSE)</f>
        <v>Sredstva za tehnološke viškove</v>
      </c>
      <c r="C135" s="576"/>
      <c r="D135" s="576"/>
      <c r="E135" s="576"/>
      <c r="F135" s="576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5" t="str">
        <f>+VLOOKUP(LEFT($A136,LEN(A136)-1)*1,Master!$D$29:$G$228,4,FALSE)</f>
        <v>Prava iz oblasti penzijskog i invalidskog osiguranja</v>
      </c>
      <c r="C136" s="576"/>
      <c r="D136" s="576"/>
      <c r="E136" s="576"/>
      <c r="F136" s="576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5" t="str">
        <f>+VLOOKUP(LEFT($A137,LEN(A137)-1)*1,Master!$D$29:$G$228,4,FALSE)</f>
        <v>Ostala prava iz oblasti zdravstvene zaštite</v>
      </c>
      <c r="C137" s="576"/>
      <c r="D137" s="576"/>
      <c r="E137" s="576"/>
      <c r="F137" s="576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5" t="str">
        <f>+VLOOKUP(LEFT($A138,LEN(A138)-1)*1,Master!$D$29:$G$228,4,FALSE)</f>
        <v>Ostala prava iz zdravstvenog osiguranja</v>
      </c>
      <c r="C138" s="576"/>
      <c r="D138" s="576"/>
      <c r="E138" s="576"/>
      <c r="F138" s="576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95" t="str">
        <f>+VLOOKUP(LEFT($A139,LEN(A139)-1)*1,Master!$D$29:$G$228,4,FALSE)</f>
        <v xml:space="preserve">Transferi institucijama, pojedincima, nevladinom i javnom sektoru </v>
      </c>
      <c r="C139" s="596"/>
      <c r="D139" s="596"/>
      <c r="E139" s="596"/>
      <c r="F139" s="596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95" t="str">
        <f>+VLOOKUP(LEFT($A140,LEN(A140)-1)*1,Master!$D$29:$G$228,4,FALSE)</f>
        <v>Kapitalni izdaci</v>
      </c>
      <c r="C140" s="596"/>
      <c r="D140" s="596"/>
      <c r="E140" s="596"/>
      <c r="F140" s="596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97" t="str">
        <f>+VLOOKUP(LEFT($A141,LEN(A141)-1)*1,Master!$D$29:$G$228,4,FALSE)</f>
        <v>Pozajmice i krediti</v>
      </c>
      <c r="C141" s="598"/>
      <c r="D141" s="598"/>
      <c r="E141" s="598"/>
      <c r="F141" s="598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97" t="str">
        <f>+VLOOKUP(LEFT($A142,LEN(A142)-1)*1,Master!$D$29:$G$228,4,FALSE)</f>
        <v>Rezerve</v>
      </c>
      <c r="C142" s="598"/>
      <c r="D142" s="598"/>
      <c r="E142" s="598"/>
      <c r="F142" s="598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97" t="str">
        <f>+VLOOKUP(LEFT($A143,LEN(A143)-1)*1,Master!$D$29:$G$228,4,FALSE)</f>
        <v>Otplata garancija</v>
      </c>
      <c r="C143" s="598"/>
      <c r="D143" s="598"/>
      <c r="E143" s="598"/>
      <c r="F143" s="598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97" t="str">
        <f>+VLOOKUP(LEFT($A144,LEN(A144)-1)*1,Master!$D$29:$G$228,4,FALSE)</f>
        <v>Otplata obaveza iz prethodnog perioda</v>
      </c>
      <c r="C144" s="598"/>
      <c r="D144" s="598"/>
      <c r="E144" s="598"/>
      <c r="F144" s="598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7" t="str">
        <f>+VLOOKUP(LEFT($A145,LEN(A145)-1)*1,Master!$D$29:$G$228,4,FALSE)</f>
        <v>Neto povećanje obaveza</v>
      </c>
      <c r="C145" s="598"/>
      <c r="D145" s="598"/>
      <c r="E145" s="598"/>
      <c r="F145" s="598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605" t="str">
        <f>+VLOOKUP(LEFT($A146,LEN(A146)-1)*1,Master!$D$29:$G$225,4,FALSE)</f>
        <v>Suficit / deficit</v>
      </c>
      <c r="C146" s="606"/>
      <c r="D146" s="606"/>
      <c r="E146" s="606"/>
      <c r="F146" s="606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7" t="str">
        <f>+VLOOKUP(LEFT($A147,LEN(A147)-1)*1,Master!$D$29:$G$225,4,FALSE)</f>
        <v>Primarni suficit/deficit</v>
      </c>
      <c r="C147" s="608"/>
      <c r="D147" s="608"/>
      <c r="E147" s="608"/>
      <c r="F147" s="608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99" t="str">
        <f>+VLOOKUP(LEFT($A148,LEN(A148)-1)*1,Master!$D$29:$G$225,4,FALSE)</f>
        <v>Otplata dugova</v>
      </c>
      <c r="C148" s="600"/>
      <c r="D148" s="600"/>
      <c r="E148" s="600"/>
      <c r="F148" s="600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603" t="str">
        <f>+VLOOKUP(LEFT($A149,LEN(A149)-1)*1,Master!$D$29:$G$225,4,FALSE)</f>
        <v>Otplata hartija od vrijednosti i kredita rezidentima</v>
      </c>
      <c r="C149" s="604"/>
      <c r="D149" s="604"/>
      <c r="E149" s="604"/>
      <c r="F149" s="604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97" t="str">
        <f>+VLOOKUP(LEFT($A150,LEN(A150)-1)*1,Master!$D$29:$G$225,4,FALSE)</f>
        <v>Otplata hartija od vrijednosti i kredita nerezidentima</v>
      </c>
      <c r="C150" s="598"/>
      <c r="D150" s="598"/>
      <c r="E150" s="598"/>
      <c r="F150" s="598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91" t="str">
        <f>+VLOOKUP(LEFT($A151,LEN(A151)-1)*1,Master!$D$29:$G$225,4,FALSE)</f>
        <v>Izdaci za kupovinu hartija od vrijednosti</v>
      </c>
      <c r="C151" s="592"/>
      <c r="D151" s="592"/>
      <c r="E151" s="592"/>
      <c r="F151" s="592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01" t="str">
        <f>+VLOOKUP(LEFT($A152,LEN(A152)-1)*1,Master!$D$29:$G$225,4,FALSE)</f>
        <v>Nedostajuća sredstva</v>
      </c>
      <c r="C152" s="602"/>
      <c r="D152" s="602"/>
      <c r="E152" s="602"/>
      <c r="F152" s="602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91" t="str">
        <f>+VLOOKUP(LEFT($A153,LEN(A153)-1)*1,Master!$D$29:$G$225,4,FALSE)</f>
        <v>Finansiranje</v>
      </c>
      <c r="C153" s="592"/>
      <c r="D153" s="592"/>
      <c r="E153" s="592"/>
      <c r="F153" s="592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603" t="str">
        <f>+VLOOKUP(LEFT($A154,LEN(A154)-1)*1,Master!$D$29:$G$225,4,FALSE)</f>
        <v>Pozajmice i krediti od domaćih izvora</v>
      </c>
      <c r="C154" s="604"/>
      <c r="D154" s="604"/>
      <c r="E154" s="604"/>
      <c r="F154" s="604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97" t="str">
        <f>+VLOOKUP(LEFT($A155,LEN(A155)-1)*1,Master!$D$29:$G$225,4,FALSE)</f>
        <v>Pozajmice i krediti od inostranih izvora</v>
      </c>
      <c r="C155" s="598"/>
      <c r="D155" s="598"/>
      <c r="E155" s="598"/>
      <c r="F155" s="598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97" t="str">
        <f>+VLOOKUP(LEFT($A156,LEN(A156)-1)*1,Master!$D$29:$G$225,4,FALSE)</f>
        <v>Primici od prodaje imovine</v>
      </c>
      <c r="C156" s="598"/>
      <c r="D156" s="598"/>
      <c r="E156" s="598"/>
      <c r="F156" s="598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5" activePane="bottomLeft" state="frozen"/>
      <selection pane="bottomLeft" activeCell="I53" sqref="I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500">
        <f>+SUM(G10:I10)</f>
        <v>371325583.83000004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5" t="s">
        <v>554</v>
      </c>
      <c r="C7" s="536"/>
      <c r="D7" s="536"/>
      <c r="E7" s="536"/>
      <c r="F7" s="536"/>
      <c r="G7" s="544">
        <v>2019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8"/>
      <c r="S7" s="235" t="s">
        <v>419</v>
      </c>
      <c r="T7" s="236">
        <v>4951000000</v>
      </c>
    </row>
    <row r="8" spans="1:20" ht="16.5" customHeight="1">
      <c r="A8" s="144"/>
      <c r="B8" s="537"/>
      <c r="C8" s="538"/>
      <c r="D8" s="538"/>
      <c r="E8" s="538"/>
      <c r="F8" s="53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4" t="s">
        <v>809</v>
      </c>
      <c r="T8" s="548"/>
    </row>
    <row r="9" spans="1:20" ht="13.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5" t="s">
        <v>681</v>
      </c>
      <c r="C10" s="516"/>
      <c r="D10" s="516"/>
      <c r="E10" s="516"/>
      <c r="F10" s="516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05" t="s">
        <v>21</v>
      </c>
      <c r="C11" s="506"/>
      <c r="D11" s="506"/>
      <c r="E11" s="506"/>
      <c r="F11" s="506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07" t="s">
        <v>23</v>
      </c>
      <c r="C12" s="508"/>
      <c r="D12" s="508"/>
      <c r="E12" s="508"/>
      <c r="F12" s="508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07" t="s">
        <v>25</v>
      </c>
      <c r="C13" s="508"/>
      <c r="D13" s="508"/>
      <c r="E13" s="508"/>
      <c r="F13" s="508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07" t="s">
        <v>27</v>
      </c>
      <c r="C14" s="508"/>
      <c r="D14" s="508"/>
      <c r="E14" s="508"/>
      <c r="F14" s="508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07" t="s">
        <v>29</v>
      </c>
      <c r="C15" s="508"/>
      <c r="D15" s="508"/>
      <c r="E15" s="508"/>
      <c r="F15" s="508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07" t="s">
        <v>31</v>
      </c>
      <c r="C16" s="508"/>
      <c r="D16" s="508"/>
      <c r="E16" s="508"/>
      <c r="F16" s="508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07" t="s">
        <v>33</v>
      </c>
      <c r="C17" s="508"/>
      <c r="D17" s="508"/>
      <c r="E17" s="508"/>
      <c r="F17" s="508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07" t="s">
        <v>722</v>
      </c>
      <c r="C18" s="508"/>
      <c r="D18" s="508"/>
      <c r="E18" s="508"/>
      <c r="F18" s="508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11" t="s">
        <v>37</v>
      </c>
      <c r="C19" s="512"/>
      <c r="D19" s="512"/>
      <c r="E19" s="512"/>
      <c r="F19" s="512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07" t="s">
        <v>39</v>
      </c>
      <c r="C20" s="508"/>
      <c r="D20" s="508"/>
      <c r="E20" s="508"/>
      <c r="F20" s="508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07" t="s">
        <v>41</v>
      </c>
      <c r="C21" s="508"/>
      <c r="D21" s="508"/>
      <c r="E21" s="508"/>
      <c r="F21" s="508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07" t="s">
        <v>43</v>
      </c>
      <c r="C22" s="508"/>
      <c r="D22" s="508"/>
      <c r="E22" s="508"/>
      <c r="F22" s="508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07" t="s">
        <v>45</v>
      </c>
      <c r="C23" s="508"/>
      <c r="D23" s="508"/>
      <c r="E23" s="508"/>
      <c r="F23" s="508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09" t="s">
        <v>47</v>
      </c>
      <c r="C24" s="510"/>
      <c r="D24" s="510"/>
      <c r="E24" s="510"/>
      <c r="F24" s="510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09" t="s">
        <v>61</v>
      </c>
      <c r="C25" s="510"/>
      <c r="D25" s="510"/>
      <c r="E25" s="510"/>
      <c r="F25" s="510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09" t="s">
        <v>81</v>
      </c>
      <c r="C26" s="510"/>
      <c r="D26" s="510"/>
      <c r="E26" s="510"/>
      <c r="F26" s="510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09" t="s">
        <v>99</v>
      </c>
      <c r="C27" s="510"/>
      <c r="D27" s="510"/>
      <c r="E27" s="510"/>
      <c r="F27" s="510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13" t="s">
        <v>105</v>
      </c>
      <c r="C28" s="514"/>
      <c r="D28" s="514"/>
      <c r="E28" s="514"/>
      <c r="F28" s="51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15" t="s">
        <v>802</v>
      </c>
      <c r="C29" s="516"/>
      <c r="D29" s="516"/>
      <c r="E29" s="516"/>
      <c r="F29" s="516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17" t="s">
        <v>120</v>
      </c>
      <c r="C30" s="518"/>
      <c r="D30" s="518"/>
      <c r="E30" s="518"/>
      <c r="F30" s="518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07" t="s">
        <v>122</v>
      </c>
      <c r="C31" s="508"/>
      <c r="D31" s="508"/>
      <c r="E31" s="508"/>
      <c r="F31" s="508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07" t="s">
        <v>133</v>
      </c>
      <c r="C32" s="508"/>
      <c r="D32" s="508"/>
      <c r="E32" s="508"/>
      <c r="F32" s="508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07" t="s">
        <v>148</v>
      </c>
      <c r="C33" s="508"/>
      <c r="D33" s="508"/>
      <c r="E33" s="508"/>
      <c r="F33" s="508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07" t="s">
        <v>162</v>
      </c>
      <c r="C34" s="508"/>
      <c r="D34" s="508"/>
      <c r="E34" s="508"/>
      <c r="F34" s="508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556" t="s">
        <v>182</v>
      </c>
      <c r="C35" s="557"/>
      <c r="D35" s="557"/>
      <c r="E35" s="557"/>
      <c r="F35" s="557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07" t="s">
        <v>190</v>
      </c>
      <c r="C36" s="508"/>
      <c r="D36" s="508"/>
      <c r="E36" s="508"/>
      <c r="F36" s="508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07" t="s">
        <v>196</v>
      </c>
      <c r="C37" s="508"/>
      <c r="D37" s="508"/>
      <c r="E37" s="508"/>
      <c r="F37" s="508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07" t="s">
        <v>204</v>
      </c>
      <c r="C38" s="508"/>
      <c r="D38" s="508"/>
      <c r="E38" s="508"/>
      <c r="F38" s="508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07" t="s">
        <v>212</v>
      </c>
      <c r="C39" s="508"/>
      <c r="D39" s="508"/>
      <c r="E39" s="508"/>
      <c r="F39" s="508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23" t="s">
        <v>230</v>
      </c>
      <c r="C40" s="524"/>
      <c r="D40" s="524"/>
      <c r="E40" s="524"/>
      <c r="F40" s="524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07" t="s">
        <v>232</v>
      </c>
      <c r="C41" s="508"/>
      <c r="D41" s="508"/>
      <c r="E41" s="508"/>
      <c r="F41" s="508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07" t="s">
        <v>248</v>
      </c>
      <c r="C42" s="508"/>
      <c r="D42" s="508"/>
      <c r="E42" s="508"/>
      <c r="F42" s="508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07" t="s">
        <v>259</v>
      </c>
      <c r="C43" s="508"/>
      <c r="D43" s="508"/>
      <c r="E43" s="508"/>
      <c r="F43" s="508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07" t="s">
        <v>274</v>
      </c>
      <c r="C44" s="508"/>
      <c r="D44" s="508"/>
      <c r="E44" s="508"/>
      <c r="F44" s="508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07" t="s">
        <v>278</v>
      </c>
      <c r="C45" s="508"/>
      <c r="D45" s="508"/>
      <c r="E45" s="508"/>
      <c r="F45" s="508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21" t="s">
        <v>286</v>
      </c>
      <c r="C46" s="522"/>
      <c r="D46" s="522"/>
      <c r="E46" s="522"/>
      <c r="F46" s="522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21" t="s">
        <v>320</v>
      </c>
      <c r="C47" s="522"/>
      <c r="D47" s="522"/>
      <c r="E47" s="522"/>
      <c r="F47" s="522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560" t="s">
        <v>113</v>
      </c>
      <c r="C48" s="561"/>
      <c r="D48" s="561"/>
      <c r="E48" s="561"/>
      <c r="F48" s="561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65" t="s">
        <v>366</v>
      </c>
      <c r="C49" s="566"/>
      <c r="D49" s="566"/>
      <c r="E49" s="566"/>
      <c r="F49" s="56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7" t="s">
        <v>359</v>
      </c>
      <c r="C50" s="528"/>
      <c r="D50" s="528"/>
      <c r="E50" s="528"/>
      <c r="F50" s="528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67" t="s">
        <v>795</v>
      </c>
      <c r="C51" s="568"/>
      <c r="D51" s="568"/>
      <c r="E51" s="568"/>
      <c r="F51" s="56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69" t="s">
        <v>685</v>
      </c>
      <c r="C52" s="570"/>
      <c r="D52" s="570"/>
      <c r="E52" s="570"/>
      <c r="F52" s="57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9" t="s">
        <v>545</v>
      </c>
      <c r="C53" s="530"/>
      <c r="D53" s="530"/>
      <c r="E53" s="530"/>
      <c r="F53" s="530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1" t="s">
        <v>793</v>
      </c>
      <c r="C54" s="532"/>
      <c r="D54" s="532"/>
      <c r="E54" s="532"/>
      <c r="F54" s="532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3" t="s">
        <v>352</v>
      </c>
      <c r="C55" s="554"/>
      <c r="D55" s="554"/>
      <c r="E55" s="554"/>
      <c r="F55" s="554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49" t="s">
        <v>355</v>
      </c>
      <c r="C56" s="550"/>
      <c r="D56" s="550"/>
      <c r="E56" s="550"/>
      <c r="F56" s="550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25" t="s">
        <v>357</v>
      </c>
      <c r="C57" s="526"/>
      <c r="D57" s="526"/>
      <c r="E57" s="526"/>
      <c r="F57" s="526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9" t="s">
        <v>336</v>
      </c>
      <c r="C58" s="610"/>
      <c r="D58" s="610"/>
      <c r="E58" s="610"/>
      <c r="F58" s="610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51" t="s">
        <v>543</v>
      </c>
      <c r="C59" s="552"/>
      <c r="D59" s="552"/>
      <c r="E59" s="552"/>
      <c r="F59" s="552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15" t="s">
        <v>544</v>
      </c>
      <c r="C60" s="516"/>
      <c r="D60" s="516"/>
      <c r="E60" s="516"/>
      <c r="F60" s="516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49" t="s">
        <v>114</v>
      </c>
      <c r="C61" s="550"/>
      <c r="D61" s="550"/>
      <c r="E61" s="550"/>
      <c r="F61" s="550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25" t="s">
        <v>116</v>
      </c>
      <c r="C62" s="526"/>
      <c r="D62" s="526"/>
      <c r="E62" s="526"/>
      <c r="F62" s="526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25" t="s">
        <v>93</v>
      </c>
      <c r="C63" s="526"/>
      <c r="D63" s="526"/>
      <c r="E63" s="526"/>
      <c r="F63" s="526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7" t="s">
        <v>552</v>
      </c>
      <c r="C100" s="578"/>
      <c r="D100" s="578"/>
      <c r="E100" s="578"/>
      <c r="F100" s="578"/>
      <c r="G100" s="562">
        <v>2019</v>
      </c>
      <c r="H100" s="563"/>
      <c r="I100" s="563"/>
      <c r="J100" s="563"/>
      <c r="K100" s="563"/>
      <c r="L100" s="563"/>
      <c r="M100" s="563"/>
      <c r="N100" s="563"/>
      <c r="O100" s="563"/>
      <c r="P100" s="563"/>
      <c r="Q100" s="563"/>
      <c r="R100" s="564"/>
      <c r="S100" s="107" t="str">
        <f>+S7</f>
        <v>BDP</v>
      </c>
      <c r="T100" s="108">
        <f>+T7</f>
        <v>4951000000</v>
      </c>
    </row>
    <row r="101" spans="1:21" ht="15.75" customHeight="1">
      <c r="B101" s="579"/>
      <c r="C101" s="580"/>
      <c r="D101" s="580"/>
      <c r="E101" s="580"/>
      <c r="F101" s="581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2" t="s">
        <v>809</v>
      </c>
      <c r="T101" s="564">
        <f>+T8</f>
        <v>0</v>
      </c>
    </row>
    <row r="102" spans="1:21" ht="13.5" thickBot="1">
      <c r="B102" s="582"/>
      <c r="C102" s="583"/>
      <c r="D102" s="583"/>
      <c r="E102" s="583"/>
      <c r="F102" s="584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71" t="s">
        <v>681</v>
      </c>
      <c r="C103" s="572"/>
      <c r="D103" s="572"/>
      <c r="E103" s="572"/>
      <c r="F103" s="57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73" t="s">
        <v>21</v>
      </c>
      <c r="C104" s="574"/>
      <c r="D104" s="574"/>
      <c r="E104" s="574"/>
      <c r="F104" s="57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5" t="s">
        <v>23</v>
      </c>
      <c r="C105" s="576"/>
      <c r="D105" s="576"/>
      <c r="E105" s="576"/>
      <c r="F105" s="576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5" t="s">
        <v>25</v>
      </c>
      <c r="C106" s="576"/>
      <c r="D106" s="576"/>
      <c r="E106" s="576"/>
      <c r="F106" s="576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5" t="s">
        <v>27</v>
      </c>
      <c r="C107" s="576"/>
      <c r="D107" s="576"/>
      <c r="E107" s="576"/>
      <c r="F107" s="576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5" t="s">
        <v>29</v>
      </c>
      <c r="C108" s="576"/>
      <c r="D108" s="576"/>
      <c r="E108" s="576"/>
      <c r="F108" s="576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5" t="s">
        <v>31</v>
      </c>
      <c r="C109" s="576"/>
      <c r="D109" s="576"/>
      <c r="E109" s="576"/>
      <c r="F109" s="576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5" t="s">
        <v>33</v>
      </c>
      <c r="C110" s="576"/>
      <c r="D110" s="576"/>
      <c r="E110" s="576"/>
      <c r="F110" s="576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5" t="s">
        <v>722</v>
      </c>
      <c r="C111" s="576"/>
      <c r="D111" s="576"/>
      <c r="E111" s="576"/>
      <c r="F111" s="576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7" t="s">
        <v>37</v>
      </c>
      <c r="C112" s="588"/>
      <c r="D112" s="588"/>
      <c r="E112" s="588"/>
      <c r="F112" s="588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5" t="s">
        <v>39</v>
      </c>
      <c r="C113" s="576"/>
      <c r="D113" s="576"/>
      <c r="E113" s="576"/>
      <c r="F113" s="576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5" t="s">
        <v>41</v>
      </c>
      <c r="C114" s="576"/>
      <c r="D114" s="576"/>
      <c r="E114" s="576"/>
      <c r="F114" s="576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5" t="s">
        <v>43</v>
      </c>
      <c r="C115" s="576"/>
      <c r="D115" s="576"/>
      <c r="E115" s="576"/>
      <c r="F115" s="576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5" t="s">
        <v>45</v>
      </c>
      <c r="C116" s="576"/>
      <c r="D116" s="576"/>
      <c r="E116" s="576"/>
      <c r="F116" s="576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5" t="s">
        <v>47</v>
      </c>
      <c r="C117" s="586"/>
      <c r="D117" s="586"/>
      <c r="E117" s="586"/>
      <c r="F117" s="586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5" t="s">
        <v>61</v>
      </c>
      <c r="C118" s="586"/>
      <c r="D118" s="586"/>
      <c r="E118" s="586"/>
      <c r="F118" s="586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5" t="s">
        <v>81</v>
      </c>
      <c r="C119" s="586"/>
      <c r="D119" s="586"/>
      <c r="E119" s="586"/>
      <c r="F119" s="586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5" t="s">
        <v>99</v>
      </c>
      <c r="C120" s="586"/>
      <c r="D120" s="586"/>
      <c r="E120" s="586"/>
      <c r="F120" s="586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9" t="s">
        <v>105</v>
      </c>
      <c r="C121" s="590"/>
      <c r="D121" s="590"/>
      <c r="E121" s="590"/>
      <c r="F121" s="590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91" t="s">
        <v>811</v>
      </c>
      <c r="C122" s="592"/>
      <c r="D122" s="592"/>
      <c r="E122" s="592"/>
      <c r="F122" s="592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1" t="s">
        <v>774</v>
      </c>
      <c r="C123" s="612"/>
      <c r="D123" s="612"/>
      <c r="E123" s="612"/>
      <c r="F123" s="612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93" t="e">
        <v>#REF!</v>
      </c>
      <c r="C124" s="594"/>
      <c r="D124" s="594"/>
      <c r="E124" s="594"/>
      <c r="F124" s="594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5" t="s">
        <v>122</v>
      </c>
      <c r="C125" s="576"/>
      <c r="D125" s="576"/>
      <c r="E125" s="576"/>
      <c r="F125" s="576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5" t="s">
        <v>133</v>
      </c>
      <c r="C126" s="576"/>
      <c r="D126" s="576"/>
      <c r="E126" s="576"/>
      <c r="F126" s="576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5" t="s">
        <v>148</v>
      </c>
      <c r="C127" s="576"/>
      <c r="D127" s="576"/>
      <c r="E127" s="576"/>
      <c r="F127" s="576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5" t="s">
        <v>162</v>
      </c>
      <c r="C128" s="576"/>
      <c r="D128" s="576"/>
      <c r="E128" s="576"/>
      <c r="F128" s="576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5" t="s">
        <v>182</v>
      </c>
      <c r="C129" s="576"/>
      <c r="D129" s="576"/>
      <c r="E129" s="576"/>
      <c r="F129" s="576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5" t="s">
        <v>190</v>
      </c>
      <c r="C130" s="576"/>
      <c r="D130" s="576"/>
      <c r="E130" s="576"/>
      <c r="F130" s="576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5" t="s">
        <v>196</v>
      </c>
      <c r="C131" s="576"/>
      <c r="D131" s="576"/>
      <c r="E131" s="576"/>
      <c r="F131" s="576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5" t="s">
        <v>204</v>
      </c>
      <c r="C132" s="576"/>
      <c r="D132" s="576"/>
      <c r="E132" s="576"/>
      <c r="F132" s="576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5" t="s">
        <v>212</v>
      </c>
      <c r="C133" s="576"/>
      <c r="D133" s="576"/>
      <c r="E133" s="576"/>
      <c r="F133" s="576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5" t="e">
        <v>#REF!</v>
      </c>
      <c r="C134" s="576"/>
      <c r="D134" s="576"/>
      <c r="E134" s="576"/>
      <c r="F134" s="576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9" t="s">
        <v>230</v>
      </c>
      <c r="C135" s="600"/>
      <c r="D135" s="600"/>
      <c r="E135" s="600"/>
      <c r="F135" s="600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5" t="s">
        <v>232</v>
      </c>
      <c r="C136" s="576"/>
      <c r="D136" s="576"/>
      <c r="E136" s="576"/>
      <c r="F136" s="576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5" t="s">
        <v>248</v>
      </c>
      <c r="C137" s="576"/>
      <c r="D137" s="576"/>
      <c r="E137" s="576"/>
      <c r="F137" s="576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5" t="s">
        <v>259</v>
      </c>
      <c r="C138" s="576"/>
      <c r="D138" s="576"/>
      <c r="E138" s="576"/>
      <c r="F138" s="576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5" t="s">
        <v>274</v>
      </c>
      <c r="C139" s="576"/>
      <c r="D139" s="576"/>
      <c r="E139" s="576"/>
      <c r="F139" s="576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5" t="s">
        <v>278</v>
      </c>
      <c r="C140" s="576"/>
      <c r="D140" s="576"/>
      <c r="E140" s="576"/>
      <c r="F140" s="576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95" t="s">
        <v>286</v>
      </c>
      <c r="C141" s="596"/>
      <c r="D141" s="596"/>
      <c r="E141" s="596"/>
      <c r="F141" s="596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95" t="s">
        <v>812</v>
      </c>
      <c r="C142" s="596"/>
      <c r="D142" s="596"/>
      <c r="E142" s="596"/>
      <c r="F142" s="596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7" t="s">
        <v>113</v>
      </c>
      <c r="C143" s="598"/>
      <c r="D143" s="598"/>
      <c r="E143" s="598"/>
      <c r="F143" s="598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97" t="s">
        <v>366</v>
      </c>
      <c r="C144" s="598"/>
      <c r="D144" s="598"/>
      <c r="E144" s="598"/>
      <c r="F144" s="598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97" t="s">
        <v>359</v>
      </c>
      <c r="C145" s="598"/>
      <c r="D145" s="598"/>
      <c r="E145" s="598"/>
      <c r="F145" s="598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97" t="s">
        <v>365</v>
      </c>
      <c r="C146" s="598"/>
      <c r="D146" s="598"/>
      <c r="E146" s="598"/>
      <c r="F146" s="598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3" t="s">
        <v>686</v>
      </c>
      <c r="C147" s="614"/>
      <c r="D147" s="614"/>
      <c r="E147" s="614"/>
      <c r="F147" s="614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605" t="s">
        <v>545</v>
      </c>
      <c r="C148" s="606"/>
      <c r="D148" s="606"/>
      <c r="E148" s="606"/>
      <c r="F148" s="606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607" t="s">
        <v>813</v>
      </c>
      <c r="C149" s="608"/>
      <c r="D149" s="608"/>
      <c r="E149" s="608"/>
      <c r="F149" s="608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99" t="s">
        <v>352</v>
      </c>
      <c r="C150" s="600"/>
      <c r="D150" s="600"/>
      <c r="E150" s="600"/>
      <c r="F150" s="600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603" t="s">
        <v>355</v>
      </c>
      <c r="C151" s="604"/>
      <c r="D151" s="604"/>
      <c r="E151" s="604"/>
      <c r="F151" s="604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97" t="s">
        <v>357</v>
      </c>
      <c r="C152" s="598"/>
      <c r="D152" s="598"/>
      <c r="E152" s="598"/>
      <c r="F152" s="598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9" t="s">
        <v>336</v>
      </c>
      <c r="C153" s="610"/>
      <c r="D153" s="610"/>
      <c r="E153" s="610"/>
      <c r="F153" s="610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601" t="s">
        <v>543</v>
      </c>
      <c r="C154" s="602"/>
      <c r="D154" s="602"/>
      <c r="E154" s="602"/>
      <c r="F154" s="602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91" t="s">
        <v>544</v>
      </c>
      <c r="C155" s="592"/>
      <c r="D155" s="592"/>
      <c r="E155" s="592"/>
      <c r="F155" s="592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603" t="s">
        <v>114</v>
      </c>
      <c r="C156" s="604"/>
      <c r="D156" s="604"/>
      <c r="E156" s="604"/>
      <c r="F156" s="604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97" t="s">
        <v>116</v>
      </c>
      <c r="C157" s="598"/>
      <c r="D157" s="598"/>
      <c r="E157" s="598"/>
      <c r="F157" s="598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97" t="s">
        <v>93</v>
      </c>
      <c r="C158" s="598"/>
      <c r="D158" s="598"/>
      <c r="E158" s="598"/>
      <c r="F158" s="598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9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5" t="s">
        <v>554</v>
      </c>
      <c r="C7" s="536"/>
      <c r="D7" s="536"/>
      <c r="E7" s="536"/>
      <c r="F7" s="536"/>
      <c r="G7" s="544">
        <v>2018</v>
      </c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8"/>
      <c r="S7" s="235" t="s">
        <v>419</v>
      </c>
      <c r="T7" s="236">
        <v>4663130000</v>
      </c>
    </row>
    <row r="8" spans="1:20" ht="16.5" customHeight="1">
      <c r="A8" s="144"/>
      <c r="B8" s="537"/>
      <c r="C8" s="538"/>
      <c r="D8" s="538"/>
      <c r="E8" s="538"/>
      <c r="F8" s="53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4" t="s">
        <v>809</v>
      </c>
      <c r="T8" s="548"/>
    </row>
    <row r="9" spans="1:20" ht="13.5" thickBot="1">
      <c r="A9" s="144"/>
      <c r="B9" s="540"/>
      <c r="C9" s="541"/>
      <c r="D9" s="541"/>
      <c r="E9" s="541"/>
      <c r="F9" s="54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3" t="s">
        <v>681</v>
      </c>
      <c r="C10" s="504"/>
      <c r="D10" s="504"/>
      <c r="E10" s="504"/>
      <c r="F10" s="504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05" t="s">
        <v>21</v>
      </c>
      <c r="C11" s="506"/>
      <c r="D11" s="506"/>
      <c r="E11" s="506"/>
      <c r="F11" s="506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07" t="s">
        <v>23</v>
      </c>
      <c r="C12" s="508"/>
      <c r="D12" s="508"/>
      <c r="E12" s="508"/>
      <c r="F12" s="508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07" t="s">
        <v>25</v>
      </c>
      <c r="C13" s="508"/>
      <c r="D13" s="508"/>
      <c r="E13" s="508"/>
      <c r="F13" s="508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07" t="s">
        <v>27</v>
      </c>
      <c r="C14" s="508"/>
      <c r="D14" s="508"/>
      <c r="E14" s="508"/>
      <c r="F14" s="508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07" t="s">
        <v>29</v>
      </c>
      <c r="C15" s="508"/>
      <c r="D15" s="508"/>
      <c r="E15" s="508"/>
      <c r="F15" s="508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07" t="s">
        <v>31</v>
      </c>
      <c r="C16" s="508"/>
      <c r="D16" s="508"/>
      <c r="E16" s="508"/>
      <c r="F16" s="508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07" t="s">
        <v>33</v>
      </c>
      <c r="C17" s="508"/>
      <c r="D17" s="508"/>
      <c r="E17" s="508"/>
      <c r="F17" s="508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07" t="s">
        <v>722</v>
      </c>
      <c r="C18" s="508"/>
      <c r="D18" s="508"/>
      <c r="E18" s="508"/>
      <c r="F18" s="508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11" t="s">
        <v>37</v>
      </c>
      <c r="C19" s="512"/>
      <c r="D19" s="512"/>
      <c r="E19" s="512"/>
      <c r="F19" s="512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07" t="s">
        <v>39</v>
      </c>
      <c r="C20" s="508"/>
      <c r="D20" s="508"/>
      <c r="E20" s="508"/>
      <c r="F20" s="508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07" t="s">
        <v>41</v>
      </c>
      <c r="C21" s="508"/>
      <c r="D21" s="508"/>
      <c r="E21" s="508"/>
      <c r="F21" s="508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07" t="s">
        <v>43</v>
      </c>
      <c r="C22" s="508"/>
      <c r="D22" s="508"/>
      <c r="E22" s="508"/>
      <c r="F22" s="508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07" t="s">
        <v>45</v>
      </c>
      <c r="C23" s="508"/>
      <c r="D23" s="508"/>
      <c r="E23" s="508"/>
      <c r="F23" s="508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09" t="s">
        <v>47</v>
      </c>
      <c r="C24" s="510"/>
      <c r="D24" s="510"/>
      <c r="E24" s="510"/>
      <c r="F24" s="510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09" t="s">
        <v>61</v>
      </c>
      <c r="C25" s="510"/>
      <c r="D25" s="510"/>
      <c r="E25" s="510"/>
      <c r="F25" s="510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09" t="s">
        <v>81</v>
      </c>
      <c r="C26" s="510"/>
      <c r="D26" s="510"/>
      <c r="E26" s="510"/>
      <c r="F26" s="510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09" t="s">
        <v>99</v>
      </c>
      <c r="C27" s="510"/>
      <c r="D27" s="510"/>
      <c r="E27" s="510"/>
      <c r="F27" s="510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13" t="s">
        <v>105</v>
      </c>
      <c r="C28" s="514"/>
      <c r="D28" s="514"/>
      <c r="E28" s="514"/>
      <c r="F28" s="51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15" t="s">
        <v>802</v>
      </c>
      <c r="C29" s="516"/>
      <c r="D29" s="516"/>
      <c r="E29" s="516"/>
      <c r="F29" s="516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17" t="s">
        <v>774</v>
      </c>
      <c r="C30" s="518"/>
      <c r="D30" s="518"/>
      <c r="E30" s="518"/>
      <c r="F30" s="518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19" t="s">
        <v>120</v>
      </c>
      <c r="C31" s="520"/>
      <c r="D31" s="520"/>
      <c r="E31" s="520"/>
      <c r="F31" s="520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07" t="s">
        <v>122</v>
      </c>
      <c r="C32" s="508"/>
      <c r="D32" s="508"/>
      <c r="E32" s="508"/>
      <c r="F32" s="508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07" t="s">
        <v>133</v>
      </c>
      <c r="C33" s="508"/>
      <c r="D33" s="508"/>
      <c r="E33" s="508"/>
      <c r="F33" s="508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07" t="s">
        <v>148</v>
      </c>
      <c r="C34" s="508"/>
      <c r="D34" s="508"/>
      <c r="E34" s="508"/>
      <c r="F34" s="508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07" t="s">
        <v>162</v>
      </c>
      <c r="C35" s="508"/>
      <c r="D35" s="508"/>
      <c r="E35" s="508"/>
      <c r="F35" s="508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07" t="s">
        <v>182</v>
      </c>
      <c r="C36" s="508"/>
      <c r="D36" s="508"/>
      <c r="E36" s="508"/>
      <c r="F36" s="508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07" t="s">
        <v>190</v>
      </c>
      <c r="C37" s="508"/>
      <c r="D37" s="508"/>
      <c r="E37" s="508"/>
      <c r="F37" s="508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07" t="s">
        <v>196</v>
      </c>
      <c r="C38" s="508"/>
      <c r="D38" s="508"/>
      <c r="E38" s="508"/>
      <c r="F38" s="508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07" t="s">
        <v>204</v>
      </c>
      <c r="C39" s="508"/>
      <c r="D39" s="508"/>
      <c r="E39" s="508"/>
      <c r="F39" s="508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07" t="s">
        <v>212</v>
      </c>
      <c r="C40" s="508"/>
      <c r="D40" s="508"/>
      <c r="E40" s="508"/>
      <c r="F40" s="508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07" t="s">
        <v>803</v>
      </c>
      <c r="C41" s="508"/>
      <c r="D41" s="508"/>
      <c r="E41" s="508"/>
      <c r="F41" s="508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23" t="s">
        <v>230</v>
      </c>
      <c r="C42" s="524"/>
      <c r="D42" s="524"/>
      <c r="E42" s="524"/>
      <c r="F42" s="524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07" t="s">
        <v>232</v>
      </c>
      <c r="C43" s="508"/>
      <c r="D43" s="508"/>
      <c r="E43" s="508"/>
      <c r="F43" s="508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07" t="s">
        <v>248</v>
      </c>
      <c r="C44" s="508"/>
      <c r="D44" s="508"/>
      <c r="E44" s="508"/>
      <c r="F44" s="508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07" t="s">
        <v>259</v>
      </c>
      <c r="C45" s="508"/>
      <c r="D45" s="508"/>
      <c r="E45" s="508"/>
      <c r="F45" s="508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07" t="s">
        <v>274</v>
      </c>
      <c r="C46" s="508"/>
      <c r="D46" s="508"/>
      <c r="E46" s="508"/>
      <c r="F46" s="508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5" t="s">
        <v>278</v>
      </c>
      <c r="C47" s="616"/>
      <c r="D47" s="616"/>
      <c r="E47" s="616"/>
      <c r="F47" s="616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21" t="s">
        <v>286</v>
      </c>
      <c r="C48" s="522"/>
      <c r="D48" s="522"/>
      <c r="E48" s="522"/>
      <c r="F48" s="522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21" t="s">
        <v>320</v>
      </c>
      <c r="C49" s="522"/>
      <c r="D49" s="522"/>
      <c r="E49" s="522"/>
      <c r="F49" s="522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560" t="s">
        <v>113</v>
      </c>
      <c r="C50" s="561"/>
      <c r="D50" s="561"/>
      <c r="E50" s="561"/>
      <c r="F50" s="561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25" t="s">
        <v>366</v>
      </c>
      <c r="C51" s="526"/>
      <c r="D51" s="526"/>
      <c r="E51" s="526"/>
      <c r="F51" s="526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7" t="s">
        <v>359</v>
      </c>
      <c r="C52" s="528"/>
      <c r="D52" s="528"/>
      <c r="E52" s="528"/>
      <c r="F52" s="528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67" t="s">
        <v>795</v>
      </c>
      <c r="C53" s="568"/>
      <c r="D53" s="568"/>
      <c r="E53" s="568"/>
      <c r="F53" s="56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69" t="s">
        <v>685</v>
      </c>
      <c r="C54" s="570"/>
      <c r="D54" s="570"/>
      <c r="E54" s="570"/>
      <c r="F54" s="57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9" t="s">
        <v>545</v>
      </c>
      <c r="C55" s="530"/>
      <c r="D55" s="530"/>
      <c r="E55" s="530"/>
      <c r="F55" s="530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1" t="s">
        <v>794</v>
      </c>
      <c r="C57" s="532"/>
      <c r="D57" s="532"/>
      <c r="E57" s="532"/>
      <c r="F57" s="532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3" t="s">
        <v>352</v>
      </c>
      <c r="C58" s="554"/>
      <c r="D58" s="554"/>
      <c r="E58" s="554"/>
      <c r="F58" s="554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49" t="s">
        <v>355</v>
      </c>
      <c r="C59" s="550"/>
      <c r="D59" s="550"/>
      <c r="E59" s="550"/>
      <c r="F59" s="550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25" t="s">
        <v>357</v>
      </c>
      <c r="C60" s="526"/>
      <c r="D60" s="526"/>
      <c r="E60" s="526"/>
      <c r="F60" s="526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7" t="s">
        <v>336</v>
      </c>
      <c r="C61" s="618"/>
      <c r="D61" s="618"/>
      <c r="E61" s="618"/>
      <c r="F61" s="618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51" t="s">
        <v>543</v>
      </c>
      <c r="C62" s="552"/>
      <c r="D62" s="552"/>
      <c r="E62" s="552"/>
      <c r="F62" s="552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15" t="s">
        <v>544</v>
      </c>
      <c r="C63" s="516"/>
      <c r="D63" s="516"/>
      <c r="E63" s="516"/>
      <c r="F63" s="516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49" t="s">
        <v>114</v>
      </c>
      <c r="C64" s="550"/>
      <c r="D64" s="550"/>
      <c r="E64" s="550"/>
      <c r="F64" s="550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25" t="s">
        <v>116</v>
      </c>
      <c r="C65" s="526"/>
      <c r="D65" s="526"/>
      <c r="E65" s="526"/>
      <c r="F65" s="526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25" t="s">
        <v>93</v>
      </c>
      <c r="C66" s="526"/>
      <c r="D66" s="526"/>
      <c r="E66" s="526"/>
      <c r="F66" s="526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7" t="s">
        <v>552</v>
      </c>
      <c r="C103" s="578"/>
      <c r="D103" s="578"/>
      <c r="E103" s="578"/>
      <c r="F103" s="578"/>
      <c r="G103" s="562">
        <v>2018</v>
      </c>
      <c r="H103" s="563"/>
      <c r="I103" s="563"/>
      <c r="J103" s="563"/>
      <c r="K103" s="563"/>
      <c r="L103" s="563"/>
      <c r="M103" s="563"/>
      <c r="N103" s="563"/>
      <c r="O103" s="563"/>
      <c r="P103" s="563"/>
      <c r="Q103" s="563"/>
      <c r="R103" s="564"/>
      <c r="S103" s="107" t="str">
        <f>+S7</f>
        <v>BDP</v>
      </c>
      <c r="T103" s="108">
        <f>+T7</f>
        <v>4663130000</v>
      </c>
    </row>
    <row r="104" spans="1:21" ht="15.75" customHeight="1">
      <c r="B104" s="579"/>
      <c r="C104" s="580"/>
      <c r="D104" s="580"/>
      <c r="E104" s="580"/>
      <c r="F104" s="581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2" t="s">
        <v>809</v>
      </c>
      <c r="T104" s="564">
        <f>+T8</f>
        <v>0</v>
      </c>
    </row>
    <row r="105" spans="1:21" ht="13.5" thickBot="1">
      <c r="B105" s="582"/>
      <c r="C105" s="583"/>
      <c r="D105" s="583"/>
      <c r="E105" s="583"/>
      <c r="F105" s="584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71" t="s">
        <v>681</v>
      </c>
      <c r="C106" s="572"/>
      <c r="D106" s="572"/>
      <c r="E106" s="572"/>
      <c r="F106" s="57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73" t="s">
        <v>21</v>
      </c>
      <c r="C107" s="574"/>
      <c r="D107" s="574"/>
      <c r="E107" s="574"/>
      <c r="F107" s="57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5" t="s">
        <v>23</v>
      </c>
      <c r="C108" s="576"/>
      <c r="D108" s="576"/>
      <c r="E108" s="576"/>
      <c r="F108" s="576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5" t="s">
        <v>25</v>
      </c>
      <c r="C109" s="576"/>
      <c r="D109" s="576"/>
      <c r="E109" s="576"/>
      <c r="F109" s="576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5" t="s">
        <v>27</v>
      </c>
      <c r="C110" s="576"/>
      <c r="D110" s="576"/>
      <c r="E110" s="576"/>
      <c r="F110" s="576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5" t="s">
        <v>29</v>
      </c>
      <c r="C111" s="576"/>
      <c r="D111" s="576"/>
      <c r="E111" s="576"/>
      <c r="F111" s="576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5" t="s">
        <v>31</v>
      </c>
      <c r="C112" s="576"/>
      <c r="D112" s="576"/>
      <c r="E112" s="576"/>
      <c r="F112" s="576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5" t="s">
        <v>33</v>
      </c>
      <c r="C113" s="576"/>
      <c r="D113" s="576"/>
      <c r="E113" s="576"/>
      <c r="F113" s="576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5" t="s">
        <v>722</v>
      </c>
      <c r="C114" s="576"/>
      <c r="D114" s="576"/>
      <c r="E114" s="576"/>
      <c r="F114" s="576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7" t="s">
        <v>37</v>
      </c>
      <c r="C115" s="588"/>
      <c r="D115" s="588"/>
      <c r="E115" s="588"/>
      <c r="F115" s="588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5" t="s">
        <v>39</v>
      </c>
      <c r="C116" s="576"/>
      <c r="D116" s="576"/>
      <c r="E116" s="576"/>
      <c r="F116" s="576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5" t="s">
        <v>41</v>
      </c>
      <c r="C117" s="576"/>
      <c r="D117" s="576"/>
      <c r="E117" s="576"/>
      <c r="F117" s="576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5" t="s">
        <v>43</v>
      </c>
      <c r="C118" s="576"/>
      <c r="D118" s="576"/>
      <c r="E118" s="576"/>
      <c r="F118" s="576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5" t="s">
        <v>45</v>
      </c>
      <c r="C119" s="576"/>
      <c r="D119" s="576"/>
      <c r="E119" s="576"/>
      <c r="F119" s="576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5" t="s">
        <v>47</v>
      </c>
      <c r="C120" s="586"/>
      <c r="D120" s="586"/>
      <c r="E120" s="586"/>
      <c r="F120" s="586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5" t="s">
        <v>61</v>
      </c>
      <c r="C121" s="586"/>
      <c r="D121" s="586"/>
      <c r="E121" s="586"/>
      <c r="F121" s="586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5" t="s">
        <v>81</v>
      </c>
      <c r="C122" s="586"/>
      <c r="D122" s="586"/>
      <c r="E122" s="586"/>
      <c r="F122" s="586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5" t="s">
        <v>99</v>
      </c>
      <c r="C123" s="586"/>
      <c r="D123" s="586"/>
      <c r="E123" s="586"/>
      <c r="F123" s="586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9" t="s">
        <v>105</v>
      </c>
      <c r="C124" s="590"/>
      <c r="D124" s="590"/>
      <c r="E124" s="590"/>
      <c r="F124" s="590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91" t="s">
        <v>811</v>
      </c>
      <c r="C125" s="592"/>
      <c r="D125" s="592"/>
      <c r="E125" s="592"/>
      <c r="F125" s="592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1" t="s">
        <v>774</v>
      </c>
      <c r="C126" s="612"/>
      <c r="D126" s="612"/>
      <c r="E126" s="612"/>
      <c r="F126" s="612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93" t="s">
        <v>120</v>
      </c>
      <c r="C127" s="594"/>
      <c r="D127" s="594"/>
      <c r="E127" s="594"/>
      <c r="F127" s="594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5" t="s">
        <v>122</v>
      </c>
      <c r="C128" s="576"/>
      <c r="D128" s="576"/>
      <c r="E128" s="576"/>
      <c r="F128" s="576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5" t="s">
        <v>133</v>
      </c>
      <c r="C129" s="576"/>
      <c r="D129" s="576"/>
      <c r="E129" s="576"/>
      <c r="F129" s="576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5" t="s">
        <v>148</v>
      </c>
      <c r="C130" s="576"/>
      <c r="D130" s="576"/>
      <c r="E130" s="576"/>
      <c r="F130" s="576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5" t="s">
        <v>162</v>
      </c>
      <c r="C131" s="576"/>
      <c r="D131" s="576"/>
      <c r="E131" s="576"/>
      <c r="F131" s="576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5" t="s">
        <v>182</v>
      </c>
      <c r="C132" s="576"/>
      <c r="D132" s="576"/>
      <c r="E132" s="576"/>
      <c r="F132" s="576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5" t="s">
        <v>190</v>
      </c>
      <c r="C133" s="576"/>
      <c r="D133" s="576"/>
      <c r="E133" s="576"/>
      <c r="F133" s="576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5" t="s">
        <v>196</v>
      </c>
      <c r="C134" s="576"/>
      <c r="D134" s="576"/>
      <c r="E134" s="576"/>
      <c r="F134" s="576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5" t="s">
        <v>204</v>
      </c>
      <c r="C135" s="576"/>
      <c r="D135" s="576"/>
      <c r="E135" s="576"/>
      <c r="F135" s="576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5" t="s">
        <v>212</v>
      </c>
      <c r="C136" s="576"/>
      <c r="D136" s="576"/>
      <c r="E136" s="576"/>
      <c r="F136" s="576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5" t="s">
        <v>803</v>
      </c>
      <c r="C137" s="576"/>
      <c r="D137" s="576"/>
      <c r="E137" s="576"/>
      <c r="F137" s="576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99" t="s">
        <v>230</v>
      </c>
      <c r="C138" s="600"/>
      <c r="D138" s="600"/>
      <c r="E138" s="600"/>
      <c r="F138" s="600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5" t="s">
        <v>232</v>
      </c>
      <c r="C139" s="576"/>
      <c r="D139" s="576"/>
      <c r="E139" s="576"/>
      <c r="F139" s="576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5" t="s">
        <v>248</v>
      </c>
      <c r="C140" s="576"/>
      <c r="D140" s="576"/>
      <c r="E140" s="576"/>
      <c r="F140" s="576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5" t="s">
        <v>259</v>
      </c>
      <c r="C141" s="576"/>
      <c r="D141" s="576"/>
      <c r="E141" s="576"/>
      <c r="F141" s="576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5" t="s">
        <v>274</v>
      </c>
      <c r="C142" s="576"/>
      <c r="D142" s="576"/>
      <c r="E142" s="576"/>
      <c r="F142" s="576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5" t="s">
        <v>278</v>
      </c>
      <c r="C143" s="576"/>
      <c r="D143" s="576"/>
      <c r="E143" s="576"/>
      <c r="F143" s="576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95" t="s">
        <v>286</v>
      </c>
      <c r="C144" s="596"/>
      <c r="D144" s="596"/>
      <c r="E144" s="596"/>
      <c r="F144" s="596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95" t="s">
        <v>812</v>
      </c>
      <c r="C145" s="596"/>
      <c r="D145" s="596"/>
      <c r="E145" s="596"/>
      <c r="F145" s="596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97" t="s">
        <v>113</v>
      </c>
      <c r="C146" s="598"/>
      <c r="D146" s="598"/>
      <c r="E146" s="598"/>
      <c r="F146" s="598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97" t="s">
        <v>366</v>
      </c>
      <c r="C147" s="598"/>
      <c r="D147" s="598"/>
      <c r="E147" s="598"/>
      <c r="F147" s="598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97" t="s">
        <v>359</v>
      </c>
      <c r="C148" s="598"/>
      <c r="D148" s="598"/>
      <c r="E148" s="598"/>
      <c r="F148" s="598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605" t="s">
        <v>545</v>
      </c>
      <c r="C150" s="606"/>
      <c r="D150" s="606"/>
      <c r="E150" s="606"/>
      <c r="F150" s="606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607" t="s">
        <v>813</v>
      </c>
      <c r="C151" s="608"/>
      <c r="D151" s="608"/>
      <c r="E151" s="608"/>
      <c r="F151" s="608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99" t="s">
        <v>352</v>
      </c>
      <c r="C152" s="600"/>
      <c r="D152" s="600"/>
      <c r="E152" s="600"/>
      <c r="F152" s="600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603" t="s">
        <v>355</v>
      </c>
      <c r="C153" s="604"/>
      <c r="D153" s="604"/>
      <c r="E153" s="604"/>
      <c r="F153" s="604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97" t="s">
        <v>357</v>
      </c>
      <c r="C154" s="598"/>
      <c r="D154" s="598"/>
      <c r="E154" s="598"/>
      <c r="F154" s="598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97" t="s">
        <v>365</v>
      </c>
      <c r="C155" s="598"/>
      <c r="D155" s="598"/>
      <c r="E155" s="598"/>
      <c r="F155" s="598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01" t="s">
        <v>543</v>
      </c>
      <c r="C157" s="602"/>
      <c r="D157" s="602"/>
      <c r="E157" s="602"/>
      <c r="F157" s="602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91" t="s">
        <v>544</v>
      </c>
      <c r="C158" s="592"/>
      <c r="D158" s="592"/>
      <c r="E158" s="592"/>
      <c r="F158" s="592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603" t="s">
        <v>114</v>
      </c>
      <c r="C159" s="604"/>
      <c r="D159" s="604"/>
      <c r="E159" s="604"/>
      <c r="F159" s="604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97" t="s">
        <v>116</v>
      </c>
      <c r="C160" s="598"/>
      <c r="D160" s="598"/>
      <c r="E160" s="598"/>
      <c r="F160" s="598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97" t="s">
        <v>93</v>
      </c>
      <c r="C161" s="598"/>
      <c r="D161" s="598"/>
      <c r="E161" s="598"/>
      <c r="F161" s="598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2" t="s">
        <v>555</v>
      </c>
      <c r="F6" s="620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1"/>
      <c r="R6" s="620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1"/>
      <c r="AD6" s="620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1"/>
      <c r="AP6" s="620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1"/>
      <c r="BB6" s="620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1"/>
      <c r="BN6" s="620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1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20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1"/>
      <c r="CX6" s="620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1"/>
      <c r="DJ6" s="620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1"/>
    </row>
    <row r="7" spans="1:321">
      <c r="E7" s="62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2" t="s">
        <v>676</v>
      </c>
      <c r="F214" s="620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1"/>
      <c r="R214" s="620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1"/>
      <c r="AD214" s="620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1"/>
      <c r="AP214" s="620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1"/>
      <c r="BB214" s="620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1"/>
      <c r="BN214" s="620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1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20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1"/>
      <c r="CX214" s="620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1"/>
      <c r="DJ214" s="620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1"/>
    </row>
    <row r="215" spans="1:187">
      <c r="E215" s="62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Ministastvo finansija</cp:lastModifiedBy>
  <cp:lastPrinted>2022-05-24T15:31:53Z</cp:lastPrinted>
  <dcterms:created xsi:type="dcterms:W3CDTF">2014-09-15T13:41:17Z</dcterms:created>
  <dcterms:modified xsi:type="dcterms:W3CDTF">2022-05-25T06:33:52Z</dcterms:modified>
</cp:coreProperties>
</file>