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jan.paunovic\Desktop\MoF\Budzet\izvrsenje budzeta\Izvjestaji\Izvjestaji 2022\April GDDS\"/>
    </mc:Choice>
  </mc:AlternateContent>
  <workbookProtection workbookAlgorithmName="SHA-512" workbookHashValue="K/OQG2PVY+UJHLdzFJYv+HjHwo1juY/7l2dqagdWBy9QNuqrwet3oknd6nCtOZOLfDBcNKfOJQFjWJCRuClUcA==" workbookSaltValue="ywLXpsiEq/ztvappbq+iLw==" workbookSpinCount="100000" lockStructure="1"/>
  <bookViews>
    <workbookView xWindow="0" yWindow="0" windowWidth="24000" windowHeight="9000" tabRatio="587" firstSheet="1" activeTab="2"/>
  </bookViews>
  <sheets>
    <sheet name="Analitika - 2014" sheetId="3" state="hidden" r:id="rId1"/>
    <sheet name="Pregled" sheetId="26" r:id="rId2"/>
    <sheet name="Analitika 2022" sheetId="11" r:id="rId3"/>
    <sheet name="2022" sheetId="25" r:id="rId4"/>
    <sheet name="2021" sheetId="22" state="hidden" r:id="rId5"/>
    <sheet name="2020" sheetId="19" state="hidden" r:id="rId6"/>
    <sheet name="2019" sheetId="20" state="hidden" r:id="rId7"/>
    <sheet name="2018" sheetId="21" state="hidden" r:id="rId8"/>
    <sheet name="DataEx" sheetId="6" state="hidden" r:id="rId9"/>
    <sheet name="Master" sheetId="2" state="hidden" r:id="rId10"/>
  </sheets>
  <externalReferences>
    <externalReference r:id="rId11"/>
  </externalReferences>
  <definedNames>
    <definedName name="_2015plan" localSheetId="7">'2018'!$A$103:$A$162</definedName>
    <definedName name="_2015plan" localSheetId="6">'2019'!$A$100:$A$159</definedName>
    <definedName name="_2015plan" localSheetId="5">'2020'!$A$100:$A$157</definedName>
    <definedName name="_2015plan" localSheetId="4">'2021'!$A$81:$A$138</definedName>
    <definedName name="_2015plan" localSheetId="3">'2022'!$A$81:$A$138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6" l="1"/>
  <c r="H20" i="26" s="1"/>
  <c r="G16" i="26"/>
  <c r="H16" i="26" s="1"/>
  <c r="G12" i="26"/>
  <c r="H12" i="26" s="1"/>
  <c r="D20" i="26"/>
  <c r="E20" i="26" s="1"/>
  <c r="D16" i="26"/>
  <c r="E16" i="26" s="1"/>
  <c r="E12" i="26"/>
  <c r="D12" i="26"/>
  <c r="E4" i="26" l="1"/>
  <c r="E3" i="26"/>
  <c r="E2" i="26"/>
  <c r="O64" i="11" l="1"/>
  <c r="O63" i="11"/>
  <c r="O62" i="11"/>
  <c r="O61" i="11"/>
  <c r="O60" i="11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9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N63" i="11"/>
  <c r="N62" i="11"/>
  <c r="N61" i="11"/>
  <c r="N58" i="11"/>
  <c r="N57" i="11"/>
  <c r="N56" i="11"/>
  <c r="N55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39" i="11"/>
  <c r="N38" i="11"/>
  <c r="N37" i="11"/>
  <c r="N36" i="11"/>
  <c r="N35" i="11"/>
  <c r="N34" i="11"/>
  <c r="N33" i="11"/>
  <c r="N32" i="11"/>
  <c r="N31" i="11"/>
  <c r="N28" i="11"/>
  <c r="N27" i="11"/>
  <c r="N26" i="11"/>
  <c r="N25" i="11"/>
  <c r="N24" i="11"/>
  <c r="N23" i="11"/>
  <c r="N22" i="11"/>
  <c r="N21" i="11"/>
  <c r="N20" i="11"/>
  <c r="N18" i="11"/>
  <c r="N17" i="11"/>
  <c r="N16" i="11"/>
  <c r="N15" i="11"/>
  <c r="N14" i="11"/>
  <c r="N13" i="11"/>
  <c r="N12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E5" i="20" l="1"/>
  <c r="E5" i="19"/>
  <c r="R11" i="11" l="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10" i="11"/>
  <c r="S121" i="25" l="1"/>
  <c r="B138" i="25" l="1"/>
  <c r="A138" i="25"/>
  <c r="S137" i="25"/>
  <c r="T137" i="25" s="1"/>
  <c r="B137" i="25"/>
  <c r="A137" i="25"/>
  <c r="S136" i="25"/>
  <c r="T136" i="25" s="1"/>
  <c r="B136" i="25"/>
  <c r="A136" i="25"/>
  <c r="S135" i="25"/>
  <c r="T135" i="25" s="1"/>
  <c r="B135" i="25"/>
  <c r="A135" i="25"/>
  <c r="B134" i="25"/>
  <c r="A134" i="25"/>
  <c r="B133" i="25"/>
  <c r="A133" i="25"/>
  <c r="S132" i="25"/>
  <c r="T132" i="25" s="1"/>
  <c r="B132" i="25"/>
  <c r="A132" i="25"/>
  <c r="S131" i="25"/>
  <c r="T131" i="25" s="1"/>
  <c r="B131" i="25"/>
  <c r="A131" i="25"/>
  <c r="S130" i="25"/>
  <c r="T130" i="25" s="1"/>
  <c r="B130" i="25"/>
  <c r="A130" i="25"/>
  <c r="R129" i="25"/>
  <c r="Q129" i="25"/>
  <c r="P129" i="25"/>
  <c r="O129" i="25"/>
  <c r="N129" i="25"/>
  <c r="M129" i="25"/>
  <c r="L129" i="25"/>
  <c r="K129" i="25"/>
  <c r="J129" i="25"/>
  <c r="I129" i="25"/>
  <c r="H129" i="25"/>
  <c r="G129" i="25"/>
  <c r="B129" i="25"/>
  <c r="A129" i="25"/>
  <c r="B128" i="25"/>
  <c r="A128" i="25"/>
  <c r="B127" i="25"/>
  <c r="A127" i="25"/>
  <c r="S126" i="25"/>
  <c r="T126" i="25" s="1"/>
  <c r="B126" i="25"/>
  <c r="A126" i="25"/>
  <c r="S125" i="25"/>
  <c r="T125" i="25" s="1"/>
  <c r="B125" i="25"/>
  <c r="A125" i="25"/>
  <c r="S124" i="25"/>
  <c r="T124" i="25" s="1"/>
  <c r="B124" i="25"/>
  <c r="A124" i="25"/>
  <c r="S123" i="25"/>
  <c r="T123" i="25" s="1"/>
  <c r="B123" i="25"/>
  <c r="A123" i="25"/>
  <c r="S122" i="25"/>
  <c r="T122" i="25" s="1"/>
  <c r="B122" i="25"/>
  <c r="A122" i="25"/>
  <c r="T121" i="25"/>
  <c r="B121" i="25"/>
  <c r="A121" i="25"/>
  <c r="S120" i="25"/>
  <c r="T120" i="25" s="1"/>
  <c r="B120" i="25"/>
  <c r="A120" i="25"/>
  <c r="S119" i="25"/>
  <c r="T119" i="25" s="1"/>
  <c r="B119" i="25"/>
  <c r="A119" i="25"/>
  <c r="S118" i="25"/>
  <c r="T118" i="25" s="1"/>
  <c r="B118" i="25"/>
  <c r="A118" i="25"/>
  <c r="S117" i="25"/>
  <c r="T117" i="25" s="1"/>
  <c r="B117" i="25"/>
  <c r="A117" i="25"/>
  <c r="S116" i="25"/>
  <c r="T116" i="25" s="1"/>
  <c r="B116" i="25"/>
  <c r="A116" i="25"/>
  <c r="S115" i="25"/>
  <c r="T115" i="25" s="1"/>
  <c r="B115" i="25"/>
  <c r="A115" i="25"/>
  <c r="R114" i="25"/>
  <c r="Q114" i="25"/>
  <c r="P114" i="25"/>
  <c r="O114" i="25"/>
  <c r="N114" i="25"/>
  <c r="M114" i="25"/>
  <c r="L114" i="25"/>
  <c r="K114" i="25"/>
  <c r="J114" i="25"/>
  <c r="I114" i="25"/>
  <c r="H114" i="25"/>
  <c r="G114" i="25"/>
  <c r="B114" i="25"/>
  <c r="A114" i="25"/>
  <c r="S113" i="25"/>
  <c r="T113" i="25" s="1"/>
  <c r="B113" i="25"/>
  <c r="A113" i="25"/>
  <c r="S112" i="25"/>
  <c r="T112" i="25" s="1"/>
  <c r="B112" i="25"/>
  <c r="A112" i="25"/>
  <c r="S111" i="25"/>
  <c r="T111" i="25" s="1"/>
  <c r="B111" i="25"/>
  <c r="A111" i="25"/>
  <c r="S110" i="25"/>
  <c r="T110" i="25" s="1"/>
  <c r="B110" i="25"/>
  <c r="A110" i="25"/>
  <c r="S109" i="25"/>
  <c r="T109" i="25" s="1"/>
  <c r="B109" i="25"/>
  <c r="A109" i="25"/>
  <c r="S108" i="25"/>
  <c r="T108" i="25" s="1"/>
  <c r="B108" i="25"/>
  <c r="A108" i="25"/>
  <c r="S107" i="25"/>
  <c r="T107" i="25" s="1"/>
  <c r="B107" i="25"/>
  <c r="A107" i="25"/>
  <c r="S106" i="25"/>
  <c r="T106" i="25" s="1"/>
  <c r="B106" i="25"/>
  <c r="A106" i="25"/>
  <c r="S105" i="25"/>
  <c r="T105" i="25" s="1"/>
  <c r="B105" i="25"/>
  <c r="A105" i="25"/>
  <c r="R104" i="25"/>
  <c r="Q104" i="25"/>
  <c r="P104" i="25"/>
  <c r="O104" i="25"/>
  <c r="N104" i="25"/>
  <c r="M104" i="25"/>
  <c r="L104" i="25"/>
  <c r="K104" i="25"/>
  <c r="J104" i="25"/>
  <c r="I104" i="25"/>
  <c r="H104" i="25"/>
  <c r="G104" i="25"/>
  <c r="B104" i="25"/>
  <c r="A104" i="25"/>
  <c r="B103" i="25"/>
  <c r="A103" i="25"/>
  <c r="S102" i="25"/>
  <c r="T102" i="25" s="1"/>
  <c r="B102" i="25"/>
  <c r="A102" i="25"/>
  <c r="S101" i="25"/>
  <c r="T101" i="25" s="1"/>
  <c r="B101" i="25"/>
  <c r="A101" i="25"/>
  <c r="S100" i="25"/>
  <c r="T100" i="25" s="1"/>
  <c r="B100" i="25"/>
  <c r="A100" i="25"/>
  <c r="S99" i="25"/>
  <c r="T99" i="25" s="1"/>
  <c r="B99" i="25"/>
  <c r="A99" i="25"/>
  <c r="S98" i="25"/>
  <c r="T98" i="25" s="1"/>
  <c r="B98" i="25"/>
  <c r="A98" i="25"/>
  <c r="S97" i="25"/>
  <c r="T97" i="25" s="1"/>
  <c r="B97" i="25"/>
  <c r="A97" i="25"/>
  <c r="S96" i="25"/>
  <c r="T96" i="25" s="1"/>
  <c r="B96" i="25"/>
  <c r="A96" i="25"/>
  <c r="S95" i="25"/>
  <c r="T95" i="25" s="1"/>
  <c r="B95" i="25"/>
  <c r="A95" i="25"/>
  <c r="S94" i="25"/>
  <c r="T94" i="25" s="1"/>
  <c r="B94" i="25"/>
  <c r="A94" i="25"/>
  <c r="R93" i="25"/>
  <c r="R84" i="25" s="1"/>
  <c r="Q93" i="25"/>
  <c r="P93" i="25"/>
  <c r="O93" i="25"/>
  <c r="N93" i="25"/>
  <c r="N84" i="25" s="1"/>
  <c r="M93" i="25"/>
  <c r="L93" i="25"/>
  <c r="K93" i="25"/>
  <c r="J93" i="25"/>
  <c r="J84" i="25" s="1"/>
  <c r="I93" i="25"/>
  <c r="H93" i="25"/>
  <c r="G93" i="25"/>
  <c r="B93" i="25"/>
  <c r="A93" i="25"/>
  <c r="S92" i="25"/>
  <c r="T92" i="25" s="1"/>
  <c r="B92" i="25"/>
  <c r="A92" i="25"/>
  <c r="S91" i="25"/>
  <c r="T91" i="25" s="1"/>
  <c r="B91" i="25"/>
  <c r="A91" i="25"/>
  <c r="S90" i="25"/>
  <c r="T90" i="25" s="1"/>
  <c r="B90" i="25"/>
  <c r="A90" i="25"/>
  <c r="S89" i="25"/>
  <c r="T89" i="25" s="1"/>
  <c r="B89" i="25"/>
  <c r="A89" i="25"/>
  <c r="S88" i="25"/>
  <c r="T88" i="25" s="1"/>
  <c r="B88" i="25"/>
  <c r="A88" i="25"/>
  <c r="S87" i="25"/>
  <c r="T87" i="25" s="1"/>
  <c r="B87" i="25"/>
  <c r="A87" i="25"/>
  <c r="S86" i="25"/>
  <c r="T86" i="25" s="1"/>
  <c r="B86" i="25"/>
  <c r="A86" i="25"/>
  <c r="R85" i="25"/>
  <c r="Q85" i="25"/>
  <c r="P85" i="25"/>
  <c r="O85" i="25"/>
  <c r="N85" i="25"/>
  <c r="M85" i="25"/>
  <c r="L85" i="25"/>
  <c r="K85" i="25"/>
  <c r="J85" i="25"/>
  <c r="I85" i="25"/>
  <c r="H85" i="25"/>
  <c r="G85" i="25"/>
  <c r="B85" i="25"/>
  <c r="A85" i="25"/>
  <c r="P84" i="25"/>
  <c r="L84" i="25"/>
  <c r="H84" i="25"/>
  <c r="B84" i="25"/>
  <c r="A84" i="25"/>
  <c r="T83" i="25"/>
  <c r="T82" i="25"/>
  <c r="S82" i="25"/>
  <c r="B81" i="25"/>
  <c r="R80" i="25"/>
  <c r="Q80" i="25"/>
  <c r="P80" i="25"/>
  <c r="O80" i="25"/>
  <c r="N80" i="25"/>
  <c r="M80" i="25"/>
  <c r="L80" i="25"/>
  <c r="K80" i="25"/>
  <c r="J80" i="25"/>
  <c r="I80" i="25"/>
  <c r="H80" i="25"/>
  <c r="G80" i="25"/>
  <c r="B64" i="25"/>
  <c r="S63" i="25"/>
  <c r="B63" i="25"/>
  <c r="S62" i="25"/>
  <c r="B62" i="25"/>
  <c r="S61" i="25"/>
  <c r="B61" i="25"/>
  <c r="B60" i="25"/>
  <c r="B59" i="25"/>
  <c r="S58" i="25"/>
  <c r="B58" i="25"/>
  <c r="S57" i="25"/>
  <c r="B57" i="25"/>
  <c r="S56" i="25"/>
  <c r="B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B55" i="25"/>
  <c r="B54" i="25"/>
  <c r="B53" i="25"/>
  <c r="S52" i="25"/>
  <c r="B52" i="25"/>
  <c r="S51" i="25"/>
  <c r="B51" i="25"/>
  <c r="S50" i="25"/>
  <c r="B50" i="25"/>
  <c r="S49" i="25"/>
  <c r="B49" i="25"/>
  <c r="S48" i="25"/>
  <c r="B48" i="25"/>
  <c r="S47" i="25"/>
  <c r="B47" i="25"/>
  <c r="S46" i="25"/>
  <c r="B46" i="25"/>
  <c r="S45" i="25"/>
  <c r="B45" i="25"/>
  <c r="S44" i="25"/>
  <c r="B44" i="25"/>
  <c r="S43" i="25"/>
  <c r="B43" i="25"/>
  <c r="S42" i="25"/>
  <c r="B42" i="25"/>
  <c r="S41" i="25"/>
  <c r="B41" i="25"/>
  <c r="R40" i="25"/>
  <c r="Q40" i="25"/>
  <c r="P40" i="25"/>
  <c r="O40" i="25"/>
  <c r="N40" i="25"/>
  <c r="M40" i="25"/>
  <c r="L40" i="25"/>
  <c r="K40" i="25"/>
  <c r="J40" i="25"/>
  <c r="N40" i="11" s="1"/>
  <c r="I40" i="25"/>
  <c r="H40" i="25"/>
  <c r="G40" i="25"/>
  <c r="B40" i="25"/>
  <c r="S39" i="25"/>
  <c r="B39" i="25"/>
  <c r="S38" i="25"/>
  <c r="B38" i="25"/>
  <c r="S37" i="25"/>
  <c r="B37" i="25"/>
  <c r="S36" i="25"/>
  <c r="B36" i="25"/>
  <c r="S35" i="25"/>
  <c r="B35" i="25"/>
  <c r="S34" i="25"/>
  <c r="B34" i="25"/>
  <c r="S33" i="25"/>
  <c r="B33" i="25"/>
  <c r="S32" i="25"/>
  <c r="G32" i="11" s="1"/>
  <c r="B32" i="25"/>
  <c r="S31" i="25"/>
  <c r="B31" i="25"/>
  <c r="R30" i="25"/>
  <c r="Q30" i="25"/>
  <c r="P30" i="25"/>
  <c r="O30" i="25"/>
  <c r="O29" i="25" s="1"/>
  <c r="N30" i="25"/>
  <c r="M30" i="25"/>
  <c r="M29" i="25" s="1"/>
  <c r="L30" i="25"/>
  <c r="K30" i="25"/>
  <c r="K29" i="25" s="1"/>
  <c r="J30" i="25"/>
  <c r="N30" i="11" s="1"/>
  <c r="I30" i="25"/>
  <c r="H30" i="25"/>
  <c r="G30" i="25"/>
  <c r="B30" i="25"/>
  <c r="Q29" i="25"/>
  <c r="B29" i="25"/>
  <c r="S28" i="25"/>
  <c r="B28" i="25"/>
  <c r="S27" i="25"/>
  <c r="B27" i="25"/>
  <c r="S26" i="25"/>
  <c r="B26" i="25"/>
  <c r="S25" i="25"/>
  <c r="B25" i="25"/>
  <c r="S24" i="25"/>
  <c r="B24" i="25"/>
  <c r="S23" i="25"/>
  <c r="B23" i="25"/>
  <c r="S22" i="25"/>
  <c r="B22" i="25"/>
  <c r="S21" i="25"/>
  <c r="B21" i="25"/>
  <c r="S20" i="25"/>
  <c r="B20" i="25"/>
  <c r="R19" i="25"/>
  <c r="Q19" i="25"/>
  <c r="P19" i="25"/>
  <c r="O19" i="25"/>
  <c r="N19" i="25"/>
  <c r="M19" i="25"/>
  <c r="L19" i="25"/>
  <c r="K19" i="25"/>
  <c r="J19" i="25"/>
  <c r="N19" i="11" s="1"/>
  <c r="I19" i="25"/>
  <c r="H19" i="25"/>
  <c r="G19" i="25"/>
  <c r="B19" i="25"/>
  <c r="S18" i="25"/>
  <c r="B18" i="25"/>
  <c r="S17" i="25"/>
  <c r="B17" i="25"/>
  <c r="S16" i="25"/>
  <c r="B16" i="25"/>
  <c r="S15" i="25"/>
  <c r="B15" i="25"/>
  <c r="S14" i="25"/>
  <c r="B14" i="25"/>
  <c r="S13" i="25"/>
  <c r="B13" i="25"/>
  <c r="S12" i="25"/>
  <c r="B12" i="25"/>
  <c r="R11" i="25"/>
  <c r="R10" i="25" s="1"/>
  <c r="Q11" i="25"/>
  <c r="P11" i="25"/>
  <c r="O11" i="25"/>
  <c r="N11" i="25"/>
  <c r="M11" i="25"/>
  <c r="L11" i="25"/>
  <c r="K11" i="25"/>
  <c r="J11" i="25"/>
  <c r="N11" i="11" s="1"/>
  <c r="I11" i="25"/>
  <c r="H11" i="25"/>
  <c r="G11" i="25"/>
  <c r="G10" i="25" s="1"/>
  <c r="B11" i="25"/>
  <c r="N10" i="25"/>
  <c r="B10" i="25"/>
  <c r="T9" i="25"/>
  <c r="S8" i="25"/>
  <c r="R8" i="25"/>
  <c r="R82" i="25" s="1"/>
  <c r="Q8" i="25"/>
  <c r="Q82" i="25" s="1"/>
  <c r="P8" i="25"/>
  <c r="P82" i="25" s="1"/>
  <c r="O8" i="25"/>
  <c r="O82" i="25" s="1"/>
  <c r="N8" i="25"/>
  <c r="N82" i="25" s="1"/>
  <c r="M8" i="25"/>
  <c r="M82" i="25" s="1"/>
  <c r="L8" i="25"/>
  <c r="L82" i="25" s="1"/>
  <c r="K8" i="25"/>
  <c r="K82" i="25" s="1"/>
  <c r="J8" i="25"/>
  <c r="J82" i="25" s="1"/>
  <c r="I8" i="25"/>
  <c r="I82" i="25" s="1"/>
  <c r="H8" i="25"/>
  <c r="H82" i="25" s="1"/>
  <c r="G8" i="25"/>
  <c r="G82" i="25" s="1"/>
  <c r="S7" i="25"/>
  <c r="S81" i="25" s="1"/>
  <c r="B7" i="25"/>
  <c r="R5" i="25"/>
  <c r="Q5" i="25"/>
  <c r="P5" i="25"/>
  <c r="O5" i="25"/>
  <c r="N5" i="25"/>
  <c r="M5" i="25"/>
  <c r="L5" i="25"/>
  <c r="K5" i="25"/>
  <c r="J5" i="25"/>
  <c r="I5" i="25"/>
  <c r="H5" i="25"/>
  <c r="G5" i="25"/>
  <c r="E4" i="25"/>
  <c r="E3" i="25"/>
  <c r="E2" i="25"/>
  <c r="T61" i="25" l="1"/>
  <c r="G61" i="11"/>
  <c r="T58" i="25"/>
  <c r="G58" i="11"/>
  <c r="T50" i="25"/>
  <c r="G50" i="11"/>
  <c r="T52" i="25"/>
  <c r="G52" i="11"/>
  <c r="J10" i="25"/>
  <c r="N10" i="11" s="1"/>
  <c r="I29" i="25"/>
  <c r="T62" i="25"/>
  <c r="G62" i="11"/>
  <c r="T63" i="25"/>
  <c r="G63" i="11"/>
  <c r="T57" i="25"/>
  <c r="G57" i="11"/>
  <c r="T56" i="25"/>
  <c r="G56" i="11"/>
  <c r="T51" i="25"/>
  <c r="G51" i="11"/>
  <c r="T49" i="25"/>
  <c r="G49" i="11"/>
  <c r="T48" i="25"/>
  <c r="G48" i="11"/>
  <c r="T47" i="25"/>
  <c r="G47" i="11"/>
  <c r="T46" i="25"/>
  <c r="G46" i="11"/>
  <c r="T45" i="25"/>
  <c r="G45" i="11"/>
  <c r="T44" i="25"/>
  <c r="G44" i="11"/>
  <c r="T43" i="25"/>
  <c r="G43" i="11"/>
  <c r="T42" i="25"/>
  <c r="G42" i="11"/>
  <c r="T41" i="25"/>
  <c r="G41" i="11"/>
  <c r="T31" i="25"/>
  <c r="G31" i="11"/>
  <c r="T39" i="25"/>
  <c r="G39" i="11"/>
  <c r="T38" i="25"/>
  <c r="G38" i="11"/>
  <c r="T37" i="25"/>
  <c r="G37" i="11"/>
  <c r="T36" i="25"/>
  <c r="G36" i="11"/>
  <c r="T35" i="25"/>
  <c r="G35" i="11"/>
  <c r="T34" i="25"/>
  <c r="G34" i="11"/>
  <c r="T33" i="25"/>
  <c r="G33" i="11"/>
  <c r="T32" i="25"/>
  <c r="T27" i="25"/>
  <c r="G27" i="11"/>
  <c r="T28" i="25"/>
  <c r="G28" i="11"/>
  <c r="T26" i="25"/>
  <c r="G26" i="11"/>
  <c r="T25" i="25"/>
  <c r="G25" i="11"/>
  <c r="T24" i="25"/>
  <c r="G24" i="11"/>
  <c r="T20" i="25"/>
  <c r="G20" i="11"/>
  <c r="T21" i="25"/>
  <c r="G21" i="11"/>
  <c r="T22" i="25"/>
  <c r="G22" i="11"/>
  <c r="T23" i="25"/>
  <c r="G23" i="11"/>
  <c r="T14" i="25"/>
  <c r="G14" i="11"/>
  <c r="T15" i="25"/>
  <c r="G15" i="11"/>
  <c r="T17" i="25"/>
  <c r="G17" i="11"/>
  <c r="T12" i="25"/>
  <c r="G12" i="11"/>
  <c r="T13" i="25"/>
  <c r="G13" i="11"/>
  <c r="T16" i="25"/>
  <c r="G16" i="11"/>
  <c r="T18" i="25"/>
  <c r="G18" i="11"/>
  <c r="I103" i="25"/>
  <c r="M103" i="25"/>
  <c r="Q103" i="25"/>
  <c r="H103" i="25"/>
  <c r="J103" i="25"/>
  <c r="L103" i="25"/>
  <c r="N103" i="25"/>
  <c r="P103" i="25"/>
  <c r="R103" i="25"/>
  <c r="S85" i="25"/>
  <c r="T85" i="25" s="1"/>
  <c r="S114" i="25"/>
  <c r="T114" i="25" s="1"/>
  <c r="K103" i="25"/>
  <c r="O103" i="25"/>
  <c r="S30" i="25"/>
  <c r="I10" i="25"/>
  <c r="K10" i="25"/>
  <c r="K53" i="25" s="1"/>
  <c r="K59" i="25" s="1"/>
  <c r="K64" i="25" s="1"/>
  <c r="K60" i="25" s="1"/>
  <c r="M10" i="25"/>
  <c r="O10" i="25"/>
  <c r="O53" i="25" s="1"/>
  <c r="O59" i="25" s="1"/>
  <c r="O64" i="25" s="1"/>
  <c r="O60" i="25" s="1"/>
  <c r="Q10" i="25"/>
  <c r="L10" i="25"/>
  <c r="P10" i="25"/>
  <c r="H10" i="25"/>
  <c r="G84" i="25"/>
  <c r="I84" i="25"/>
  <c r="I127" i="25" s="1"/>
  <c r="I133" i="25" s="1"/>
  <c r="I138" i="25" s="1"/>
  <c r="I134" i="25" s="1"/>
  <c r="K84" i="25"/>
  <c r="M84" i="25"/>
  <c r="O84" i="25"/>
  <c r="Q84" i="25"/>
  <c r="Q127" i="25" s="1"/>
  <c r="Q133" i="25" s="1"/>
  <c r="Q138" i="25" s="1"/>
  <c r="Q134" i="25" s="1"/>
  <c r="G103" i="25"/>
  <c r="H29" i="25"/>
  <c r="J29" i="25"/>
  <c r="L29" i="25"/>
  <c r="N29" i="25"/>
  <c r="N53" i="25" s="1"/>
  <c r="P29" i="25"/>
  <c r="P53" i="25" s="1"/>
  <c r="R29" i="25"/>
  <c r="R53" i="25" s="1"/>
  <c r="S40" i="25"/>
  <c r="I53" i="25"/>
  <c r="M53" i="25"/>
  <c r="M54" i="25" s="1"/>
  <c r="Q53" i="25"/>
  <c r="Q54" i="25" s="1"/>
  <c r="G29" i="25"/>
  <c r="S19" i="25"/>
  <c r="S11" i="25"/>
  <c r="S55" i="25"/>
  <c r="S93" i="25"/>
  <c r="T93" i="25" s="1"/>
  <c r="S104" i="25"/>
  <c r="T104" i="25" s="1"/>
  <c r="S129" i="25"/>
  <c r="T129" i="25" s="1"/>
  <c r="J53" i="25" l="1"/>
  <c r="N53" i="11" s="1"/>
  <c r="N29" i="11"/>
  <c r="I54" i="25"/>
  <c r="T55" i="25"/>
  <c r="G55" i="11"/>
  <c r="T40" i="25"/>
  <c r="G40" i="11"/>
  <c r="T30" i="25"/>
  <c r="G30" i="11"/>
  <c r="T19" i="25"/>
  <c r="G19" i="11"/>
  <c r="T11" i="25"/>
  <c r="G11" i="11"/>
  <c r="M127" i="25"/>
  <c r="M128" i="25" s="1"/>
  <c r="O127" i="25"/>
  <c r="O128" i="25" s="1"/>
  <c r="N127" i="25"/>
  <c r="N128" i="25" s="1"/>
  <c r="K127" i="25"/>
  <c r="K133" i="25" s="1"/>
  <c r="K138" i="25" s="1"/>
  <c r="K134" i="25" s="1"/>
  <c r="L127" i="25"/>
  <c r="L133" i="25" s="1"/>
  <c r="L138" i="25" s="1"/>
  <c r="L134" i="25" s="1"/>
  <c r="R127" i="25"/>
  <c r="R128" i="25" s="1"/>
  <c r="J127" i="25"/>
  <c r="J128" i="25" s="1"/>
  <c r="P127" i="25"/>
  <c r="P133" i="25" s="1"/>
  <c r="P138" i="25" s="1"/>
  <c r="P134" i="25" s="1"/>
  <c r="H127" i="25"/>
  <c r="H133" i="25" s="1"/>
  <c r="H138" i="25" s="1"/>
  <c r="H134" i="25" s="1"/>
  <c r="G53" i="25"/>
  <c r="G127" i="25"/>
  <c r="Q59" i="25"/>
  <c r="Q64" i="25" s="1"/>
  <c r="Q60" i="25" s="1"/>
  <c r="I59" i="25"/>
  <c r="M59" i="25"/>
  <c r="M64" i="25" s="1"/>
  <c r="M60" i="25" s="1"/>
  <c r="L53" i="25"/>
  <c r="L54" i="25" s="1"/>
  <c r="O54" i="25"/>
  <c r="S10" i="25"/>
  <c r="H53" i="25"/>
  <c r="M133" i="25"/>
  <c r="M138" i="25" s="1"/>
  <c r="M134" i="25" s="1"/>
  <c r="I128" i="25"/>
  <c r="S84" i="25"/>
  <c r="T84" i="25" s="1"/>
  <c r="Q128" i="25"/>
  <c r="S103" i="25"/>
  <c r="T103" i="25" s="1"/>
  <c r="S29" i="25"/>
  <c r="P59" i="25"/>
  <c r="P64" i="25" s="1"/>
  <c r="P60" i="25" s="1"/>
  <c r="P54" i="25"/>
  <c r="K54" i="25"/>
  <c r="N54" i="25"/>
  <c r="N59" i="25"/>
  <c r="N64" i="25" s="1"/>
  <c r="N60" i="25" s="1"/>
  <c r="G59" i="25"/>
  <c r="R54" i="25"/>
  <c r="R59" i="25"/>
  <c r="R64" i="25" s="1"/>
  <c r="R60" i="25" s="1"/>
  <c r="J54" i="25"/>
  <c r="N54" i="11" s="1"/>
  <c r="J59" i="25"/>
  <c r="S53" i="20"/>
  <c r="J64" i="25" l="1"/>
  <c r="N59" i="11"/>
  <c r="I64" i="25"/>
  <c r="T29" i="25"/>
  <c r="G29" i="11"/>
  <c r="H54" i="25"/>
  <c r="T10" i="25"/>
  <c r="G10" i="11"/>
  <c r="O133" i="25"/>
  <c r="O138" i="25" s="1"/>
  <c r="O134" i="25" s="1"/>
  <c r="G54" i="25"/>
  <c r="G128" i="25"/>
  <c r="L128" i="25"/>
  <c r="K128" i="25"/>
  <c r="N133" i="25"/>
  <c r="N138" i="25" s="1"/>
  <c r="N134" i="25" s="1"/>
  <c r="R133" i="25"/>
  <c r="R138" i="25" s="1"/>
  <c r="R134" i="25" s="1"/>
  <c r="J133" i="25"/>
  <c r="J138" i="25" s="1"/>
  <c r="J134" i="25" s="1"/>
  <c r="H128" i="25"/>
  <c r="P128" i="25"/>
  <c r="S127" i="25"/>
  <c r="T127" i="25" s="1"/>
  <c r="G133" i="25"/>
  <c r="L59" i="25"/>
  <c r="L64" i="25" s="1"/>
  <c r="L60" i="25" s="1"/>
  <c r="H59" i="25"/>
  <c r="S53" i="25"/>
  <c r="G64" i="25"/>
  <c r="G5" i="22"/>
  <c r="H5" i="22"/>
  <c r="I5" i="22"/>
  <c r="J5" i="22"/>
  <c r="K5" i="22"/>
  <c r="L5" i="22"/>
  <c r="M5" i="22"/>
  <c r="N5" i="22"/>
  <c r="O5" i="22"/>
  <c r="J60" i="25" l="1"/>
  <c r="N60" i="11" s="1"/>
  <c r="N64" i="11"/>
  <c r="I60" i="25"/>
  <c r="H64" i="25"/>
  <c r="S64" i="25" s="1"/>
  <c r="T53" i="25"/>
  <c r="G53" i="11"/>
  <c r="S54" i="25"/>
  <c r="S133" i="25"/>
  <c r="T133" i="25" s="1"/>
  <c r="S128" i="25"/>
  <c r="T128" i="25" s="1"/>
  <c r="G138" i="25"/>
  <c r="S59" i="25"/>
  <c r="G60" i="25"/>
  <c r="P19" i="22"/>
  <c r="T54" i="25" l="1"/>
  <c r="G54" i="11"/>
  <c r="T64" i="25"/>
  <c r="G64" i="11"/>
  <c r="T59" i="25"/>
  <c r="G59" i="11"/>
  <c r="H60" i="25"/>
  <c r="S138" i="25"/>
  <c r="T138" i="25" s="1"/>
  <c r="G134" i="25"/>
  <c r="S121" i="22"/>
  <c r="S60" i="25" l="1"/>
  <c r="T60" i="25" s="1"/>
  <c r="S134" i="25"/>
  <c r="T134" i="25" s="1"/>
  <c r="M129" i="22"/>
  <c r="G60" i="11" l="1"/>
  <c r="G5" i="19"/>
  <c r="H5" i="19"/>
  <c r="I5" i="19"/>
  <c r="J5" i="19"/>
  <c r="K5" i="19"/>
  <c r="L5" i="19"/>
  <c r="M5" i="19"/>
  <c r="N5" i="19"/>
  <c r="O5" i="19"/>
  <c r="P5" i="19"/>
  <c r="Q5" i="19"/>
  <c r="R5" i="19"/>
  <c r="G129" i="22" l="1"/>
  <c r="Q31" i="11"/>
  <c r="P31" i="11"/>
  <c r="G11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7" i="11"/>
  <c r="Q15" i="11"/>
  <c r="Q13" i="11"/>
  <c r="Q62" i="11"/>
  <c r="Q58" i="11"/>
  <c r="Q56" i="11"/>
  <c r="Q52" i="11"/>
  <c r="Q50" i="11"/>
  <c r="Q48" i="11"/>
  <c r="Q46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T27" i="22" s="1"/>
  <c r="S28" i="22"/>
  <c r="T28" i="22" s="1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S86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T33" i="22" s="1"/>
  <c r="S32" i="22"/>
  <c r="T32" i="22" s="1"/>
  <c r="R30" i="22"/>
  <c r="P30" i="22"/>
  <c r="N30" i="22"/>
  <c r="L30" i="22"/>
  <c r="J30" i="22"/>
  <c r="H30" i="22"/>
  <c r="S31" i="22"/>
  <c r="T31" i="22" s="1"/>
  <c r="Q30" i="22"/>
  <c r="O30" i="22"/>
  <c r="M30" i="22"/>
  <c r="K30" i="22"/>
  <c r="I30" i="22"/>
  <c r="G30" i="22"/>
  <c r="S26" i="22"/>
  <c r="S25" i="22"/>
  <c r="T25" i="22" s="1"/>
  <c r="S24" i="22"/>
  <c r="T24" i="22" s="1"/>
  <c r="S23" i="22"/>
  <c r="T23" i="22" s="1"/>
  <c r="S22" i="22"/>
  <c r="T22" i="22" s="1"/>
  <c r="S21" i="22"/>
  <c r="T21" i="22" s="1"/>
  <c r="S20" i="22"/>
  <c r="T20" i="22" s="1"/>
  <c r="S18" i="22"/>
  <c r="T18" i="22" s="1"/>
  <c r="S17" i="22"/>
  <c r="T17" i="22" s="1"/>
  <c r="S16" i="22"/>
  <c r="T16" i="22" s="1"/>
  <c r="S15" i="22"/>
  <c r="T15" i="22" s="1"/>
  <c r="S14" i="22"/>
  <c r="T14" i="22" s="1"/>
  <c r="S13" i="22"/>
  <c r="T13" i="22" s="1"/>
  <c r="R11" i="22"/>
  <c r="P11" i="22"/>
  <c r="N11" i="22"/>
  <c r="L11" i="22"/>
  <c r="J11" i="22"/>
  <c r="H11" i="22"/>
  <c r="S12" i="22"/>
  <c r="T12" i="22" s="1"/>
  <c r="Q11" i="22"/>
  <c r="O11" i="22"/>
  <c r="M11" i="22"/>
  <c r="K11" i="22"/>
  <c r="K10" i="22" s="1"/>
  <c r="I11" i="22"/>
  <c r="G11" i="22"/>
  <c r="R5" i="22"/>
  <c r="Q5" i="22"/>
  <c r="P5" i="22"/>
  <c r="T34" i="22" l="1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G10" i="22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I47" i="11"/>
  <c r="Q40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Q53" i="22" l="1"/>
  <c r="P53" i="22"/>
  <c r="P59" i="22" s="1"/>
  <c r="Q29" i="11"/>
  <c r="P127" i="22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L53" i="22"/>
  <c r="L59" i="22" s="1"/>
  <c r="K127" i="22"/>
  <c r="K53" i="22"/>
  <c r="K54" i="22" s="1"/>
  <c r="J127" i="22"/>
  <c r="J128" i="22" s="1"/>
  <c r="I53" i="22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S10" i="22"/>
  <c r="T10" i="22" s="1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I59" i="22"/>
  <c r="Q59" i="22"/>
  <c r="P128" i="22"/>
  <c r="O133" i="22"/>
  <c r="O138" i="22" s="1"/>
  <c r="O134" i="22" s="1"/>
  <c r="S84" i="22"/>
  <c r="J43" i="11"/>
  <c r="I43" i="11"/>
  <c r="J31" i="11"/>
  <c r="I31" i="11"/>
  <c r="J58" i="11"/>
  <c r="I58" i="11"/>
  <c r="J57" i="11"/>
  <c r="I57" i="11"/>
  <c r="J56" i="11"/>
  <c r="I56" i="11"/>
  <c r="Q55" i="11"/>
  <c r="J52" i="11"/>
  <c r="I52" i="11"/>
  <c r="J51" i="11"/>
  <c r="I51" i="11"/>
  <c r="J50" i="11"/>
  <c r="I50" i="11"/>
  <c r="J49" i="11"/>
  <c r="I49" i="11"/>
  <c r="J48" i="11"/>
  <c r="I48" i="11"/>
  <c r="J47" i="11"/>
  <c r="J46" i="11"/>
  <c r="I46" i="11"/>
  <c r="J45" i="11"/>
  <c r="I45" i="11"/>
  <c r="J44" i="11"/>
  <c r="I44" i="11"/>
  <c r="J42" i="11"/>
  <c r="I42" i="11"/>
  <c r="J41" i="11"/>
  <c r="I41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S29" i="22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O54" i="22"/>
  <c r="J53" i="22"/>
  <c r="A145" i="19"/>
  <c r="A144" i="19"/>
  <c r="A151" i="19"/>
  <c r="A157" i="19"/>
  <c r="A152" i="19"/>
  <c r="A153" i="19"/>
  <c r="G54" i="22" l="1"/>
  <c r="T29" i="22"/>
  <c r="R54" i="22"/>
  <c r="Q64" i="22"/>
  <c r="Q54" i="22"/>
  <c r="P133" i="22"/>
  <c r="P54" i="22"/>
  <c r="P64" i="22"/>
  <c r="P60" i="22" s="1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J40" i="11"/>
  <c r="I40" i="11"/>
  <c r="J30" i="11"/>
  <c r="I30" i="11"/>
  <c r="S53" i="22"/>
  <c r="T53" i="22" s="1"/>
  <c r="J19" i="11"/>
  <c r="I19" i="11"/>
  <c r="G59" i="22"/>
  <c r="J11" i="11"/>
  <c r="I11" i="11"/>
  <c r="G133" i="22"/>
  <c r="J59" i="22"/>
  <c r="J54" i="22"/>
  <c r="R64" i="22" l="1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I10" i="11"/>
  <c r="J10" i="11"/>
  <c r="Q53" i="11"/>
  <c r="P53" i="11"/>
  <c r="G64" i="22"/>
  <c r="J29" i="11"/>
  <c r="I29" i="11"/>
  <c r="S59" i="22"/>
  <c r="T59" i="22" s="1"/>
  <c r="G138" i="22"/>
  <c r="S133" i="22"/>
  <c r="Q54" i="11"/>
  <c r="S128" i="22"/>
  <c r="R60" i="22" l="1"/>
  <c r="P134" i="22"/>
  <c r="O60" i="22"/>
  <c r="N60" i="22"/>
  <c r="Q59" i="11"/>
  <c r="M134" i="22"/>
  <c r="M60" i="22"/>
  <c r="J60" i="22"/>
  <c r="T128" i="22"/>
  <c r="T133" i="22"/>
  <c r="I134" i="22"/>
  <c r="H60" i="22"/>
  <c r="I53" i="11"/>
  <c r="S64" i="22"/>
  <c r="T64" i="22" s="1"/>
  <c r="J53" i="11"/>
  <c r="G60" i="22"/>
  <c r="S138" i="22"/>
  <c r="G134" i="22"/>
  <c r="GC35" i="6"/>
  <c r="GC28" i="6"/>
  <c r="GC23" i="6"/>
  <c r="GC18" i="6"/>
  <c r="GC10" i="6"/>
  <c r="I54" i="11" l="1"/>
  <c r="Q64" i="11"/>
  <c r="S60" i="22"/>
  <c r="T60" i="22" s="1"/>
  <c r="J54" i="11"/>
  <c r="T138" i="22"/>
  <c r="J59" i="11"/>
  <c r="I59" i="11"/>
  <c r="S134" i="22"/>
  <c r="Q60" i="11"/>
  <c r="GB35" i="6"/>
  <c r="GB28" i="6"/>
  <c r="GB23" i="6"/>
  <c r="GB18" i="6"/>
  <c r="GB10" i="6"/>
  <c r="J60" i="11" l="1"/>
  <c r="T134" i="22"/>
  <c r="I64" i="11"/>
  <c r="J64" i="1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I60" i="11" l="1"/>
  <c r="GA35" i="6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Q30" i="20" s="1"/>
  <c r="R32" i="20"/>
  <c r="R30" i="20" s="1"/>
  <c r="G32" i="20"/>
  <c r="L30" i="20"/>
  <c r="O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H30" i="20" l="1"/>
  <c r="I30" i="20"/>
  <c r="P40" i="20"/>
  <c r="L40" i="20"/>
  <c r="L29" i="20" s="1"/>
  <c r="H40" i="20"/>
  <c r="P55" i="20"/>
  <c r="P30" i="20"/>
  <c r="H29" i="20"/>
  <c r="G30" i="20"/>
  <c r="K30" i="20"/>
  <c r="P29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Q48" i="19"/>
  <c r="R48" i="19"/>
  <c r="H48" i="19"/>
  <c r="G48" i="19"/>
  <c r="T48" i="11" l="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S14" i="20"/>
  <c r="T14" i="20" s="1"/>
  <c r="S18" i="20"/>
  <c r="T18" i="20" s="1"/>
  <c r="S22" i="20"/>
  <c r="T22" i="20" s="1"/>
  <c r="S26" i="20"/>
  <c r="T26" i="20" s="1"/>
  <c r="S15" i="20"/>
  <c r="T15" i="20" s="1"/>
  <c r="S19" i="20"/>
  <c r="T19" i="20" s="1"/>
  <c r="S23" i="20"/>
  <c r="T23" i="20" s="1"/>
  <c r="S27" i="20"/>
  <c r="T27" i="20" s="1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S21" i="20"/>
  <c r="T21" i="20" s="1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S16" i="20"/>
  <c r="T16" i="20" s="1"/>
  <c r="S17" i="20"/>
  <c r="T17" i="20" s="1"/>
  <c r="S13" i="20"/>
  <c r="T13" i="20" s="1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S12" i="20"/>
  <c r="T12" i="20" s="1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50" i="21" s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S11" i="20"/>
  <c r="T11" i="20" s="1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55" i="21" l="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S10" i="20"/>
  <c r="T10" i="20" s="1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R62" i="21" l="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2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S62" i="19" l="1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40" i="11" l="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L10" i="11" l="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T59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T64" i="11" l="1"/>
  <c r="M54" i="11"/>
  <c r="L54" i="11"/>
  <c r="M59" i="11"/>
  <c r="L59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T60" i="11" l="1"/>
  <c r="L64" i="11"/>
  <c r="M64" i="11"/>
  <c r="S153" i="19"/>
  <c r="T153" i="19" s="1"/>
  <c r="S60" i="19"/>
  <c r="T60" i="19" s="1"/>
  <c r="G13" i="2"/>
  <c r="M60" i="11" l="1"/>
  <c r="L60" i="11"/>
  <c r="G14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1" i="2"/>
  <c r="G20" i="2"/>
  <c r="G15" i="2"/>
  <c r="G98" i="2" l="1"/>
  <c r="G150" i="2"/>
  <c r="CY40" i="6"/>
  <c r="G244" i="2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1" i="2"/>
  <c r="G279" i="2"/>
  <c r="G277" i="2"/>
  <c r="G268" i="2"/>
  <c r="G267" i="2"/>
  <c r="G262" i="2"/>
  <c r="G260" i="2"/>
  <c r="G258" i="2"/>
  <c r="G257" i="2"/>
  <c r="G252" i="2"/>
  <c r="G251" i="2"/>
  <c r="B7" i="22" s="1"/>
  <c r="G248" i="2"/>
  <c r="G242" i="2"/>
  <c r="R8" i="22" s="1"/>
  <c r="R82" i="22" s="1"/>
  <c r="G241" i="2"/>
  <c r="Q8" i="22" s="1"/>
  <c r="Q82" i="22" s="1"/>
  <c r="G240" i="2"/>
  <c r="G239" i="2"/>
  <c r="O8" i="22" s="1"/>
  <c r="O82" i="22" s="1"/>
  <c r="G238" i="2"/>
  <c r="N8" i="22" s="1"/>
  <c r="N82" i="22" s="1"/>
  <c r="G237" i="2"/>
  <c r="M8" i="22" s="1"/>
  <c r="M82" i="22" s="1"/>
  <c r="G236" i="2"/>
  <c r="G235" i="2"/>
  <c r="K8" i="22" s="1"/>
  <c r="K82" i="22" s="1"/>
  <c r="G234" i="2"/>
  <c r="J8" i="22" s="1"/>
  <c r="J82" i="22" s="1"/>
  <c r="G233" i="2"/>
  <c r="I8" i="22" s="1"/>
  <c r="I82" i="22" s="1"/>
  <c r="G232" i="2"/>
  <c r="H8" i="22" s="1"/>
  <c r="H82" i="22" s="1"/>
  <c r="G231" i="2"/>
  <c r="G8" i="22" s="1"/>
  <c r="G82" i="22" s="1"/>
  <c r="G230" i="2"/>
  <c r="G229" i="2"/>
  <c r="G227" i="2"/>
  <c r="G225" i="2"/>
  <c r="G224" i="2"/>
  <c r="G223" i="2"/>
  <c r="G222" i="2"/>
  <c r="G221" i="2"/>
  <c r="G220" i="2"/>
  <c r="G219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8" i="11" s="1"/>
  <c r="G24" i="2"/>
  <c r="G23" i="2"/>
  <c r="G22" i="2"/>
  <c r="G19" i="2"/>
  <c r="G18" i="2"/>
  <c r="G17" i="2"/>
  <c r="G16" i="2"/>
  <c r="G10" i="2"/>
  <c r="G9" i="2"/>
  <c r="G8" i="2"/>
  <c r="E4" i="11" s="1"/>
  <c r="G7" i="2"/>
  <c r="E3" i="22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CL320" i="6" s="1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CV320" i="6"/>
  <c r="DE350" i="6"/>
  <c r="DD320" i="6"/>
  <c r="CZ385" i="6"/>
  <c r="DP385" i="6"/>
  <c r="CT350" i="6"/>
  <c r="DR350" i="6"/>
  <c r="CS350" i="6"/>
  <c r="DA350" i="6"/>
  <c r="CR385" i="6" l="1"/>
  <c r="H8" i="3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4" i="2"/>
  <c r="E254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B11" i="11"/>
  <c r="B15" i="3"/>
  <c r="B20" i="3"/>
  <c r="G249" i="2"/>
  <c r="T9" i="22" s="1"/>
  <c r="T83" i="22" s="1"/>
  <c r="B63" i="11"/>
  <c r="B11" i="3"/>
  <c r="B43" i="3"/>
  <c r="B14" i="11"/>
  <c r="B18" i="11"/>
  <c r="B35" i="11"/>
  <c r="B44" i="11"/>
  <c r="B54" i="11"/>
  <c r="B31" i="3"/>
  <c r="G246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3" i="2"/>
  <c r="CM190" i="6"/>
  <c r="CN190" i="6"/>
  <c r="CP190" i="6"/>
  <c r="CQ190" i="6"/>
  <c r="G275" i="2"/>
  <c r="G274" i="2"/>
  <c r="G269" i="2"/>
  <c r="G271" i="2"/>
  <c r="G245" i="2"/>
  <c r="R8" i="3"/>
  <c r="R8" i="11"/>
  <c r="G270" i="2"/>
  <c r="E253" i="2" l="1"/>
  <c r="G253" i="2" s="1"/>
  <c r="B7" i="11" s="1"/>
  <c r="F253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48" i="11" s="1"/>
  <c r="S61" i="11"/>
  <c r="CU190" i="6"/>
  <c r="S64" i="1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39" i="11"/>
  <c r="S38" i="1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6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9" i="11"/>
  <c r="P27" i="11"/>
  <c r="P50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4" i="2"/>
  <c r="P40" i="11"/>
  <c r="S40" i="11"/>
  <c r="CO190" i="6"/>
  <c r="P30" i="11"/>
  <c r="CU192" i="6" l="1"/>
  <c r="CT192" i="6"/>
  <c r="CN192" i="6"/>
  <c r="CW192" i="6"/>
  <c r="S53" i="11"/>
  <c r="CR192" i="6"/>
  <c r="CO192" i="6"/>
  <c r="CL190" i="6"/>
  <c r="P54" i="11" l="1"/>
  <c r="CL192" i="6"/>
  <c r="P64" i="11" l="1"/>
  <c r="P59" i="11"/>
  <c r="S54" i="11"/>
  <c r="P60" i="11" l="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<sst xmlns="http://schemas.openxmlformats.org/spreadsheetml/2006/main" count="1781" uniqueCount="846">
  <si>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</si>
  <si>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</si>
  <si>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</si>
  <si>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</si>
  <si>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</si>
  <si>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</si>
  <si>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</si>
  <si>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</si>
  <si>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</si>
  <si>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</si>
  <si>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</si>
  <si>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</si>
  <si>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</si>
  <si>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</si>
  <si>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</si>
  <si>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</si>
  <si>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</si>
  <si>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</si>
  <si>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</si>
  <si>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</si>
  <si>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</si>
  <si>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</si>
  <si>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</si>
  <si>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</si>
  <si>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</si>
  <si>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</si>
  <si>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</si>
  <si>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</si>
  <si>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</si>
  <si>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</si>
  <si>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</si>
  <si>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</si>
  <si>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</si>
  <si>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</si>
  <si>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</si>
  <si>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</si>
  <si>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</si>
  <si>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</si>
  <si>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</si>
  <si>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</si>
  <si>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</si>
  <si>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</si>
  <si>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</si>
  <si>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</si>
  <si>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</si>
  <si>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</si>
  <si>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</si>
  <si>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</si>
  <si>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</si>
  <si>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</si>
  <si>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</si>
  <si>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</si>
  <si>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</si>
  <si>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</si>
  <si>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</si>
  <si>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</si>
  <si>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</si>
  <si>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</si>
  <si>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</si>
  <si>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</si>
  <si>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</si>
  <si>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</si>
  <si>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</si>
  <si>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</si>
  <si>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</si>
  <si>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</si>
  <si>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</si>
  <si>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</si>
  <si>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</si>
  <si>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</si>
  <si>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</si>
  <si>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</si>
  <si>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</si>
  <si>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</si>
  <si>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</si>
  <si>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</si>
  <si>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</si>
  <si>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</si>
  <si>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</si>
  <si>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</si>
  <si>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</si>
  <si>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</si>
  <si>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</si>
  <si>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</si>
  <si>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</si>
  <si>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</si>
  <si>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</si>
  <si>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</si>
  <si>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</si>
  <si>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</si>
  <si>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</si>
  <si>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</si>
  <si>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</si>
  <si>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</si>
  <si>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</si>
  <si>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</si>
  <si>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</si>
  <si>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</si>
  <si>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</si>
  <si>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</si>
  <si>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</si>
  <si>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</si>
  <si>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</si>
  <si>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</si>
  <si>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</si>
  <si>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</si>
  <si>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</si>
  <si>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</si>
  <si>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</si>
  <si>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</si>
  <si>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</si>
  <si>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</si>
  <si>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</si>
  <si>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</si>
  <si>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</si>
  <si>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</si>
  <si>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</si>
  <si>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</si>
  <si>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</si>
  <si>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</si>
  <si>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</si>
  <si>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</si>
  <si>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</si>
  <si>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</si>
  <si>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</si>
  <si>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</si>
  <si>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</si>
  <si>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</si>
  <si>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</si>
  <si>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</si>
  <si>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</si>
  <si>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</si>
  <si>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</si>
  <si>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</si>
  <si>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</si>
  <si>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</si>
  <si>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</si>
  <si>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</si>
  <si>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</si>
  <si>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</si>
  <si>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</si>
  <si>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</si>
  <si>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</si>
  <si>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</si>
  <si>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</si>
  <si>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</si>
  <si>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</si>
  <si>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</si>
  <si>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</si>
  <si>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</si>
  <si>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</si>
  <si>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</si>
  <si>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</si>
  <si>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</si>
  <si>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</si>
  <si>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</si>
  <si>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</si>
  <si>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</si>
  <si>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</si>
  <si>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</si>
  <si>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</si>
  <si>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</si>
  <si>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</si>
  <si>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</si>
  <si>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</si>
  <si>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</si>
  <si>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</si>
  <si>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</si>
  <si>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</si>
  <si>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</si>
  <si>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</si>
  <si>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</si>
  <si>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</si>
  <si>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</si>
  <si>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</si>
  <si>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</si>
  <si>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</si>
  <si>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</si>
  <si>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</si>
  <si>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</si>
  <si>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</si>
  <si>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</si>
  <si>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</si>
  <si>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</si>
  <si>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</si>
  <si>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</si>
  <si>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</si>
  <si>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</si>
  <si>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</si>
  <si>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</si>
  <si>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</si>
  <si>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</si>
  <si>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</si>
  <si>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</si>
  <si>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</si>
  <si>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</si>
  <si>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</si>
  <si>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</si>
  <si>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</si>
  <si>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</si>
  <si>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</si>
  <si>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</si>
  <si>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</si>
  <si>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</si>
  <si>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</si>
  <si>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</si>
  <si>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</si>
  <si>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</si>
  <si>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</si>
  <si>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</si>
  <si>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</si>
  <si>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</si>
  <si>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</si>
  <si>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</si>
  <si>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</si>
  <si>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</si>
  <si>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</si>
  <si>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</si>
  <si>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</si>
  <si>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</si>
  <si>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</si>
  <si>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</si>
  <si>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</si>
  <si>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</si>
  <si>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</si>
  <si>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</si>
  <si>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</si>
  <si>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</si>
  <si>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</si>
  <si>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</si>
  <si>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</si>
  <si>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</si>
  <si>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</si>
  <si>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</si>
  <si>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</si>
  <si>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</si>
  <si>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</si>
  <si>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</si>
  <si>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</si>
  <si>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</si>
  <si>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</si>
  <si>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</si>
  <si>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</si>
  <si>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</si>
  <si>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</si>
  <si>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</si>
  <si>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</si>
  <si>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</si>
  <si>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</si>
  <si>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</si>
  <si>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</si>
  <si>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</si>
  <si>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</si>
  <si>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</si>
  <si>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</si>
  <si>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</si>
  <si>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</si>
  <si>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</si>
  <si>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</si>
  <si>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</si>
  <si>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</si>
  <si>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</si>
  <si>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</si>
  <si>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</si>
  <si>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</si>
  <si>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</si>
  <si>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</si>
  <si>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</si>
  <si>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</si>
  <si>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</si>
  <si>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</si>
  <si>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</si>
  <si>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</si>
  <si>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</si>
  <si>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</si>
  <si>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</si>
  <si>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</si>
  <si>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</si>
  <si>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</si>
  <si>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</si>
  <si>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</si>
  <si>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</si>
  <si>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</si>
  <si>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</si>
  <si>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</si>
  <si>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</si>
  <si>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</si>
  <si>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</si>
  <si>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</si>
  <si>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</si>
  <si>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</si>
  <si>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</si>
  <si>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</si>
  <si>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</si>
  <si>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</si>
  <si>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</si>
  <si>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</si>
  <si>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</si>
  <si>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</si>
  <si>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</si>
  <si>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</si>
  <si>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</si>
  <si>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</si>
  <si>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</si>
  <si>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</si>
  <si>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</si>
  <si>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</si>
  <si>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</si>
  <si>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</si>
  <si>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</si>
  <si>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</si>
  <si>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</si>
  <si>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</si>
  <si>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</si>
  <si>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</si>
  <si>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</si>
  <si>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</si>
  <si>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</si>
  <si>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</si>
  <si>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</si>
  <si>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</si>
  <si>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</si>
  <si>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</si>
  <si>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</si>
  <si>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</si>
  <si>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</si>
  <si>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</si>
  <si>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</si>
  <si>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</si>
  <si>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</si>
  <si>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</si>
  <si>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</si>
  <si>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</si>
  <si>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</si>
  <si>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</si>
  <si>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</si>
  <si>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</si>
  <si>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</si>
  <si>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</si>
  <si>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</si>
  <si>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</si>
  <si>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</si>
  <si>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</si>
  <si>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</si>
  <si>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</si>
  <si>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</si>
  <si>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</si>
  <si>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</si>
  <si>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</si>
  <si>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</si>
  <si>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</si>
  <si>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</si>
  <si>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</si>
  <si>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</si>
  <si>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</si>
  <si>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</si>
  <si>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</si>
  <si>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</si>
  <si>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</si>
  <si>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</si>
  <si>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</si>
  <si>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</si>
  <si>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</si>
  <si>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</si>
  <si>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</si>
  <si>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</si>
  <si>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</si>
  <si>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</si>
  <si>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</si>
  <si>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</si>
  <si>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</si>
  <si>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</si>
  <si>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</si>
  <si>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</si>
  <si>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</si>
  <si>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</si>
  <si>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</si>
  <si>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</si>
  <si>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</si>
  <si>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</si>
  <si>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</si>
  <si>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</si>
  <si>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</si>
  <si>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</si>
  <si>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</si>
  <si>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</si>
  <si>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</si>
  <si>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</si>
  <si>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</si>
  <si>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</si>
  <si>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</si>
  <si>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</si>
  <si>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</si>
  <si>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</si>
  <si>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</si>
  <si>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</si>
  <si>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</si>
  <si>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</si>
  <si>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</si>
  <si>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</si>
  <si>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</si>
  <si>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</si>
  <si>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</si>
  <si>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</si>
  <si>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</si>
  <si>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</si>
  <si>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</si>
  <si>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</si>
  <si>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</si>
  <si>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</si>
  <si>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</si>
  <si>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</si>
  <si>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</si>
  <si>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</si>
  <si>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</si>
  <si>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</si>
  <si>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</si>
  <si>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</si>
  <si>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</si>
  <si>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</si>
  <si>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</si>
  <si>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</si>
  <si>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</si>
  <si>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</si>
  <si>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</si>
  <si>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</si>
  <si>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</si>
  <si>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</si>
  <si>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</si>
  <si>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</si>
  <si>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</si>
  <si>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</si>
  <si>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</si>
  <si>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</si>
  <si>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</si>
  <si>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</si>
  <si>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</si>
  <si>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</si>
  <si>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</si>
  <si>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</si>
  <si>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</si>
  <si>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</si>
  <si>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</si>
  <si>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</si>
  <si>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</si>
  <si>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</si>
  <si>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</si>
  <si>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</si>
  <si>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</si>
  <si>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</si>
  <si>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</si>
  <si>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</si>
  <si>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</si>
  <si>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</si>
  <si>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</si>
  <si>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</si>
  <si>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</si>
  <si>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</si>
  <si>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</si>
  <si>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</si>
  <si>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</si>
  <si>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</si>
  <si>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</si>
  <si>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</si>
  <si>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</si>
  <si>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</si>
  <si>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</si>
  <si>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</si>
  <si>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</si>
  <si>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</si>
  <si>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</si>
  <si>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</si>
  <si>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</si>
  <si>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</si>
  <si>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</si>
  <si>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</si>
  <si>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</si>
  <si>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</si>
  <si>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</si>
  <si>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</si>
  <si>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</si>
  <si>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</si>
  <si>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</si>
  <si>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</si>
  <si>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</si>
  <si>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</si>
  <si>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</si>
  <si>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</si>
  <si>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</si>
  <si>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</si>
  <si>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</si>
  <si>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</si>
  <si>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</si>
  <si>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</si>
  <si>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</si>
  <si>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</si>
  <si>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</si>
  <si>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</si>
  <si>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</si>
  <si>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</si>
  <si>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</si>
  <si>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</si>
  <si>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</si>
  <si>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</si>
  <si>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</si>
  <si>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</si>
  <si>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</si>
  <si>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</si>
  <si>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</si>
  <si>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</si>
  <si>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</si>
  <si>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</si>
  <si>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</si>
  <si>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</si>
  <si>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</si>
  <si>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</si>
  <si>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</si>
  <si>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</si>
  <si>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</si>
  <si>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</si>
  <si>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</si>
  <si>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</si>
  <si>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</si>
  <si>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</si>
  <si>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</si>
  <si>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</si>
  <si>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</si>
  <si>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</si>
  <si>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</si>
  <si>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</si>
  <si>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</si>
  <si>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</si>
  <si>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</si>
  <si>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</si>
  <si>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</si>
  <si>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</si>
  <si>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</si>
  <si>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</si>
  <si>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</si>
  <si>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</si>
  <si>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</si>
  <si>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</si>
  <si>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</si>
  <si>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</si>
  <si>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</si>
  <si>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</si>
  <si>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</si>
  <si>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</si>
  <si>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</si>
  <si>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</si>
  <si>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</si>
  <si>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</si>
  <si>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</si>
  <si>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</si>
  <si>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</si>
  <si>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</si>
  <si>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</si>
  <si>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</si>
  <si>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</si>
  <si>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</si>
  <si>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</si>
  <si>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</si>
  <si>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</si>
  <si>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</si>
  <si>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</si>
  <si>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</si>
  <si>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</si>
  <si>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</si>
  <si>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</si>
  <si>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</si>
  <si>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</si>
  <si>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</si>
  <si>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</si>
  <si>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</si>
  <si>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</si>
  <si>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</si>
  <si>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</si>
  <si>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</si>
  <si>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</si>
  <si>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</si>
  <si>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</si>
  <si>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</si>
  <si>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</si>
  <si>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</si>
  <si>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</si>
  <si>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</si>
  <si>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</si>
  <si>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</si>
  <si>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</si>
  <si>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</si>
  <si>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</si>
  <si>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</si>
  <si>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</si>
  <si>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</si>
  <si>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</si>
  <si>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</si>
  <si>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</si>
  <si>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</si>
  <si>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</si>
  <si>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</si>
  <si>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</si>
  <si>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</si>
  <si>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</si>
  <si>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</si>
  <si>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</si>
  <si>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</si>
  <si>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</si>
  <si>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</si>
  <si>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</si>
  <si>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</si>
  <si>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</si>
  <si>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</si>
  <si>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</si>
  <si>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</si>
  <si>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</si>
  <si>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</si>
  <si>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</si>
  <si>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</si>
  <si>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</si>
  <si>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</si>
  <si>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</si>
  <si>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</si>
  <si>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</si>
  <si>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</si>
  <si>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</si>
  <si>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</si>
  <si>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</si>
  <si>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</si>
  <si>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</si>
  <si>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</si>
  <si>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</si>
  <si>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</si>
  <si>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</si>
  <si>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</si>
  <si>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</si>
  <si>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</si>
  <si>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</si>
  <si>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</si>
  <si>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</si>
  <si>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</si>
  <si>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</si>
  <si>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</si>
  <si>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</si>
  <si>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</si>
  <si>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</si>
  <si>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</si>
  <si>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</si>
  <si>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</si>
  <si>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</si>
  <si>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</si>
  <si>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</si>
  <si>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</si>
  <si>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</si>
  <si>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</si>
  <si>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</si>
  <si>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</si>
  <si>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</si>
  <si>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</si>
  <si>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</si>
  <si>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</si>
  <si>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</si>
  <si>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</si>
  <si>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</si>
  <si>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</si>
  <si>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</si>
  <si>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</si>
  <si>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</si>
  <si>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</si>
  <si>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</si>
  <si>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</si>
  <si>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</si>
  <si>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</si>
  <si>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</si>
  <si>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</si>
  <si>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</si>
  <si>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</si>
  <si>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</si>
  <si>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</si>
  <si>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</si>
  <si>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</si>
  <si>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</si>
  <si>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</si>
  <si>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</si>
  <si>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</si>
  <si>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</si>
  <si>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</si>
  <si>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</si>
  <si>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</si>
  <si>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</si>
  <si>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</si>
  <si>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</si>
  <si>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</si>
  <si>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</si>
  <si>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</si>
  <si>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</si>
  <si>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</si>
  <si>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</si>
  <si>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</si>
  <si>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</si>
  <si>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</si>
  <si>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</si>
  <si>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</si>
  <si>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</si>
  <si>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</si>
  <si>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</si>
  <si>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</si>
  <si>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</si>
  <si>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</si>
  <si>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</si>
  <si>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</si>
  <si>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</si>
  <si>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</si>
  <si>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</si>
  <si>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</si>
  <si>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</si>
  <si>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</si>
  <si>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</si>
  <si>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</si>
  <si>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</si>
  <si>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</si>
  <si>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</si>
  <si>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</si>
  <si>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</si>
  <si>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</si>
  <si>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</si>
  <si>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</si>
  <si>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</si>
  <si>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</si>
  <si>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</si>
  <si>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</si>
  <si>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</si>
  <si>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</si>
  <si>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</si>
  <si>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</si>
  <si>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</si>
  <si>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</si>
  <si>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</si>
  <si>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</si>
  <si>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</si>
  <si>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</si>
  <si>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</si>
  <si>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</si>
  <si>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</si>
  <si>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</si>
  <si>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</si>
  <si>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</si>
  <si>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</si>
  <si>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</si>
  <si>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</si>
  <si>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</si>
  <si>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</si>
  <si>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</si>
  <si>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</si>
  <si>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</si>
  <si>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</si>
  <si>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</si>
  <si>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</si>
  <si>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</si>
  <si>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</si>
  <si>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</si>
  <si>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</si>
  <si>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</si>
  <si>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</si>
  <si>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</si>
  <si>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</si>
  <si>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</si>
  <si>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</si>
  <si>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</si>
  <si>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</si>
  <si>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</si>
  <si>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</si>
  <si>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</si>
  <si>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</si>
  <si>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</si>
  <si>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</si>
  <si>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</si>
  <si>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</si>
  <si>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</si>
  <si>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</si>
  <si>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</si>
  <si>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</si>
  <si>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</si>
  <si>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</si>
  <si>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</si>
  <si>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</si>
  <si>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</si>
  <si>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</si>
  <si>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</si>
  <si>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</si>
  <si>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</si>
  <si>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</si>
  <si>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</si>
  <si>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</si>
  <si>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</si>
  <si>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</si>
  <si>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</si>
  <si>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</si>
  <si>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</si>
  <si>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</si>
  <si>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</si>
  <si>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</si>
  <si>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</si>
  <si>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</si>
  <si>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</si>
  <si>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</si>
  <si>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</si>
  <si>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 i socijalnog staranja</t>
  </si>
  <si>
    <t>Ministry of Finance and social welfare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</si>
  <si>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</si>
  <si>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</si>
  <si>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</si>
  <si>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</si>
  <si>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</si>
  <si>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</si>
  <si>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</si>
  <si>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</si>
  <si>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</si>
  <si>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</si>
  <si>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</si>
  <si>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</si>
  <si>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</si>
  <si>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</si>
  <si>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</si>
  <si>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</si>
  <si>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</si>
  <si>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</si>
  <si>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</si>
  <si>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</si>
  <si>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</si>
  <si>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</si>
  <si>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</si>
  <si>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</si>
  <si>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</si>
  <si>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</si>
  <si>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</si>
  <si>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</si>
  <si>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</si>
  <si>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</si>
  <si>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</si>
  <si>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</si>
  <si>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Prihodi za mjesec April</t>
  </si>
  <si>
    <t>Prihodi za period Januar - April</t>
  </si>
  <si>
    <t>Rashodi za mjesec April</t>
  </si>
  <si>
    <t>Suficit/Deficit za mjesec April</t>
  </si>
  <si>
    <t>Rashodi za period Januar - April</t>
  </si>
  <si>
    <t>Suficit/Deficit za period Januar -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</si>
</sst>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23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6" fillId="3" borderId="4" xfId="0" applyNumberFormat="1" applyFont="1" applyFill="1" applyBorder="1" applyAlignment="1" applyProtection="1">
      <alignment horizontal="center" vertical="center"/>
      <protection hidden="1"/>
    </xf>
    <xf numFmtId="179" fontId="3" fillId="3" borderId="0" xfId="0" applyNumberFormat="1" applyFont="1" applyFill="1" applyAlignment="1">
      <alignment vertical="center"/>
    </xf>
    <xf numFmtId="175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Alignment="1">
      <alignment vertical="center"/>
    </xf>
    <xf numFmtId="166" fontId="61" fillId="2" borderId="0" xfId="0" applyNumberFormat="1" applyFont="1" applyFill="1" applyBorder="1" applyAlignment="1">
      <alignment horizontal="center"/>
    </xf>
    <xf numFmtId="166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6" fontId="61" fillId="2" borderId="0" xfId="0" applyNumberFormat="1" applyFont="1" applyFill="1" applyBorder="1" applyAlignment="1" applyProtection="1">
      <alignment horizontal="center"/>
      <protection hidden="1"/>
    </xf>
    <xf numFmtId="166" fontId="27" fillId="9" borderId="32" xfId="0" applyNumberFormat="1" applyFont="1" applyFill="1" applyBorder="1" applyAlignment="1" applyProtection="1">
      <alignment horizontal="center" vertical="center"/>
      <protection hidden="1"/>
    </xf>
    <xf numFmtId="177" fontId="27" fillId="9" borderId="34" xfId="0" applyNumberFormat="1" applyFont="1" applyFill="1" applyBorder="1" applyAlignment="1">
      <alignment horizontal="center" vertical="center"/>
    </xf>
    <xf numFmtId="166" fontId="25" fillId="3" borderId="76" xfId="0" applyNumberFormat="1" applyFont="1" applyFill="1" applyBorder="1" applyAlignment="1" applyProtection="1">
      <alignment horizontal="center" vertical="center"/>
      <protection hidden="1"/>
    </xf>
    <xf numFmtId="166" fontId="27" fillId="9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8" xfId="1" applyNumberFormat="1" applyFont="1" applyFill="1" applyBorder="1" applyAlignment="1" applyProtection="1">
      <alignment horizontal="center" vertical="center"/>
      <protection hidden="1"/>
    </xf>
    <xf numFmtId="166" fontId="3" fillId="4" borderId="41" xfId="0" applyNumberFormat="1" applyFont="1" applyFill="1" applyBorder="1" applyAlignment="1">
      <alignment horizontal="center" vertical="center"/>
    </xf>
    <xf numFmtId="176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6" fontId="24" fillId="3" borderId="41" xfId="0" applyNumberFormat="1" applyFont="1" applyFill="1" applyBorder="1" applyAlignment="1" applyProtection="1">
      <alignment horizontal="center" vertical="center"/>
      <protection hidden="1"/>
    </xf>
    <xf numFmtId="176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6" fontId="0" fillId="2" borderId="0" xfId="0" applyNumberFormat="1" applyFill="1" applyAlignment="1" applyProtection="1">
      <alignment vertical="center"/>
      <protection hidden="1"/>
    </xf>
    <xf numFmtId="175" fontId="0" fillId="3" borderId="0" xfId="0" applyNumberFormat="1" applyFill="1" applyAlignment="1">
      <alignment vertical="center"/>
    </xf>
    <xf numFmtId="166" fontId="4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fmlaLink="[1]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2021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7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8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9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2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3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17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9526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8956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periodu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januaru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april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2022. godine iznosili su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586.6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11.3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procijenjenog BDP-a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veći su u odnosu na planirane za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70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3,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U odnosu na prethodnu godinu prihodi su veći za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106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21,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  <a:r>
            <a:rPr lang="sr-Latn-R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periodu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januaru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april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2022. godine iznosili su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634.9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mil. € ili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% BDP-a i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na niovu su pro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š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logodi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š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nje potro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š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nje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potrošnje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 odnosu na planirane, izdaci su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ni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ži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za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.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posmatranom periodu </a:t>
          </a:r>
          <a:r>
            <a:rPr lang="sr-Latn-ME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budžetski deficit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iznosio je 36,4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0,7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% procijenjenog BDP-a, što je za 120,5 mil. € ili 76,8% niže od planiranog, odnosno 107 mil. € ili 74,6% niže od zabilježenog u istom periodu 2021. godine.</a:t>
          </a:r>
        </a:p>
        <a:p>
          <a:pPr eaLnBrk="1" fontAlgn="auto" latinLnBrk="0" hangingPunct="1"/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323850</xdr:colOff>
      <xdr:row>7</xdr:row>
      <xdr:rowOff>1</xdr:rowOff>
    </xdr:from>
    <xdr:to>
      <xdr:col>22</xdr:col>
      <xdr:colOff>323849</xdr:colOff>
      <xdr:row>22</xdr:row>
      <xdr:rowOff>9526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58425" y="1343026"/>
          <a:ext cx="3657599" cy="2876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[1]Master!G279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[1]Master!G11" fLocksText="0">
      <xdr:nvSpPr>
        <xdr:cNvPr id="7" name="Rounded Rectangl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910F25-20F2-48C0-851B-030031A06B4E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89089" name="Option Button 1" hidden="1">
              <a:extLst>
                <a:ext uri="{63B3BB69-23CF-44E3-9099-C40C66FF867C}">
                  <a14:compatExt spid="_x0000_s89089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89090" name="Option Button 2" hidden="1">
              <a:extLst>
                <a:ext uri="{63B3BB69-23CF-44E3-9099-C40C66FF867C}">
                  <a14:compatExt spid="_x0000_s89090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B5B343-0FAB-4F89-B02D-B11D8CC43E41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219710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523875</xdr:colOff>
      <xdr:row>2</xdr:row>
      <xdr:rowOff>123824</xdr:rowOff>
    </xdr:from>
    <xdr:to>
      <xdr:col>11</xdr:col>
      <xdr:colOff>26035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342900</xdr:colOff>
      <xdr:row>3</xdr:row>
      <xdr:rowOff>28575</xdr:rowOff>
    </xdr:from>
    <xdr:to>
      <xdr:col>13</xdr:col>
      <xdr:colOff>95568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381000</xdr:colOff>
      <xdr:row>3</xdr:row>
      <xdr:rowOff>9525</xdr:rowOff>
    </xdr:from>
    <xdr:to>
      <xdr:col>15</xdr:col>
      <xdr:colOff>133668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4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5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5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6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6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jan.paunovic/Desktop/MoF/Budzet/izvrsenje%20budzeta/Izvjestaji/Izvjestaji%202022/Januar%20GDDS/GDDS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2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6">
          <cell r="G6" t="str">
            <v>Crna Gora</v>
          </cell>
        </row>
        <row r="7">
          <cell r="G7" t="str">
            <v>Ministarstvo finansija i socijalnog staranja</v>
          </cell>
        </row>
        <row r="8">
          <cell r="G8" t="str">
            <v>Direktorat za državni budžet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 i socijalnog staranja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2022-04</v>
      </c>
      <c r="O6" s="143" t="str">
        <f>+CONCATENATE(N6,"p")</f>
        <v>2022-04p</v>
      </c>
      <c r="P6" s="130"/>
      <c r="Q6" s="130"/>
      <c r="R6" s="143" t="str">
        <f>+IF(Master!B3-10&gt;=0,CONCATENATE(Master!B4-1,"-",Master!B3),CONCATENATE(Master!B4-1,"-0",Master!B3))</f>
        <v>2021-04</v>
      </c>
      <c r="S6" s="130"/>
      <c r="T6" s="130"/>
    </row>
    <row r="7" spans="1:20">
      <c r="A7" s="144"/>
      <c r="B7" s="535" t="s">
        <v>692</v>
      </c>
      <c r="C7" s="536"/>
      <c r="D7" s="536"/>
      <c r="E7" s="536"/>
      <c r="F7" s="536"/>
      <c r="G7" s="544" t="s">
        <v>691</v>
      </c>
      <c r="H7" s="545"/>
      <c r="I7" s="545"/>
      <c r="J7" s="545"/>
      <c r="K7" s="545"/>
      <c r="L7" s="545"/>
      <c r="M7" s="546"/>
      <c r="N7" s="547" t="str">
        <f>+Master!G242</f>
        <v>Decembar</v>
      </c>
      <c r="O7" s="545"/>
      <c r="P7" s="545"/>
      <c r="Q7" s="545"/>
      <c r="R7" s="545"/>
      <c r="S7" s="545"/>
      <c r="T7" s="548"/>
    </row>
    <row r="8" spans="1:20">
      <c r="A8" s="144"/>
      <c r="B8" s="537"/>
      <c r="C8" s="538"/>
      <c r="D8" s="538"/>
      <c r="E8" s="538"/>
      <c r="F8" s="539"/>
      <c r="G8" s="145" t="str">
        <f>+Master!G25</f>
        <v>Ostvarenje</v>
      </c>
      <c r="H8" s="145" t="str">
        <f>+Master!G24</f>
        <v>Plan</v>
      </c>
      <c r="I8" s="533" t="str">
        <f>+Master!G260</f>
        <v>Odstupanje</v>
      </c>
      <c r="J8" s="533"/>
      <c r="K8" s="145" t="str">
        <f>+CONCATENATE(Master!G245," ",Master!B4-1)</f>
        <v>Jan - Apr 2021</v>
      </c>
      <c r="L8" s="533" t="str">
        <f>+I8</f>
        <v>Odstupanje</v>
      </c>
      <c r="M8" s="543"/>
      <c r="N8" s="146" t="str">
        <f>+G8</f>
        <v>Ostvarenje</v>
      </c>
      <c r="O8" s="145" t="str">
        <f>+H8</f>
        <v>Plan</v>
      </c>
      <c r="P8" s="533" t="str">
        <f>+I8</f>
        <v>Odstupanje</v>
      </c>
      <c r="Q8" s="533"/>
      <c r="R8" s="145" t="str">
        <f>+CONCATENATE(Master!G244," ",Master!B4-1)</f>
        <v>April 2021</v>
      </c>
      <c r="S8" s="533" t="str">
        <f>+P8</f>
        <v>Odstupanje</v>
      </c>
      <c r="T8" s="534"/>
    </row>
    <row r="9" spans="1:20" ht="15.75" thickBot="1">
      <c r="A9" s="144"/>
      <c r="B9" s="540"/>
      <c r="C9" s="541"/>
      <c r="D9" s="541"/>
      <c r="E9" s="541"/>
      <c r="F9" s="542"/>
      <c r="G9" s="13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03" t="str">
        <f>+VLOOKUP($A10,Master!$D$29:$G$225,4,FALSE)</f>
        <v>Prihodi budžeta</v>
      </c>
      <c r="C10" s="504"/>
      <c r="D10" s="504"/>
      <c r="E10" s="504"/>
      <c r="F10" s="504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05" t="str">
        <f>+VLOOKUP($A11,Master!$D$29:$G$225,4,FALSE)</f>
        <v>Porezi</v>
      </c>
      <c r="C11" s="506"/>
      <c r="D11" s="506"/>
      <c r="E11" s="506"/>
      <c r="F11" s="506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07" t="str">
        <f>+VLOOKUP($A12,Master!$D$29:$G$225,4,FALSE)</f>
        <v>Porez na dohodak fizičkih lica</v>
      </c>
      <c r="C12" s="508"/>
      <c r="D12" s="508"/>
      <c r="E12" s="508"/>
      <c r="F12" s="508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07" t="str">
        <f>+VLOOKUP($A13,Master!$D$29:$G$225,4,FALSE)</f>
        <v>Porez na dobit pravnih lica</v>
      </c>
      <c r="C13" s="508"/>
      <c r="D13" s="508"/>
      <c r="E13" s="508"/>
      <c r="F13" s="508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07" t="str">
        <f>+VLOOKUP($A14,Master!$D$29:$G$225,4,FALSE)</f>
        <v>Porez na promet nepokretnosti</v>
      </c>
      <c r="C14" s="508"/>
      <c r="D14" s="508"/>
      <c r="E14" s="508"/>
      <c r="F14" s="508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07" t="str">
        <f>+VLOOKUP($A15,Master!$D$29:$G$225,4,FALSE)</f>
        <v>Porez na dodatu vrijednost</v>
      </c>
      <c r="C15" s="508"/>
      <c r="D15" s="508"/>
      <c r="E15" s="508"/>
      <c r="F15" s="508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07" t="str">
        <f>+VLOOKUP($A16,Master!$D$29:$G$225,4,FALSE)</f>
        <v>Akcize</v>
      </c>
      <c r="C16" s="508"/>
      <c r="D16" s="508"/>
      <c r="E16" s="508"/>
      <c r="F16" s="508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07" t="str">
        <f>+VLOOKUP($A17,Master!$D$29:$G$225,4,FALSE)</f>
        <v>Porez na međunarodnu trgovinu i transakcije</v>
      </c>
      <c r="C17" s="508"/>
      <c r="D17" s="508"/>
      <c r="E17" s="508"/>
      <c r="F17" s="508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07" t="e">
        <f>+VLOOKUP($A18,Master!$D$29:$G$225,4,FALSE)</f>
        <v>#N/A</v>
      </c>
      <c r="C18" s="508"/>
      <c r="D18" s="508"/>
      <c r="E18" s="508"/>
      <c r="F18" s="508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07" t="str">
        <f>+VLOOKUP($A19,Master!$D$29:$G$225,4,FALSE)</f>
        <v>Ostali državni porezi</v>
      </c>
      <c r="C19" s="508"/>
      <c r="D19" s="508"/>
      <c r="E19" s="508"/>
      <c r="F19" s="508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11" t="str">
        <f>+VLOOKUP($A20,Master!$D$29:$G$225,4,FALSE)</f>
        <v>Doprinosi</v>
      </c>
      <c r="C20" s="512"/>
      <c r="D20" s="512"/>
      <c r="E20" s="512"/>
      <c r="F20" s="512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07" t="str">
        <f>+VLOOKUP($A21,Master!$D$29:$G$225,4,FALSE)</f>
        <v>Doprinosi za penzijsko i invalidsko osiguranje</v>
      </c>
      <c r="C21" s="508"/>
      <c r="D21" s="508"/>
      <c r="E21" s="508"/>
      <c r="F21" s="508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07" t="str">
        <f>+VLOOKUP($A22,Master!$D$29:$G$225,4,FALSE)</f>
        <v>Doprinosi za zdravstveno osiguranje</v>
      </c>
      <c r="C22" s="508"/>
      <c r="D22" s="508"/>
      <c r="E22" s="508"/>
      <c r="F22" s="508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07" t="str">
        <f>+VLOOKUP($A23,Master!$D$29:$G$225,4,FALSE)</f>
        <v>Doprinosi za osiguranje od nezaposlenosti</v>
      </c>
      <c r="C23" s="508"/>
      <c r="D23" s="508"/>
      <c r="E23" s="508"/>
      <c r="F23" s="508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07" t="str">
        <f>+VLOOKUP($A24,Master!$D$29:$G$225,4,FALSE)</f>
        <v>Ostali doprinosi</v>
      </c>
      <c r="C24" s="508"/>
      <c r="D24" s="508"/>
      <c r="E24" s="508"/>
      <c r="F24" s="508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09" t="str">
        <f>+VLOOKUP($A25,Master!$D$29:$G$225,4,FALSE)</f>
        <v>Takse</v>
      </c>
      <c r="C25" s="510"/>
      <c r="D25" s="510"/>
      <c r="E25" s="510"/>
      <c r="F25" s="510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09" t="str">
        <f>+VLOOKUP($A26,Master!$D$29:$G$225,4,FALSE)</f>
        <v>Naknade</v>
      </c>
      <c r="C26" s="510"/>
      <c r="D26" s="510"/>
      <c r="E26" s="510"/>
      <c r="F26" s="510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09" t="str">
        <f>+VLOOKUP($A27,Master!$D$29:$G$225,4,FALSE)</f>
        <v>Ostali prihodi</v>
      </c>
      <c r="C27" s="510"/>
      <c r="D27" s="510"/>
      <c r="E27" s="510"/>
      <c r="F27" s="510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09" t="str">
        <f>+VLOOKUP($A28,Master!$D$29:$G$225,4,FALSE)</f>
        <v>Primici od otplate kredita i sredstva prenesena iz prethodne godine</v>
      </c>
      <c r="C28" s="510"/>
      <c r="D28" s="510"/>
      <c r="E28" s="510"/>
      <c r="F28" s="510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13" t="str">
        <f>+VLOOKUP($A29,Master!$D$29:$G$225,4,FALSE)</f>
        <v>Donacije i transferi</v>
      </c>
      <c r="C29" s="514"/>
      <c r="D29" s="514"/>
      <c r="E29" s="514"/>
      <c r="F29" s="514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15" t="str">
        <f>+VLOOKUP($A30,Master!$D$29:$G$225,4,FALSE)</f>
        <v>Izdaci budžeta</v>
      </c>
      <c r="C30" s="516"/>
      <c r="D30" s="516"/>
      <c r="E30" s="516"/>
      <c r="F30" s="516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17" t="str">
        <f>+VLOOKUP($A31,Master!$D$29:$G$225,4,FALSE)</f>
        <v>Tekući izdaci</v>
      </c>
      <c r="C31" s="518"/>
      <c r="D31" s="518"/>
      <c r="E31" s="518"/>
      <c r="F31" s="518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19" t="str">
        <f>+VLOOKUP($A32,Master!$D$29:$G$225,4,FALSE)</f>
        <v>Tekuća budžetska potrošnja</v>
      </c>
      <c r="C32" s="520"/>
      <c r="D32" s="520"/>
      <c r="E32" s="520"/>
      <c r="F32" s="520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07" t="str">
        <f>+VLOOKUP($A33,Master!$D$29:$G$225,4,FALSE)</f>
        <v>Bruto zarade i doprinosi na teret poslodavca</v>
      </c>
      <c r="C33" s="508"/>
      <c r="D33" s="508"/>
      <c r="E33" s="508"/>
      <c r="F33" s="508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07" t="str">
        <f>+VLOOKUP($A34,Master!$D$29:$G$225,4,FALSE)</f>
        <v>Ostala lična primanja</v>
      </c>
      <c r="C34" s="508"/>
      <c r="D34" s="508"/>
      <c r="E34" s="508"/>
      <c r="F34" s="508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07" t="str">
        <f>+VLOOKUP($A35,Master!$D$29:$G$225,4,FALSE)</f>
        <v>Rashodi za materijal</v>
      </c>
      <c r="C35" s="508"/>
      <c r="D35" s="508"/>
      <c r="E35" s="508"/>
      <c r="F35" s="508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07" t="str">
        <f>+VLOOKUP($A36,Master!$D$29:$G$225,4,FALSE)</f>
        <v>Rashodi za usluge</v>
      </c>
      <c r="C36" s="508"/>
      <c r="D36" s="508"/>
      <c r="E36" s="508"/>
      <c r="F36" s="508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07" t="str">
        <f>+VLOOKUP($A37,Master!$D$29:$G$225,4,FALSE)</f>
        <v>Rashodi za tekuće održavanje</v>
      </c>
      <c r="C37" s="508"/>
      <c r="D37" s="508"/>
      <c r="E37" s="508"/>
      <c r="F37" s="508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07" t="str">
        <f>+VLOOKUP($A38,Master!$D$29:$G$225,4,FALSE)</f>
        <v>Kamate</v>
      </c>
      <c r="C38" s="508"/>
      <c r="D38" s="508"/>
      <c r="E38" s="508"/>
      <c r="F38" s="508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07" t="str">
        <f>+VLOOKUP($A39,Master!$D$29:$G$225,4,FALSE)</f>
        <v>Renta</v>
      </c>
      <c r="C39" s="508"/>
      <c r="D39" s="508"/>
      <c r="E39" s="508"/>
      <c r="F39" s="508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07" t="str">
        <f>+VLOOKUP($A40,Master!$D$29:$G$225,4,FALSE)</f>
        <v>Subvencije</v>
      </c>
      <c r="C40" s="508"/>
      <c r="D40" s="508"/>
      <c r="E40" s="508"/>
      <c r="F40" s="508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07" t="str">
        <f>+VLOOKUP($A41,Master!$D$29:$G$225,4,FALSE)</f>
        <v>Ostali izdaci</v>
      </c>
      <c r="C41" s="508"/>
      <c r="D41" s="508"/>
      <c r="E41" s="508"/>
      <c r="F41" s="508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07" t="e">
        <f>+VLOOKUP($A42,Master!$D$29:$G$225,4,FALSE)</f>
        <v>#N/A</v>
      </c>
      <c r="C42" s="508"/>
      <c r="D42" s="508"/>
      <c r="E42" s="508"/>
      <c r="F42" s="508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23" t="str">
        <f>+VLOOKUP($A43,Master!$D$29:$G$225,4,FALSE)</f>
        <v>Transferi za socijalnu zaštitu</v>
      </c>
      <c r="C43" s="524"/>
      <c r="D43" s="524"/>
      <c r="E43" s="524"/>
      <c r="F43" s="524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07" t="str">
        <f>+VLOOKUP($A44,Master!$D$29:$G$225,4,FALSE)</f>
        <v>Prava iz oblasti socijalne zaštite</v>
      </c>
      <c r="C44" s="508"/>
      <c r="D44" s="508"/>
      <c r="E44" s="508"/>
      <c r="F44" s="508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07" t="str">
        <f>+VLOOKUP($A45,Master!$D$29:$G$225,4,FALSE)</f>
        <v>Sredstva za tehnološke viškove</v>
      </c>
      <c r="C45" s="508"/>
      <c r="D45" s="508"/>
      <c r="E45" s="508"/>
      <c r="F45" s="508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07" t="str">
        <f>+VLOOKUP($A46,Master!$D$29:$G$225,4,FALSE)</f>
        <v>Prava iz oblasti penzijskog i invalidskog osiguranja</v>
      </c>
      <c r="C46" s="508"/>
      <c r="D46" s="508"/>
      <c r="E46" s="508"/>
      <c r="F46" s="508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07" t="str">
        <f>+VLOOKUP($A47,Master!$D$29:$G$225,4,FALSE)</f>
        <v>Ostala prava iz oblasti zdravstvene zaštite</v>
      </c>
      <c r="C47" s="508"/>
      <c r="D47" s="508"/>
      <c r="E47" s="508"/>
      <c r="F47" s="508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07" t="str">
        <f>+VLOOKUP($A48,Master!$D$29:$G$225,4,FALSE)</f>
        <v>Ostala prava iz zdravstvenog osiguranja</v>
      </c>
      <c r="C48" s="508"/>
      <c r="D48" s="508"/>
      <c r="E48" s="508"/>
      <c r="F48" s="508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21" t="str">
        <f>+VLOOKUP($A49,Master!$D$29:$G$225,4,FALSE)</f>
        <v xml:space="preserve">Transferi institucijama, pojedincima, nevladinom i javnom sektoru </v>
      </c>
      <c r="C49" s="522"/>
      <c r="D49" s="522"/>
      <c r="E49" s="522"/>
      <c r="F49" s="522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21" t="str">
        <f>+VLOOKUP($A50,Master!$D$29:$G$225,4,FALSE)</f>
        <v>Kapitalni izdaci</v>
      </c>
      <c r="C50" s="522"/>
      <c r="D50" s="522"/>
      <c r="E50" s="522"/>
      <c r="F50" s="522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25" t="str">
        <f>+VLOOKUP($A51,Master!$D$29:$G$225,4,FALSE)</f>
        <v>Pozajmice i krediti</v>
      </c>
      <c r="C51" s="526"/>
      <c r="D51" s="526"/>
      <c r="E51" s="526"/>
      <c r="F51" s="526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25" t="str">
        <f>+VLOOKUP($A52,Master!$D$29:$G$225,4,FALSE)</f>
        <v>Rezerve</v>
      </c>
      <c r="C52" s="526"/>
      <c r="D52" s="526"/>
      <c r="E52" s="526"/>
      <c r="F52" s="526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27" t="str">
        <f>+VLOOKUP($A53,Master!$D$29:$G$225,4,FALSE)</f>
        <v>Otplata garancija</v>
      </c>
      <c r="C53" s="528"/>
      <c r="D53" s="528"/>
      <c r="E53" s="528"/>
      <c r="F53" s="528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27" t="str">
        <f>+VLOOKUP($A54,Master!$D$29:$G$225,4,FALSE)</f>
        <v>Otplata obaveza iz prethodnog perioda</v>
      </c>
      <c r="C54" s="528"/>
      <c r="D54" s="528"/>
      <c r="E54" s="528"/>
      <c r="F54" s="528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27" t="str">
        <f>+VLOOKUP($A55,Master!$D$29:$G$227,4,FALSE)</f>
        <v>Neto povećanje obaveza</v>
      </c>
      <c r="C55" s="528"/>
      <c r="D55" s="528"/>
      <c r="E55" s="528"/>
      <c r="F55" s="528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29" t="str">
        <f>+VLOOKUP($A56,Master!$D$29:$G$225,4,FALSE)</f>
        <v>Suficit / deficit</v>
      </c>
      <c r="C56" s="530"/>
      <c r="D56" s="530"/>
      <c r="E56" s="530"/>
      <c r="F56" s="530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31" t="str">
        <f>+VLOOKUP($A57,Master!$D$29:$G$225,4,FALSE)</f>
        <v>Primarni suficit/deficit</v>
      </c>
      <c r="C57" s="532"/>
      <c r="D57" s="532"/>
      <c r="E57" s="532"/>
      <c r="F57" s="532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23" t="str">
        <f>+VLOOKUP($A58,Master!$D$29:$G$225,4,FALSE)</f>
        <v>Otplata dugova</v>
      </c>
      <c r="C58" s="524"/>
      <c r="D58" s="524"/>
      <c r="E58" s="524"/>
      <c r="F58" s="524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49" t="str">
        <f>+VLOOKUP($A59,Master!$D$29:$G$225,4,FALSE)</f>
        <v>Otplata hartija od vrijednosti i kredita rezidentima</v>
      </c>
      <c r="C59" s="550"/>
      <c r="D59" s="550"/>
      <c r="E59" s="550"/>
      <c r="F59" s="550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25" t="str">
        <f>+VLOOKUP($A60,Master!$D$29:$G$225,4,FALSE)</f>
        <v>Otplata hartija od vrijednosti i kredita nerezidentima</v>
      </c>
      <c r="C60" s="526"/>
      <c r="D60" s="526"/>
      <c r="E60" s="526"/>
      <c r="F60" s="526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684</v>
      </c>
      <c r="B61" s="254" t="str">
        <f>+B54</f>
        <v>Otplata obaveza iz prethodnog perioda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51" t="str">
        <f>+VLOOKUP($A62,Master!$D$29:$G$225,4,FALSE)</f>
        <v>Nedostajuća sredstva</v>
      </c>
      <c r="C62" s="552"/>
      <c r="D62" s="552"/>
      <c r="E62" s="552"/>
      <c r="F62" s="552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15" t="str">
        <f>+VLOOKUP($A63,Master!$D$29:$G$225,4,FALSE)</f>
        <v>Finansiranje</v>
      </c>
      <c r="C63" s="516"/>
      <c r="D63" s="516"/>
      <c r="E63" s="516"/>
      <c r="F63" s="516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49" t="str">
        <f>+VLOOKUP($A64,Master!$D$29:$G$225,4,FALSE)</f>
        <v>Pozajmice i krediti od domaćih izvora</v>
      </c>
      <c r="C64" s="550"/>
      <c r="D64" s="550"/>
      <c r="E64" s="550"/>
      <c r="F64" s="550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25" t="str">
        <f>+VLOOKUP($A65,Master!$D$29:$G$225,4,FALSE)</f>
        <v>Pozajmice i krediti od inostranih izvora</v>
      </c>
      <c r="C65" s="526"/>
      <c r="D65" s="526"/>
      <c r="E65" s="526"/>
      <c r="F65" s="526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25" t="str">
        <f>+VLOOKUP($A66,Master!$D$29:$G$225,4,FALSE)</f>
        <v>Primici od prodaje imovine</v>
      </c>
      <c r="C66" s="526"/>
      <c r="D66" s="526"/>
      <c r="E66" s="526"/>
      <c r="F66" s="526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+VLOOKUP($A67,Master!$D$29:$G$225,4,FALSE)</f>
        <v>Povećanje / smanjenje depozita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5"/>
  <sheetViews>
    <sheetView zoomScaleNormal="100" workbookViewId="0">
      <pane ySplit="4" topLeftCell="A24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1</v>
      </c>
      <c r="C2" s="56" t="s">
        <v>0</v>
      </c>
    </row>
    <row r="3" spans="2:7" ht="15.75" thickBot="1">
      <c r="B3" s="260">
        <v>4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0">
        <v>2022</v>
      </c>
      <c r="C4" s="56" t="s">
        <v>680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5" si="0">+IF(ISBLANK(IF($B$2=1,E6,F6)),"",IF($B$2=1,E6,F6))</f>
        <v>Crna Gora</v>
      </c>
    </row>
    <row r="7" spans="2:7">
      <c r="E7" s="11" t="s">
        <v>806</v>
      </c>
      <c r="F7" s="12" t="s">
        <v>807</v>
      </c>
      <c r="G7" s="52" t="str">
        <f t="shared" si="0"/>
        <v>Ministarstvo finansija i socijalnog staranja</v>
      </c>
    </row>
    <row r="8" spans="2:7">
      <c r="D8" s="43"/>
      <c r="E8" s="33" t="s">
        <v>771</v>
      </c>
      <c r="F8" s="34" t="s">
        <v>805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Analitika</v>
      </c>
    </row>
    <row r="11" spans="2:7">
      <c r="D11" s="350"/>
      <c r="E11" s="11" t="s">
        <v>826</v>
      </c>
      <c r="F11" s="12" t="s">
        <v>827</v>
      </c>
      <c r="G11" s="52" t="str">
        <f>+IF(ISBLANK(IF($B$2=1,E11,F11)),"",IF($B$2=1,E11,F11))</f>
        <v>Mjesečni podaci 2021</v>
      </c>
    </row>
    <row r="12" spans="2:7">
      <c r="D12" s="350"/>
      <c r="E12" s="11" t="s">
        <v>789</v>
      </c>
      <c r="F12" s="12" t="s">
        <v>790</v>
      </c>
      <c r="G12" s="52" t="str">
        <f t="shared" si="0"/>
        <v>Mjesečni podaci 2020</v>
      </c>
    </row>
    <row r="13" spans="2:7">
      <c r="D13" s="41"/>
      <c r="E13" s="11" t="s">
        <v>756</v>
      </c>
      <c r="F13" s="12" t="s">
        <v>757</v>
      </c>
      <c r="G13" s="52" t="str">
        <f t="shared" si="0"/>
        <v>Mjesečni podaci 2019</v>
      </c>
    </row>
    <row r="14" spans="2:7">
      <c r="D14" s="41"/>
      <c r="E14" s="11" t="s">
        <v>754</v>
      </c>
      <c r="F14" s="12" t="s">
        <v>755</v>
      </c>
      <c r="G14" s="52" t="str">
        <f t="shared" si="0"/>
        <v>Mjesečni podaci 2018</v>
      </c>
    </row>
    <row r="15" spans="2:7">
      <c r="D15" s="41"/>
      <c r="E15" s="11" t="s">
        <v>736</v>
      </c>
      <c r="F15" s="12" t="s">
        <v>737</v>
      </c>
      <c r="G15" s="52" t="str">
        <f t="shared" si="0"/>
        <v>Mjesečni podaci 2017</v>
      </c>
    </row>
    <row r="16" spans="2:7">
      <c r="D16" s="41"/>
      <c r="E16" s="11" t="s">
        <v>717</v>
      </c>
      <c r="F16" s="12" t="s">
        <v>718</v>
      </c>
      <c r="G16" s="52" t="str">
        <f t="shared" si="0"/>
        <v>Mjesečni podaci 2016</v>
      </c>
    </row>
    <row r="17" spans="2:7">
      <c r="E17" s="11" t="s">
        <v>689</v>
      </c>
      <c r="F17" s="12" t="s">
        <v>690</v>
      </c>
      <c r="G17" s="52" t="str">
        <f t="shared" si="0"/>
        <v>Mjesečni podaci 2015</v>
      </c>
    </row>
    <row r="18" spans="2:7">
      <c r="E18" s="11" t="s">
        <v>10</v>
      </c>
      <c r="F18" s="12" t="s">
        <v>11</v>
      </c>
      <c r="G18" s="52" t="str">
        <f t="shared" si="0"/>
        <v>Mjesečni podaci 2014</v>
      </c>
    </row>
    <row r="19" spans="2:7">
      <c r="E19" s="11" t="s">
        <v>12</v>
      </c>
      <c r="F19" s="12" t="s">
        <v>13</v>
      </c>
      <c r="G19" s="52" t="str">
        <f t="shared" si="0"/>
        <v>Mjesečni podaci 2013</v>
      </c>
    </row>
    <row r="20" spans="2:7">
      <c r="E20" s="11" t="s">
        <v>738</v>
      </c>
      <c r="F20" s="12" t="s">
        <v>739</v>
      </c>
      <c r="G20" s="52" t="str">
        <f t="shared" si="0"/>
        <v>Mjesečni podaci 2012</v>
      </c>
    </row>
    <row r="21" spans="2:7">
      <c r="E21" s="11" t="s">
        <v>740</v>
      </c>
      <c r="F21" s="12" t="s">
        <v>741</v>
      </c>
      <c r="G21" s="52" t="str">
        <f t="shared" si="0"/>
        <v>Mjesečni podaci 2011</v>
      </c>
    </row>
    <row r="22" spans="2:7">
      <c r="E22" s="11" t="s">
        <v>14</v>
      </c>
      <c r="F22" s="12" t="s">
        <v>404</v>
      </c>
      <c r="G22" s="52" t="str">
        <f t="shared" si="0"/>
        <v>Istorijski podaci, od 2006</v>
      </c>
    </row>
    <row r="23" spans="2:7">
      <c r="E23" s="11" t="s">
        <v>15</v>
      </c>
      <c r="F23" s="12" t="s">
        <v>16</v>
      </c>
      <c r="G23" s="52" t="str">
        <f t="shared" si="0"/>
        <v>Javni dug</v>
      </c>
    </row>
    <row r="24" spans="2:7">
      <c r="E24" s="11" t="s">
        <v>411</v>
      </c>
      <c r="F24" s="12" t="s">
        <v>411</v>
      </c>
      <c r="G24" s="52" t="str">
        <f t="shared" si="0"/>
        <v>Plan</v>
      </c>
    </row>
    <row r="25" spans="2:7">
      <c r="E25" s="11" t="s">
        <v>412</v>
      </c>
      <c r="F25" s="12" t="s">
        <v>413</v>
      </c>
      <c r="G25" s="52" t="str">
        <f t="shared" si="0"/>
        <v>Ostvarenje</v>
      </c>
    </row>
    <row r="26" spans="2:7">
      <c r="D26" s="43"/>
      <c r="E26" s="33" t="s">
        <v>414</v>
      </c>
      <c r="F26" s="34" t="s">
        <v>415</v>
      </c>
      <c r="G26" s="53" t="str">
        <f t="shared" si="0"/>
        <v>Početak</v>
      </c>
    </row>
    <row r="27" spans="2:7">
      <c r="D27" s="39"/>
      <c r="E27" s="40"/>
      <c r="F27" s="40"/>
      <c r="G27" s="54" t="str">
        <f t="shared" si="0"/>
        <v/>
      </c>
    </row>
    <row r="28" spans="2:7">
      <c r="E28" s="11"/>
      <c r="F28" s="12"/>
      <c r="G28" s="52" t="str">
        <f t="shared" si="0"/>
        <v/>
      </c>
    </row>
    <row r="29" spans="2:7">
      <c r="B29" s="13"/>
      <c r="C29" s="44"/>
      <c r="D29" s="44">
        <v>7</v>
      </c>
      <c r="E29" s="15" t="s">
        <v>681</v>
      </c>
      <c r="F29" s="16" t="s">
        <v>18</v>
      </c>
      <c r="G29" s="52" t="str">
        <f t="shared" si="0"/>
        <v>Prihodi budžeta</v>
      </c>
    </row>
    <row r="30" spans="2:7">
      <c r="B30" s="13"/>
      <c r="C30" s="45"/>
      <c r="D30" s="45">
        <v>71</v>
      </c>
      <c r="E30" s="15" t="s">
        <v>19</v>
      </c>
      <c r="F30" s="16" t="s">
        <v>20</v>
      </c>
      <c r="G30" s="52" t="str">
        <f t="shared" si="0"/>
        <v>Tekući prihodi</v>
      </c>
    </row>
    <row r="31" spans="2:7">
      <c r="B31" s="17"/>
      <c r="C31" s="46"/>
      <c r="D31" s="45">
        <v>711</v>
      </c>
      <c r="E31" s="18" t="s">
        <v>21</v>
      </c>
      <c r="F31" s="19" t="s">
        <v>22</v>
      </c>
      <c r="G31" s="52" t="str">
        <f t="shared" si="0"/>
        <v>Porezi</v>
      </c>
    </row>
    <row r="32" spans="2:7">
      <c r="B32" s="17"/>
      <c r="C32" s="47"/>
      <c r="D32" s="47">
        <v>7111</v>
      </c>
      <c r="E32" s="21" t="s">
        <v>23</v>
      </c>
      <c r="F32" s="22" t="s">
        <v>24</v>
      </c>
      <c r="G32" s="52" t="str">
        <f t="shared" si="0"/>
        <v>Porez na dohodak fizičkih lica</v>
      </c>
    </row>
    <row r="33" spans="2:7">
      <c r="B33" s="20"/>
      <c r="C33" s="47"/>
      <c r="D33" s="47">
        <v>7112</v>
      </c>
      <c r="E33" s="21" t="s">
        <v>25</v>
      </c>
      <c r="F33" s="22" t="s">
        <v>26</v>
      </c>
      <c r="G33" s="52" t="str">
        <f t="shared" si="0"/>
        <v>Porez na dobit pravnih lica</v>
      </c>
    </row>
    <row r="34" spans="2:7">
      <c r="B34" s="20"/>
      <c r="C34" s="47"/>
      <c r="D34" s="47">
        <v>7113</v>
      </c>
      <c r="E34" s="21" t="s">
        <v>27</v>
      </c>
      <c r="F34" s="22" t="s">
        <v>28</v>
      </c>
      <c r="G34" s="52" t="str">
        <f t="shared" si="0"/>
        <v>Porez na promet nepokretnosti</v>
      </c>
    </row>
    <row r="35" spans="2:7">
      <c r="B35" s="20"/>
      <c r="C35" s="47"/>
      <c r="D35" s="47">
        <v>7114</v>
      </c>
      <c r="E35" s="21" t="s">
        <v>29</v>
      </c>
      <c r="F35" s="22" t="s">
        <v>30</v>
      </c>
      <c r="G35" s="52" t="str">
        <f t="shared" si="0"/>
        <v>Porez na dodatu vrijednost</v>
      </c>
    </row>
    <row r="36" spans="2:7">
      <c r="B36" s="20"/>
      <c r="C36" s="47"/>
      <c r="D36" s="47">
        <v>7115</v>
      </c>
      <c r="E36" s="21" t="s">
        <v>31</v>
      </c>
      <c r="F36" s="22" t="s">
        <v>32</v>
      </c>
      <c r="G36" s="52" t="str">
        <f t="shared" si="0"/>
        <v>Akcize</v>
      </c>
    </row>
    <row r="37" spans="2:7">
      <c r="B37" s="20"/>
      <c r="C37" s="47"/>
      <c r="D37" s="47">
        <v>7116</v>
      </c>
      <c r="E37" s="21" t="s">
        <v>33</v>
      </c>
      <c r="F37" s="22" t="s">
        <v>34</v>
      </c>
      <c r="G37" s="52" t="str">
        <f t="shared" si="0"/>
        <v>Porez na međunarodnu trgovinu i transakcije</v>
      </c>
    </row>
    <row r="38" spans="2:7">
      <c r="B38" s="20"/>
      <c r="C38" s="47"/>
      <c r="D38" s="47"/>
      <c r="E38" s="21"/>
      <c r="F38" s="22"/>
    </row>
    <row r="39" spans="2:7">
      <c r="B39" s="20"/>
      <c r="C39" s="47"/>
      <c r="D39" s="47">
        <v>7118</v>
      </c>
      <c r="E39" s="21" t="s">
        <v>722</v>
      </c>
      <c r="F39" s="22" t="s">
        <v>36</v>
      </c>
      <c r="G39" s="52" t="str">
        <f t="shared" si="0"/>
        <v>Ostali državni porezi</v>
      </c>
    </row>
    <row r="40" spans="2:7">
      <c r="B40" s="20"/>
      <c r="C40" s="46"/>
      <c r="D40" s="45">
        <v>712</v>
      </c>
      <c r="E40" s="18" t="s">
        <v>37</v>
      </c>
      <c r="F40" s="19" t="s">
        <v>38</v>
      </c>
      <c r="G40" s="52" t="str">
        <f t="shared" si="0"/>
        <v>Doprinosi</v>
      </c>
    </row>
    <row r="41" spans="2:7">
      <c r="B41" s="17"/>
      <c r="C41" s="47"/>
      <c r="D41" s="47">
        <v>7121</v>
      </c>
      <c r="E41" s="21" t="s">
        <v>39</v>
      </c>
      <c r="F41" s="22" t="s">
        <v>40</v>
      </c>
      <c r="G41" s="52" t="str">
        <f t="shared" si="0"/>
        <v>Doprinosi za penzijsko i invalidsko osiguranje</v>
      </c>
    </row>
    <row r="42" spans="2:7">
      <c r="B42" s="20"/>
      <c r="C42" s="47"/>
      <c r="D42" s="47">
        <v>7122</v>
      </c>
      <c r="E42" s="21" t="s">
        <v>41</v>
      </c>
      <c r="F42" s="22" t="s">
        <v>42</v>
      </c>
      <c r="G42" s="52" t="str">
        <f t="shared" si="0"/>
        <v>Doprinosi za zdravstveno osiguranje</v>
      </c>
    </row>
    <row r="43" spans="2:7">
      <c r="B43" s="20"/>
      <c r="C43" s="47"/>
      <c r="D43" s="47">
        <v>7123</v>
      </c>
      <c r="E43" s="21" t="s">
        <v>43</v>
      </c>
      <c r="F43" s="22" t="s">
        <v>44</v>
      </c>
      <c r="G43" s="52" t="str">
        <f t="shared" si="0"/>
        <v>Doprinosi za osiguranje od nezaposlenosti</v>
      </c>
    </row>
    <row r="44" spans="2:7">
      <c r="B44" s="20"/>
      <c r="C44" s="47"/>
      <c r="D44" s="47">
        <v>7124</v>
      </c>
      <c r="E44" s="21" t="s">
        <v>45</v>
      </c>
      <c r="F44" s="22" t="s">
        <v>46</v>
      </c>
      <c r="G44" s="52" t="str">
        <f t="shared" si="0"/>
        <v>Ostali doprinosi</v>
      </c>
    </row>
    <row r="45" spans="2:7">
      <c r="B45" s="20"/>
      <c r="C45" s="46"/>
      <c r="D45" s="45">
        <v>713</v>
      </c>
      <c r="E45" s="18" t="s">
        <v>47</v>
      </c>
      <c r="F45" s="19" t="s">
        <v>48</v>
      </c>
      <c r="G45" s="52" t="str">
        <f t="shared" si="0"/>
        <v>Takse</v>
      </c>
    </row>
    <row r="46" spans="2:7">
      <c r="B46" s="17"/>
      <c r="C46" s="47"/>
      <c r="D46" s="47">
        <v>7131</v>
      </c>
      <c r="E46" s="21" t="s">
        <v>49</v>
      </c>
      <c r="F46" s="22" t="s">
        <v>50</v>
      </c>
      <c r="G46" s="52" t="str">
        <f t="shared" si="0"/>
        <v>Administrativne takse</v>
      </c>
    </row>
    <row r="47" spans="2:7">
      <c r="B47" s="20"/>
      <c r="C47" s="47"/>
      <c r="D47" s="47">
        <v>7132</v>
      </c>
      <c r="E47" s="21" t="s">
        <v>51</v>
      </c>
      <c r="F47" s="22" t="s">
        <v>52</v>
      </c>
      <c r="G47" s="52" t="str">
        <f t="shared" si="0"/>
        <v>Sudske takse</v>
      </c>
    </row>
    <row r="48" spans="2:7">
      <c r="B48" s="20"/>
      <c r="C48" s="47"/>
      <c r="D48" s="47">
        <v>7133</v>
      </c>
      <c r="E48" s="21" t="s">
        <v>53</v>
      </c>
      <c r="F48" s="22" t="s">
        <v>54</v>
      </c>
      <c r="G48" s="52" t="str">
        <f t="shared" si="0"/>
        <v>Boravišne takse</v>
      </c>
    </row>
    <row r="49" spans="2:7">
      <c r="B49" s="20"/>
      <c r="C49" s="47"/>
      <c r="D49" s="47">
        <v>7134</v>
      </c>
      <c r="E49" s="21" t="s">
        <v>55</v>
      </c>
      <c r="F49" s="22" t="s">
        <v>56</v>
      </c>
      <c r="G49" s="52" t="str">
        <f t="shared" si="0"/>
        <v>Registracione takse</v>
      </c>
    </row>
    <row r="50" spans="2:7">
      <c r="B50" s="20"/>
      <c r="C50" s="47"/>
      <c r="D50" s="47">
        <v>7135</v>
      </c>
      <c r="E50" s="21" t="s">
        <v>57</v>
      </c>
      <c r="F50" s="22" t="s">
        <v>58</v>
      </c>
      <c r="G50" s="52" t="str">
        <f t="shared" si="0"/>
        <v>Lokalne komunalne takse</v>
      </c>
    </row>
    <row r="51" spans="2:7">
      <c r="B51" s="20"/>
      <c r="C51" s="47"/>
      <c r="D51" s="47">
        <v>7136</v>
      </c>
      <c r="E51" s="21" t="s">
        <v>59</v>
      </c>
      <c r="F51" s="22" t="s">
        <v>60</v>
      </c>
      <c r="G51" s="52" t="str">
        <f t="shared" si="0"/>
        <v>Ostale takse</v>
      </c>
    </row>
    <row r="52" spans="2:7">
      <c r="B52" s="20"/>
      <c r="C52" s="46"/>
      <c r="D52" s="45">
        <v>714</v>
      </c>
      <c r="E52" s="18" t="s">
        <v>61</v>
      </c>
      <c r="F52" s="19" t="s">
        <v>62</v>
      </c>
      <c r="G52" s="52" t="str">
        <f t="shared" si="0"/>
        <v>Naknade</v>
      </c>
    </row>
    <row r="53" spans="2:7" ht="23.25">
      <c r="B53" s="17"/>
      <c r="C53" s="47"/>
      <c r="D53" s="47">
        <v>7141</v>
      </c>
      <c r="E53" s="21" t="s">
        <v>63</v>
      </c>
      <c r="F53" s="22" t="s">
        <v>64</v>
      </c>
      <c r="G53" s="52" t="str">
        <f t="shared" si="0"/>
        <v>Naknade za korišćenje dobara od opšteg interesa</v>
      </c>
    </row>
    <row r="54" spans="2:7">
      <c r="B54" s="20"/>
      <c r="C54" s="47"/>
      <c r="D54" s="47">
        <v>7142</v>
      </c>
      <c r="E54" s="21" t="s">
        <v>65</v>
      </c>
      <c r="F54" s="22" t="s">
        <v>66</v>
      </c>
      <c r="G54" s="52" t="str">
        <f t="shared" si="0"/>
        <v>Naknade za korišćenje prirodnih dobara</v>
      </c>
    </row>
    <row r="55" spans="2:7">
      <c r="B55" s="20"/>
      <c r="C55" s="47"/>
      <c r="D55" s="47">
        <v>7143</v>
      </c>
      <c r="E55" s="21" t="s">
        <v>67</v>
      </c>
      <c r="F55" s="22" t="s">
        <v>68</v>
      </c>
      <c r="G55" s="52" t="str">
        <f t="shared" si="0"/>
        <v>Ekološke naknade</v>
      </c>
    </row>
    <row r="56" spans="2:7">
      <c r="B56" s="20"/>
      <c r="C56" s="47"/>
      <c r="D56" s="47">
        <v>7144</v>
      </c>
      <c r="E56" s="21" t="s">
        <v>69</v>
      </c>
      <c r="F56" s="22" t="s">
        <v>70</v>
      </c>
      <c r="G56" s="52" t="str">
        <f t="shared" si="0"/>
        <v>Naknade za priređivanje igara na sreću</v>
      </c>
    </row>
    <row r="57" spans="2:7">
      <c r="B57" s="20"/>
      <c r="C57" s="47"/>
      <c r="D57" s="47">
        <v>7145</v>
      </c>
      <c r="E57" s="21" t="s">
        <v>71</v>
      </c>
      <c r="F57" s="22" t="s">
        <v>72</v>
      </c>
      <c r="G57" s="52" t="str">
        <f t="shared" si="0"/>
        <v>Naknade za korišćenje građevinskog zemljišta</v>
      </c>
    </row>
    <row r="58" spans="2:7" ht="23.25">
      <c r="B58" s="20"/>
      <c r="C58" s="47"/>
      <c r="D58" s="47">
        <v>7146</v>
      </c>
      <c r="E58" s="21" t="s">
        <v>73</v>
      </c>
      <c r="F58" s="22" t="s">
        <v>74</v>
      </c>
      <c r="G58" s="52" t="str">
        <f t="shared" si="0"/>
        <v xml:space="preserve">Naknade za uređivanje i izgradnju građevinskog zemljišta </v>
      </c>
    </row>
    <row r="59" spans="2:7" ht="34.5">
      <c r="B59" s="20"/>
      <c r="C59" s="47"/>
      <c r="D59" s="47">
        <v>7147</v>
      </c>
      <c r="E59" s="21" t="s">
        <v>75</v>
      </c>
      <c r="F59" s="22" t="s">
        <v>76</v>
      </c>
      <c r="G59" s="52" t="str">
        <f t="shared" si="0"/>
        <v xml:space="preserve">Naknade za izgradnju i održavanje lokalnih puteva i drugih javnih objekata od opštinskog značaja </v>
      </c>
    </row>
    <row r="60" spans="2:7">
      <c r="B60" s="20"/>
      <c r="C60" s="47"/>
      <c r="D60" s="47">
        <v>7148</v>
      </c>
      <c r="E60" s="21" t="s">
        <v>77</v>
      </c>
      <c r="F60" s="22" t="s">
        <v>78</v>
      </c>
      <c r="G60" s="52" t="str">
        <f t="shared" si="0"/>
        <v>Naknada za puteve</v>
      </c>
    </row>
    <row r="61" spans="2:7">
      <c r="B61" s="20"/>
      <c r="C61" s="47"/>
      <c r="D61" s="47">
        <v>7149</v>
      </c>
      <c r="E61" s="21" t="s">
        <v>79</v>
      </c>
      <c r="F61" s="22" t="s">
        <v>80</v>
      </c>
      <c r="G61" s="52" t="str">
        <f t="shared" si="0"/>
        <v>Ostale naknade</v>
      </c>
    </row>
    <row r="62" spans="2:7">
      <c r="B62" s="20"/>
      <c r="C62" s="46"/>
      <c r="D62" s="45">
        <v>715</v>
      </c>
      <c r="E62" s="18" t="s">
        <v>81</v>
      </c>
      <c r="F62" s="19" t="s">
        <v>82</v>
      </c>
      <c r="G62" s="52" t="str">
        <f t="shared" si="0"/>
        <v>Ostali prihodi</v>
      </c>
    </row>
    <row r="63" spans="2:7">
      <c r="B63" s="17"/>
      <c r="C63" s="47"/>
      <c r="D63" s="47">
        <v>7151</v>
      </c>
      <c r="E63" s="21" t="s">
        <v>83</v>
      </c>
      <c r="F63" s="22" t="s">
        <v>84</v>
      </c>
      <c r="G63" s="52" t="str">
        <f t="shared" si="0"/>
        <v>Prihodi od kapitala</v>
      </c>
    </row>
    <row r="64" spans="2:7">
      <c r="B64" s="20"/>
      <c r="C64" s="47"/>
      <c r="D64" s="47">
        <v>7152</v>
      </c>
      <c r="E64" s="21" t="s">
        <v>85</v>
      </c>
      <c r="F64" s="22" t="s">
        <v>86</v>
      </c>
      <c r="G64" s="52" t="str">
        <f t="shared" si="0"/>
        <v>Novčane kazne i oduzete imovinske koristi</v>
      </c>
    </row>
    <row r="65" spans="2:7" ht="23.25">
      <c r="B65" s="20"/>
      <c r="C65" s="47"/>
      <c r="D65" s="47">
        <v>7153</v>
      </c>
      <c r="E65" s="21" t="s">
        <v>87</v>
      </c>
      <c r="F65" s="22" t="s">
        <v>88</v>
      </c>
      <c r="G65" s="52" t="str">
        <f t="shared" si="0"/>
        <v>Prihodi koje organi ostvaruju vršenjem svoje djelatnosti</v>
      </c>
    </row>
    <row r="66" spans="2:7">
      <c r="B66" s="20"/>
      <c r="C66" s="47"/>
      <c r="D66" s="47">
        <v>7154</v>
      </c>
      <c r="E66" s="21" t="s">
        <v>89</v>
      </c>
      <c r="F66" s="22" t="s">
        <v>90</v>
      </c>
      <c r="G66" s="52" t="str">
        <f t="shared" si="0"/>
        <v>Samodoprinosi</v>
      </c>
    </row>
    <row r="67" spans="2:7">
      <c r="B67" s="20"/>
      <c r="C67" s="47"/>
      <c r="D67" s="47">
        <v>7155</v>
      </c>
      <c r="E67" s="21" t="s">
        <v>81</v>
      </c>
      <c r="F67" s="22" t="s">
        <v>91</v>
      </c>
      <c r="G67" s="52" t="str">
        <f t="shared" si="0"/>
        <v>Ostali prihodi</v>
      </c>
    </row>
    <row r="68" spans="2:7">
      <c r="B68" s="20"/>
      <c r="C68" s="45" t="s">
        <v>92</v>
      </c>
      <c r="D68" s="45">
        <v>72</v>
      </c>
      <c r="E68" s="23" t="s">
        <v>93</v>
      </c>
      <c r="F68" s="16" t="s">
        <v>94</v>
      </c>
      <c r="G68" s="52" t="str">
        <f t="shared" si="0"/>
        <v>Primici od prodaje imovine</v>
      </c>
    </row>
    <row r="69" spans="2:7">
      <c r="B69" s="17"/>
      <c r="C69" s="47">
        <v>721</v>
      </c>
      <c r="D69" s="47">
        <v>7212</v>
      </c>
      <c r="E69" s="21" t="s">
        <v>95</v>
      </c>
      <c r="F69" s="22" t="s">
        <v>96</v>
      </c>
      <c r="G69" s="52" t="str">
        <f t="shared" si="0"/>
        <v>Primici od prodaje nefinansijske imovine</v>
      </c>
    </row>
    <row r="70" spans="2:7">
      <c r="B70" s="20"/>
      <c r="C70" s="47">
        <v>722</v>
      </c>
      <c r="D70" s="47">
        <v>7222</v>
      </c>
      <c r="E70" s="21" t="s">
        <v>97</v>
      </c>
      <c r="F70" s="22" t="s">
        <v>98</v>
      </c>
      <c r="G70" s="52" t="str">
        <f t="shared" si="0"/>
        <v>Primici od prodaje finansijske imovine</v>
      </c>
    </row>
    <row r="71" spans="2:7" ht="23.25">
      <c r="B71" s="20"/>
      <c r="C71" s="45"/>
      <c r="D71" s="45">
        <v>73</v>
      </c>
      <c r="E71" s="23" t="s">
        <v>99</v>
      </c>
      <c r="F71" s="16" t="s">
        <v>100</v>
      </c>
      <c r="G71" s="52" t="str">
        <f t="shared" si="0"/>
        <v>Primici od otplate kredita i sredstva prenesena iz prethodne godine</v>
      </c>
    </row>
    <row r="72" spans="2:7">
      <c r="B72" s="17"/>
      <c r="C72" s="47">
        <v>731</v>
      </c>
      <c r="D72" s="47">
        <v>7311</v>
      </c>
      <c r="E72" s="21" t="s">
        <v>101</v>
      </c>
      <c r="F72" s="22" t="s">
        <v>102</v>
      </c>
      <c r="G72" s="52" t="str">
        <f t="shared" si="0"/>
        <v>Primici od otplate kredita</v>
      </c>
    </row>
    <row r="73" spans="2:7">
      <c r="B73" s="20"/>
      <c r="C73" s="47">
        <v>732</v>
      </c>
      <c r="D73" s="47">
        <v>7321</v>
      </c>
      <c r="E73" s="21" t="s">
        <v>103</v>
      </c>
      <c r="F73" s="22" t="s">
        <v>104</v>
      </c>
      <c r="G73" s="52" t="str">
        <f t="shared" si="0"/>
        <v>Sredstva prenesena iz prethodne godine</v>
      </c>
    </row>
    <row r="74" spans="2:7">
      <c r="B74" s="20"/>
      <c r="C74" s="45" t="s">
        <v>92</v>
      </c>
      <c r="D74" s="45">
        <v>74</v>
      </c>
      <c r="E74" s="23" t="s">
        <v>105</v>
      </c>
      <c r="F74" s="16" t="s">
        <v>106</v>
      </c>
      <c r="G74" s="52" t="str">
        <f t="shared" si="0"/>
        <v>Donacije i transferi</v>
      </c>
    </row>
    <row r="75" spans="2:7">
      <c r="B75" s="17"/>
      <c r="C75" s="47">
        <v>741</v>
      </c>
      <c r="D75" s="47">
        <v>7411</v>
      </c>
      <c r="E75" s="21" t="s">
        <v>107</v>
      </c>
      <c r="F75" s="22" t="s">
        <v>108</v>
      </c>
      <c r="G75" s="52" t="str">
        <f t="shared" si="0"/>
        <v>Donacije</v>
      </c>
    </row>
    <row r="76" spans="2:7">
      <c r="B76" s="20"/>
      <c r="C76" s="47">
        <v>742</v>
      </c>
      <c r="D76" s="47">
        <v>7421</v>
      </c>
      <c r="E76" s="21" t="s">
        <v>109</v>
      </c>
      <c r="F76" s="22" t="s">
        <v>110</v>
      </c>
      <c r="G76" s="52" t="str">
        <f t="shared" ref="G76:G141" si="1">+IF(ISBLANK(IF($B$2=1,E76,F76)),"",IF($B$2=1,E76,F76))</f>
        <v>Transferi</v>
      </c>
    </row>
    <row r="77" spans="2:7">
      <c r="B77" s="20"/>
      <c r="C77" s="46"/>
      <c r="D77" s="45">
        <v>75</v>
      </c>
      <c r="E77" s="23" t="s">
        <v>111</v>
      </c>
      <c r="F77" s="16" t="s">
        <v>112</v>
      </c>
      <c r="G77" s="52" t="str">
        <f t="shared" si="1"/>
        <v xml:space="preserve">Pozajmice i krediti </v>
      </c>
    </row>
    <row r="78" spans="2:7">
      <c r="B78" s="17"/>
      <c r="C78" s="45"/>
      <c r="D78" s="45">
        <v>751</v>
      </c>
      <c r="E78" s="18" t="s">
        <v>113</v>
      </c>
      <c r="F78" s="19" t="s">
        <v>112</v>
      </c>
      <c r="G78" s="52" t="str">
        <f t="shared" si="1"/>
        <v>Pozajmice i krediti</v>
      </c>
    </row>
    <row r="79" spans="2:7">
      <c r="B79" s="17"/>
      <c r="C79" s="47"/>
      <c r="D79" s="47">
        <v>7511</v>
      </c>
      <c r="E79" s="21" t="s">
        <v>114</v>
      </c>
      <c r="F79" s="22" t="s">
        <v>115</v>
      </c>
      <c r="G79" s="52" t="str">
        <f t="shared" si="1"/>
        <v>Pozajmice i krediti od domaćih izvora</v>
      </c>
    </row>
    <row r="80" spans="2:7">
      <c r="B80" s="20"/>
      <c r="C80" s="48"/>
      <c r="D80" s="48">
        <v>7512</v>
      </c>
      <c r="E80" s="24" t="s">
        <v>116</v>
      </c>
      <c r="F80" s="62" t="s">
        <v>117</v>
      </c>
      <c r="G80" s="53" t="str">
        <f t="shared" si="1"/>
        <v>Pozajmice i krediti od inostranih izvora</v>
      </c>
    </row>
    <row r="81" spans="2:7">
      <c r="B81" s="20"/>
      <c r="C81" s="44"/>
      <c r="D81" s="44">
        <v>4</v>
      </c>
      <c r="E81" s="15" t="s">
        <v>802</v>
      </c>
      <c r="F81" s="16" t="s">
        <v>119</v>
      </c>
      <c r="G81" s="52" t="str">
        <f t="shared" si="1"/>
        <v>Izdaci budžeta</v>
      </c>
    </row>
    <row r="82" spans="2:7">
      <c r="B82" s="20"/>
      <c r="C82" s="44"/>
      <c r="D82" s="44">
        <v>40</v>
      </c>
      <c r="E82" s="15" t="s">
        <v>774</v>
      </c>
      <c r="F82" s="16" t="s">
        <v>775</v>
      </c>
      <c r="G82" s="52" t="str">
        <f t="shared" si="1"/>
        <v>Tekuća budžetska potrošnja</v>
      </c>
    </row>
    <row r="83" spans="2:7">
      <c r="B83" s="13"/>
      <c r="C83" s="44"/>
      <c r="D83" s="44">
        <v>41</v>
      </c>
      <c r="E83" s="15" t="s">
        <v>120</v>
      </c>
      <c r="F83" s="16" t="s">
        <v>121</v>
      </c>
      <c r="G83" s="52" t="str">
        <f t="shared" si="1"/>
        <v>Tekući izdaci</v>
      </c>
    </row>
    <row r="84" spans="2:7">
      <c r="B84" s="14" t="s">
        <v>92</v>
      </c>
      <c r="C84" s="46"/>
      <c r="D84" s="44">
        <v>411</v>
      </c>
      <c r="E84" s="18" t="s">
        <v>122</v>
      </c>
      <c r="F84" s="19" t="s">
        <v>123</v>
      </c>
      <c r="G84" s="52" t="str">
        <f t="shared" si="1"/>
        <v>Bruto zarade i doprinosi na teret poslodavca</v>
      </c>
    </row>
    <row r="85" spans="2:7">
      <c r="B85" s="14"/>
      <c r="C85" s="49"/>
      <c r="D85" s="49">
        <v>4111</v>
      </c>
      <c r="E85" s="21" t="s">
        <v>124</v>
      </c>
      <c r="F85" s="22" t="s">
        <v>125</v>
      </c>
      <c r="G85" s="52" t="str">
        <f t="shared" si="1"/>
        <v>Neto zarade</v>
      </c>
    </row>
    <row r="86" spans="2:7">
      <c r="B86" s="25"/>
      <c r="C86" s="49"/>
      <c r="D86" s="49">
        <v>4112</v>
      </c>
      <c r="E86" s="21" t="s">
        <v>126</v>
      </c>
      <c r="F86" s="22" t="s">
        <v>24</v>
      </c>
      <c r="G86" s="52" t="str">
        <f t="shared" si="1"/>
        <v>Porez na zarade</v>
      </c>
    </row>
    <row r="87" spans="2:7">
      <c r="B87" s="25"/>
      <c r="C87" s="49"/>
      <c r="D87" s="49">
        <v>4113</v>
      </c>
      <c r="E87" s="21" t="s">
        <v>127</v>
      </c>
      <c r="F87" s="22" t="s">
        <v>128</v>
      </c>
      <c r="G87" s="52" t="str">
        <f t="shared" si="1"/>
        <v>Doprinosi na teret zaposlenog</v>
      </c>
    </row>
    <row r="88" spans="2:7" ht="15.75">
      <c r="B88" s="25"/>
      <c r="C88" s="50"/>
      <c r="D88" s="49">
        <v>4114</v>
      </c>
      <c r="E88" s="21" t="s">
        <v>129</v>
      </c>
      <c r="F88" s="22" t="s">
        <v>130</v>
      </c>
      <c r="G88" s="52" t="str">
        <f t="shared" si="1"/>
        <v>Doprinosi na teret poslodavca</v>
      </c>
    </row>
    <row r="89" spans="2:7" ht="15.75">
      <c r="B89" s="26"/>
      <c r="C89" s="49"/>
      <c r="D89" s="49">
        <v>4115</v>
      </c>
      <c r="E89" s="21" t="s">
        <v>131</v>
      </c>
      <c r="F89" s="22" t="s">
        <v>132</v>
      </c>
      <c r="G89" s="52" t="str">
        <f t="shared" si="1"/>
        <v>Opštinski prirez</v>
      </c>
    </row>
    <row r="90" spans="2:7">
      <c r="B90" s="25"/>
      <c r="C90" s="46"/>
      <c r="D90" s="44">
        <v>412</v>
      </c>
      <c r="E90" s="18" t="s">
        <v>133</v>
      </c>
      <c r="F90" s="19" t="s">
        <v>134</v>
      </c>
      <c r="G90" s="52" t="str">
        <f t="shared" si="1"/>
        <v>Ostala lična primanja</v>
      </c>
    </row>
    <row r="91" spans="2:7">
      <c r="B91" s="14"/>
      <c r="C91" s="49"/>
      <c r="D91" s="49">
        <v>4121</v>
      </c>
      <c r="E91" s="21" t="s">
        <v>135</v>
      </c>
      <c r="F91" s="22" t="s">
        <v>136</v>
      </c>
      <c r="G91" s="52" t="str">
        <f t="shared" si="1"/>
        <v>Naknada za zimnicu</v>
      </c>
    </row>
    <row r="92" spans="2:7">
      <c r="B92" s="25"/>
      <c r="C92" s="49"/>
      <c r="D92" s="49">
        <v>4122</v>
      </c>
      <c r="E92" s="21" t="s">
        <v>137</v>
      </c>
      <c r="F92" s="22" t="s">
        <v>138</v>
      </c>
      <c r="G92" s="52" t="str">
        <f t="shared" si="1"/>
        <v>Naknada za stanovanje i odvojen život</v>
      </c>
    </row>
    <row r="93" spans="2:7">
      <c r="B93" s="25"/>
      <c r="C93" s="49"/>
      <c r="D93" s="49">
        <v>4123</v>
      </c>
      <c r="E93" s="21" t="s">
        <v>139</v>
      </c>
      <c r="F93" s="22" t="s">
        <v>140</v>
      </c>
      <c r="G93" s="52" t="str">
        <f t="shared" si="1"/>
        <v>Naknada za prevoz</v>
      </c>
    </row>
    <row r="94" spans="2:7">
      <c r="B94" s="25"/>
      <c r="C94" s="49"/>
      <c r="D94" s="49">
        <v>4124</v>
      </c>
      <c r="E94" s="21" t="s">
        <v>141</v>
      </c>
      <c r="F94" s="22" t="s">
        <v>142</v>
      </c>
      <c r="G94" s="52" t="str">
        <f t="shared" si="1"/>
        <v>Jubilarne nagrade</v>
      </c>
    </row>
    <row r="95" spans="2:7">
      <c r="B95" s="25"/>
      <c r="C95" s="49"/>
      <c r="D95" s="49">
        <v>4125</v>
      </c>
      <c r="E95" s="21" t="s">
        <v>143</v>
      </c>
      <c r="F95" s="22" t="s">
        <v>144</v>
      </c>
      <c r="G95" s="52" t="str">
        <f t="shared" si="1"/>
        <v>Otpremnine</v>
      </c>
    </row>
    <row r="96" spans="2:7">
      <c r="B96" s="25"/>
      <c r="C96" s="49"/>
      <c r="D96" s="49">
        <v>4126</v>
      </c>
      <c r="E96" s="21" t="s">
        <v>145</v>
      </c>
      <c r="F96" s="22" t="s">
        <v>146</v>
      </c>
      <c r="G96" s="52" t="str">
        <f t="shared" si="1"/>
        <v>Naknada skupstinskim poslanicima</v>
      </c>
    </row>
    <row r="97" spans="2:7">
      <c r="B97" s="25"/>
      <c r="C97" s="49"/>
      <c r="D97" s="49">
        <v>4127</v>
      </c>
      <c r="E97" s="21" t="s">
        <v>79</v>
      </c>
      <c r="F97" s="22" t="s">
        <v>147</v>
      </c>
      <c r="G97" s="52" t="str">
        <f t="shared" si="1"/>
        <v>Ostale naknade</v>
      </c>
    </row>
    <row r="98" spans="2:7">
      <c r="B98" s="25"/>
      <c r="C98" s="49"/>
      <c r="D98" s="49">
        <v>4128</v>
      </c>
      <c r="E98" s="21" t="s">
        <v>719</v>
      </c>
      <c r="F98" s="22" t="s">
        <v>721</v>
      </c>
      <c r="G98" s="52" t="str">
        <f t="shared" si="1"/>
        <v>Ostala prava iz oblasti socijalne zaštite</v>
      </c>
    </row>
    <row r="99" spans="2:7">
      <c r="B99" s="25"/>
      <c r="C99" s="46"/>
      <c r="D99" s="44">
        <v>413</v>
      </c>
      <c r="E99" s="18" t="s">
        <v>148</v>
      </c>
      <c r="F99" s="19" t="s">
        <v>149</v>
      </c>
      <c r="G99" s="52" t="str">
        <f t="shared" si="1"/>
        <v>Rashodi za materijal</v>
      </c>
    </row>
    <row r="100" spans="2:7">
      <c r="B100" s="14"/>
      <c r="C100" s="49"/>
      <c r="D100" s="49">
        <v>4131</v>
      </c>
      <c r="E100" s="21" t="s">
        <v>150</v>
      </c>
      <c r="F100" s="22" t="s">
        <v>151</v>
      </c>
      <c r="G100" s="52" t="str">
        <f t="shared" si="1"/>
        <v>Administrativni materijal</v>
      </c>
    </row>
    <row r="101" spans="2:7">
      <c r="B101" s="25"/>
      <c r="C101" s="49"/>
      <c r="D101" s="49">
        <v>4132</v>
      </c>
      <c r="E101" s="21" t="s">
        <v>152</v>
      </c>
      <c r="F101" s="22" t="s">
        <v>153</v>
      </c>
      <c r="G101" s="52" t="str">
        <f t="shared" si="1"/>
        <v>Materijal za zdravstvenu zaštitu</v>
      </c>
    </row>
    <row r="102" spans="2:7">
      <c r="B102" s="25"/>
      <c r="C102" s="49"/>
      <c r="D102" s="49">
        <v>4133</v>
      </c>
      <c r="E102" s="21" t="s">
        <v>154</v>
      </c>
      <c r="F102" s="22" t="s">
        <v>155</v>
      </c>
      <c r="G102" s="52" t="str">
        <f t="shared" si="1"/>
        <v>Materijal za posebne namjene</v>
      </c>
    </row>
    <row r="103" spans="2:7">
      <c r="B103" s="25"/>
      <c r="C103" s="49"/>
      <c r="D103" s="49">
        <v>4134</v>
      </c>
      <c r="E103" s="21" t="s">
        <v>156</v>
      </c>
      <c r="F103" s="22" t="s">
        <v>157</v>
      </c>
      <c r="G103" s="52" t="str">
        <f t="shared" si="1"/>
        <v>Rashodi za energiju</v>
      </c>
    </row>
    <row r="104" spans="2:7">
      <c r="B104" s="25"/>
      <c r="C104" s="49"/>
      <c r="D104" s="49">
        <v>4135</v>
      </c>
      <c r="E104" s="21" t="s">
        <v>158</v>
      </c>
      <c r="F104" s="22" t="s">
        <v>159</v>
      </c>
      <c r="G104" s="52" t="str">
        <f t="shared" si="1"/>
        <v>Rashodi za gorivo</v>
      </c>
    </row>
    <row r="105" spans="2:7">
      <c r="B105" s="25"/>
      <c r="C105" s="49"/>
      <c r="D105" s="49">
        <v>4139</v>
      </c>
      <c r="E105" s="21" t="s">
        <v>160</v>
      </c>
      <c r="F105" s="22" t="s">
        <v>161</v>
      </c>
      <c r="G105" s="52" t="str">
        <f t="shared" si="1"/>
        <v>Ostali rashodi za materijal</v>
      </c>
    </row>
    <row r="106" spans="2:7">
      <c r="B106" s="25"/>
      <c r="C106" s="46"/>
      <c r="D106" s="44">
        <v>414</v>
      </c>
      <c r="E106" s="18" t="s">
        <v>162</v>
      </c>
      <c r="F106" s="19" t="s">
        <v>163</v>
      </c>
      <c r="G106" s="52" t="str">
        <f t="shared" si="1"/>
        <v>Rashodi za usluge</v>
      </c>
    </row>
    <row r="107" spans="2:7">
      <c r="B107" s="14"/>
      <c r="C107" s="49"/>
      <c r="D107" s="49">
        <v>4141</v>
      </c>
      <c r="E107" s="21" t="s">
        <v>164</v>
      </c>
      <c r="F107" s="22" t="s">
        <v>165</v>
      </c>
      <c r="G107" s="52" t="str">
        <f t="shared" si="1"/>
        <v>Službena putovanja</v>
      </c>
    </row>
    <row r="108" spans="2:7">
      <c r="B108" s="25"/>
      <c r="C108" s="49"/>
      <c r="D108" s="49">
        <v>4142</v>
      </c>
      <c r="E108" s="21" t="s">
        <v>166</v>
      </c>
      <c r="F108" s="22" t="s">
        <v>167</v>
      </c>
      <c r="G108" s="52" t="str">
        <f t="shared" si="1"/>
        <v>Reprezentacija</v>
      </c>
    </row>
    <row r="109" spans="2:7">
      <c r="B109" s="25"/>
      <c r="C109" s="49"/>
      <c r="D109" s="49">
        <v>4143</v>
      </c>
      <c r="E109" s="21" t="s">
        <v>168</v>
      </c>
      <c r="F109" s="22" t="s">
        <v>169</v>
      </c>
      <c r="G109" s="52" t="str">
        <f t="shared" si="1"/>
        <v>Komunikacione usluge</v>
      </c>
    </row>
    <row r="110" spans="2:7">
      <c r="B110" s="25"/>
      <c r="C110" s="49"/>
      <c r="D110" s="49">
        <v>4144</v>
      </c>
      <c r="E110" s="21" t="s">
        <v>170</v>
      </c>
      <c r="F110" s="22" t="s">
        <v>171</v>
      </c>
      <c r="G110" s="52" t="str">
        <f t="shared" si="1"/>
        <v>Bankarske usluge i negativne kursne razlike</v>
      </c>
    </row>
    <row r="111" spans="2:7">
      <c r="B111" s="25"/>
      <c r="C111" s="49"/>
      <c r="D111" s="49">
        <v>4145</v>
      </c>
      <c r="E111" s="21" t="s">
        <v>172</v>
      </c>
      <c r="F111" s="22" t="s">
        <v>173</v>
      </c>
      <c r="G111" s="52" t="str">
        <f t="shared" si="1"/>
        <v>Usluge prevoza</v>
      </c>
    </row>
    <row r="112" spans="2:7">
      <c r="B112" s="25"/>
      <c r="C112" s="49"/>
      <c r="D112" s="49">
        <v>4146</v>
      </c>
      <c r="E112" s="21" t="s">
        <v>174</v>
      </c>
      <c r="F112" s="22" t="s">
        <v>175</v>
      </c>
      <c r="G112" s="52" t="str">
        <f t="shared" si="1"/>
        <v>Advokatske, notarske i pravne usluge</v>
      </c>
    </row>
    <row r="113" spans="2:7">
      <c r="B113" s="25"/>
      <c r="C113" s="49"/>
      <c r="D113" s="49">
        <v>4147</v>
      </c>
      <c r="E113" s="21" t="s">
        <v>176</v>
      </c>
      <c r="F113" s="22" t="s">
        <v>177</v>
      </c>
      <c r="G113" s="52" t="str">
        <f t="shared" si="1"/>
        <v>Konsultantske usluge, projekti i studije</v>
      </c>
    </row>
    <row r="114" spans="2:7">
      <c r="B114" s="25"/>
      <c r="C114" s="49"/>
      <c r="D114" s="49">
        <v>4148</v>
      </c>
      <c r="E114" s="21" t="s">
        <v>178</v>
      </c>
      <c r="F114" s="22" t="s">
        <v>179</v>
      </c>
      <c r="G114" s="52" t="str">
        <f t="shared" si="1"/>
        <v>Usluge stručnog usavršavanja</v>
      </c>
    </row>
    <row r="115" spans="2:7">
      <c r="B115" s="25"/>
      <c r="C115" s="49"/>
      <c r="D115" s="49">
        <v>4149</v>
      </c>
      <c r="E115" s="21" t="s">
        <v>180</v>
      </c>
      <c r="F115" s="22" t="s">
        <v>181</v>
      </c>
      <c r="G115" s="52" t="str">
        <f t="shared" si="1"/>
        <v>Ostale usluge</v>
      </c>
    </row>
    <row r="116" spans="2:7">
      <c r="B116" s="25"/>
      <c r="C116" s="46"/>
      <c r="D116" s="44">
        <v>415</v>
      </c>
      <c r="E116" s="18" t="s">
        <v>182</v>
      </c>
      <c r="F116" s="19" t="s">
        <v>183</v>
      </c>
      <c r="G116" s="52" t="str">
        <f t="shared" si="1"/>
        <v>Rashodi za tekuće održavanje</v>
      </c>
    </row>
    <row r="117" spans="2:7">
      <c r="B117" s="14"/>
      <c r="C117" s="49"/>
      <c r="D117" s="49">
        <v>4151</v>
      </c>
      <c r="E117" s="21" t="s">
        <v>184</v>
      </c>
      <c r="F117" s="22" t="s">
        <v>185</v>
      </c>
      <c r="G117" s="52" t="str">
        <f t="shared" si="1"/>
        <v>Tekuće održavanje javne infrastrukture</v>
      </c>
    </row>
    <row r="118" spans="2:7">
      <c r="B118" s="25"/>
      <c r="C118" s="49"/>
      <c r="D118" s="49">
        <v>4152</v>
      </c>
      <c r="E118" s="21" t="s">
        <v>186</v>
      </c>
      <c r="F118" s="22" t="s">
        <v>187</v>
      </c>
      <c r="G118" s="52" t="str">
        <f t="shared" si="1"/>
        <v>Tekuće održavanje građevinskih objekata</v>
      </c>
    </row>
    <row r="119" spans="2:7">
      <c r="B119" s="25"/>
      <c r="C119" s="49"/>
      <c r="D119" s="49">
        <v>4153</v>
      </c>
      <c r="E119" s="21" t="s">
        <v>188</v>
      </c>
      <c r="F119" s="22" t="s">
        <v>189</v>
      </c>
      <c r="G119" s="52" t="str">
        <f t="shared" si="1"/>
        <v>Tekuće održavanje opreme</v>
      </c>
    </row>
    <row r="120" spans="2:7">
      <c r="B120" s="25"/>
      <c r="C120" s="46"/>
      <c r="D120" s="44">
        <v>416</v>
      </c>
      <c r="E120" s="18" t="s">
        <v>190</v>
      </c>
      <c r="F120" s="19" t="s">
        <v>191</v>
      </c>
      <c r="G120" s="52" t="str">
        <f t="shared" si="1"/>
        <v>Kamate</v>
      </c>
    </row>
    <row r="121" spans="2:7">
      <c r="B121" s="14"/>
      <c r="C121" s="49"/>
      <c r="D121" s="49">
        <v>4161</v>
      </c>
      <c r="E121" s="21" t="s">
        <v>192</v>
      </c>
      <c r="F121" s="22" t="s">
        <v>193</v>
      </c>
      <c r="G121" s="52" t="str">
        <f t="shared" si="1"/>
        <v>Kamate rezidentima</v>
      </c>
    </row>
    <row r="122" spans="2:7">
      <c r="B122" s="25"/>
      <c r="C122" s="49"/>
      <c r="D122" s="49">
        <v>4162</v>
      </c>
      <c r="E122" s="21" t="s">
        <v>194</v>
      </c>
      <c r="F122" s="22" t="s">
        <v>195</v>
      </c>
      <c r="G122" s="52" t="str">
        <f t="shared" si="1"/>
        <v>Kamate nerezidentima</v>
      </c>
    </row>
    <row r="123" spans="2:7">
      <c r="B123" s="25"/>
      <c r="C123" s="46"/>
      <c r="D123" s="44">
        <v>417</v>
      </c>
      <c r="E123" s="18" t="s">
        <v>196</v>
      </c>
      <c r="F123" s="19" t="s">
        <v>197</v>
      </c>
      <c r="G123" s="52" t="str">
        <f t="shared" si="1"/>
        <v>Renta</v>
      </c>
    </row>
    <row r="124" spans="2:7">
      <c r="B124" s="14"/>
      <c r="C124" s="49"/>
      <c r="D124" s="49">
        <v>4171</v>
      </c>
      <c r="E124" s="21" t="s">
        <v>198</v>
      </c>
      <c r="F124" s="22" t="s">
        <v>199</v>
      </c>
      <c r="G124" s="52" t="str">
        <f t="shared" si="1"/>
        <v>Zakup objekata</v>
      </c>
    </row>
    <row r="125" spans="2:7">
      <c r="B125" s="25"/>
      <c r="C125" s="49"/>
      <c r="D125" s="49">
        <v>4172</v>
      </c>
      <c r="E125" s="21" t="s">
        <v>200</v>
      </c>
      <c r="F125" s="22" t="s">
        <v>201</v>
      </c>
      <c r="G125" s="52" t="str">
        <f t="shared" si="1"/>
        <v>Zakup opreme</v>
      </c>
    </row>
    <row r="126" spans="2:7">
      <c r="B126" s="25"/>
      <c r="C126" s="49"/>
      <c r="D126" s="49">
        <v>4173</v>
      </c>
      <c r="E126" s="21" t="s">
        <v>202</v>
      </c>
      <c r="F126" s="22" t="s">
        <v>203</v>
      </c>
      <c r="G126" s="52" t="str">
        <f t="shared" si="1"/>
        <v>Zakup zemljišta</v>
      </c>
    </row>
    <row r="127" spans="2:7">
      <c r="B127" s="25"/>
      <c r="C127" s="46"/>
      <c r="D127" s="44">
        <v>418</v>
      </c>
      <c r="E127" s="18" t="s">
        <v>204</v>
      </c>
      <c r="F127" s="19" t="s">
        <v>205</v>
      </c>
      <c r="G127" s="52" t="str">
        <f t="shared" si="1"/>
        <v>Subvencije</v>
      </c>
    </row>
    <row r="128" spans="2:7">
      <c r="B128" s="14"/>
      <c r="C128" s="49"/>
      <c r="D128" s="49">
        <v>4181</v>
      </c>
      <c r="E128" s="21" t="s">
        <v>206</v>
      </c>
      <c r="F128" s="22" t="s">
        <v>207</v>
      </c>
      <c r="G128" s="52" t="str">
        <f t="shared" si="1"/>
        <v>Subvencije za proizvodnju i pružanje usluga</v>
      </c>
    </row>
    <row r="129" spans="2:7">
      <c r="B129" s="25"/>
      <c r="C129" s="49"/>
      <c r="D129" s="49">
        <v>4182</v>
      </c>
      <c r="E129" s="21" t="s">
        <v>208</v>
      </c>
      <c r="F129" s="22" t="s">
        <v>209</v>
      </c>
      <c r="G129" s="52" t="str">
        <f t="shared" si="1"/>
        <v>Izvozne subvencije</v>
      </c>
    </row>
    <row r="130" spans="2:7">
      <c r="B130" s="25"/>
      <c r="C130" s="49"/>
      <c r="D130" s="49">
        <v>4183</v>
      </c>
      <c r="E130" s="21" t="s">
        <v>210</v>
      </c>
      <c r="F130" s="22" t="s">
        <v>211</v>
      </c>
      <c r="G130" s="52" t="str">
        <f t="shared" si="1"/>
        <v>Uvozne subvencije</v>
      </c>
    </row>
    <row r="131" spans="2:7">
      <c r="B131" s="25"/>
      <c r="C131" s="46"/>
      <c r="D131" s="44">
        <v>419</v>
      </c>
      <c r="E131" s="18" t="s">
        <v>212</v>
      </c>
      <c r="F131" s="19" t="s">
        <v>213</v>
      </c>
      <c r="G131" s="52" t="str">
        <f t="shared" si="1"/>
        <v>Ostali izdaci</v>
      </c>
    </row>
    <row r="132" spans="2:7">
      <c r="B132" s="14"/>
      <c r="C132" s="49"/>
      <c r="D132" s="49">
        <v>4191</v>
      </c>
      <c r="E132" s="21" t="s">
        <v>214</v>
      </c>
      <c r="F132" s="22" t="s">
        <v>215</v>
      </c>
      <c r="G132" s="52" t="str">
        <f t="shared" si="1"/>
        <v>Izdaci po osnovu isplate ugovora o djelu</v>
      </c>
    </row>
    <row r="133" spans="2:7">
      <c r="B133" s="25"/>
      <c r="C133" s="49"/>
      <c r="D133" s="49">
        <v>4192</v>
      </c>
      <c r="E133" s="21" t="s">
        <v>216</v>
      </c>
      <c r="F133" s="22" t="s">
        <v>217</v>
      </c>
      <c r="G133" s="52" t="str">
        <f t="shared" si="1"/>
        <v>Izdaci po osnovu troškova sudskih postupaka</v>
      </c>
    </row>
    <row r="134" spans="2:7">
      <c r="B134" s="25"/>
      <c r="C134" s="49"/>
      <c r="D134" s="49">
        <v>4193</v>
      </c>
      <c r="E134" s="21" t="s">
        <v>218</v>
      </c>
      <c r="F134" s="22" t="s">
        <v>219</v>
      </c>
      <c r="G134" s="52" t="str">
        <f t="shared" si="1"/>
        <v>Izrada i održavanje softvera</v>
      </c>
    </row>
    <row r="135" spans="2:7">
      <c r="B135" s="25"/>
      <c r="C135" s="49"/>
      <c r="D135" s="49">
        <v>4194</v>
      </c>
      <c r="E135" s="21" t="s">
        <v>220</v>
      </c>
      <c r="F135" s="22" t="s">
        <v>221</v>
      </c>
      <c r="G135" s="52" t="str">
        <f t="shared" si="1"/>
        <v>Osiguranje</v>
      </c>
    </row>
    <row r="136" spans="2:7" ht="23.25">
      <c r="B136" s="25"/>
      <c r="C136" s="47"/>
      <c r="D136" s="47">
        <v>4195</v>
      </c>
      <c r="E136" s="27" t="s">
        <v>222</v>
      </c>
      <c r="F136" s="22" t="s">
        <v>223</v>
      </c>
      <c r="G136" s="52" t="str">
        <f t="shared" si="1"/>
        <v>Kontribucije za članstvo u domaćim i međunarodnim organizacijama</v>
      </c>
    </row>
    <row r="137" spans="2:7">
      <c r="B137" s="20"/>
      <c r="C137" s="49"/>
      <c r="D137" s="49">
        <v>4196</v>
      </c>
      <c r="E137" s="21" t="s">
        <v>224</v>
      </c>
      <c r="F137" s="22" t="s">
        <v>225</v>
      </c>
      <c r="G137" s="52" t="str">
        <f t="shared" si="1"/>
        <v>Komunalne naknade</v>
      </c>
    </row>
    <row r="138" spans="2:7">
      <c r="B138" s="25"/>
      <c r="C138" s="49"/>
      <c r="D138" s="47">
        <v>4197</v>
      </c>
      <c r="E138" s="21" t="s">
        <v>226</v>
      </c>
      <c r="F138" s="22" t="s">
        <v>227</v>
      </c>
      <c r="G138" s="52" t="str">
        <f t="shared" si="1"/>
        <v>Kazne</v>
      </c>
    </row>
    <row r="139" spans="2:7">
      <c r="B139" s="25"/>
      <c r="C139" s="49"/>
      <c r="D139" s="49">
        <v>4198</v>
      </c>
      <c r="E139" s="21" t="s">
        <v>47</v>
      </c>
      <c r="F139" s="22" t="s">
        <v>62</v>
      </c>
      <c r="G139" s="52" t="str">
        <f t="shared" si="1"/>
        <v>Takse</v>
      </c>
    </row>
    <row r="140" spans="2:7">
      <c r="B140" s="25"/>
      <c r="C140" s="49"/>
      <c r="D140" s="47">
        <v>4199</v>
      </c>
      <c r="E140" s="21" t="s">
        <v>228</v>
      </c>
      <c r="F140" s="22" t="s">
        <v>229</v>
      </c>
      <c r="G140" s="52" t="str">
        <f t="shared" si="1"/>
        <v>Ostalo</v>
      </c>
    </row>
    <row r="141" spans="2:7">
      <c r="B141" s="25"/>
      <c r="C141" s="44" t="s">
        <v>92</v>
      </c>
      <c r="D141" s="44">
        <v>42</v>
      </c>
      <c r="E141" s="15" t="s">
        <v>230</v>
      </c>
      <c r="F141" s="16" t="s">
        <v>231</v>
      </c>
      <c r="G141" s="52" t="str">
        <f t="shared" si="1"/>
        <v>Transferi za socijalnu zaštitu</v>
      </c>
    </row>
    <row r="142" spans="2:7">
      <c r="B142" s="14"/>
      <c r="C142" s="46"/>
      <c r="D142" s="44">
        <v>421</v>
      </c>
      <c r="E142" s="18" t="s">
        <v>232</v>
      </c>
      <c r="F142" s="19" t="s">
        <v>233</v>
      </c>
      <c r="G142" s="52" t="str">
        <f t="shared" ref="G142:G205" si="2">+IF(ISBLANK(IF($B$2=1,E142,F142)),"",IF($B$2=1,E142,F142))</f>
        <v>Prava iz oblasti socijalne zaštite</v>
      </c>
    </row>
    <row r="143" spans="2:7">
      <c r="B143" s="14"/>
      <c r="C143" s="49" t="s">
        <v>92</v>
      </c>
      <c r="D143" s="49">
        <v>4211</v>
      </c>
      <c r="E143" s="21" t="s">
        <v>234</v>
      </c>
      <c r="F143" s="22" t="s">
        <v>235</v>
      </c>
      <c r="G143" s="52" t="str">
        <f t="shared" si="2"/>
        <v>Dječiji dodaci</v>
      </c>
    </row>
    <row r="144" spans="2:7">
      <c r="B144" s="25"/>
      <c r="C144" s="49"/>
      <c r="D144" s="49">
        <v>4212</v>
      </c>
      <c r="E144" s="21" t="s">
        <v>236</v>
      </c>
      <c r="F144" s="22" t="s">
        <v>237</v>
      </c>
      <c r="G144" s="52" t="str">
        <f t="shared" si="2"/>
        <v>Boračko invalidska zaštita</v>
      </c>
    </row>
    <row r="145" spans="2:7">
      <c r="B145" s="25"/>
      <c r="C145" s="49"/>
      <c r="D145" s="49">
        <v>4213</v>
      </c>
      <c r="E145" s="21" t="s">
        <v>238</v>
      </c>
      <c r="F145" s="22" t="s">
        <v>239</v>
      </c>
      <c r="G145" s="52" t="str">
        <f t="shared" si="2"/>
        <v>Materijalno obezbjeđenje porodice</v>
      </c>
    </row>
    <row r="146" spans="2:7">
      <c r="B146" s="25"/>
      <c r="C146" s="49"/>
      <c r="D146" s="49">
        <v>4214</v>
      </c>
      <c r="E146" s="21" t="s">
        <v>240</v>
      </c>
      <c r="F146" s="22" t="s">
        <v>241</v>
      </c>
      <c r="G146" s="52" t="str">
        <f t="shared" si="2"/>
        <v>Porodiljska odsustva</v>
      </c>
    </row>
    <row r="147" spans="2:7">
      <c r="B147" s="25"/>
      <c r="C147" s="49"/>
      <c r="D147" s="49">
        <v>4215</v>
      </c>
      <c r="E147" s="21" t="s">
        <v>242</v>
      </c>
      <c r="F147" s="22" t="s">
        <v>243</v>
      </c>
      <c r="G147" s="52" t="str">
        <f t="shared" si="2"/>
        <v>Tuđa njega i pomoć</v>
      </c>
    </row>
    <row r="148" spans="2:7">
      <c r="B148" s="25"/>
      <c r="C148" s="49"/>
      <c r="D148" s="49">
        <v>4216</v>
      </c>
      <c r="E148" s="21" t="s">
        <v>244</v>
      </c>
      <c r="F148" s="22" t="s">
        <v>245</v>
      </c>
      <c r="G148" s="52" t="str">
        <f t="shared" si="2"/>
        <v>Ishrana djece u predškolskim ustanovama</v>
      </c>
    </row>
    <row r="149" spans="2:7">
      <c r="B149" s="25"/>
      <c r="C149" s="49"/>
      <c r="D149" s="49">
        <v>4217</v>
      </c>
      <c r="E149" s="21" t="s">
        <v>246</v>
      </c>
      <c r="F149" s="22" t="s">
        <v>247</v>
      </c>
      <c r="G149" s="52" t="str">
        <f t="shared" si="2"/>
        <v>Izdržavanje štićenika u domovima</v>
      </c>
    </row>
    <row r="150" spans="2:7">
      <c r="B150" s="25"/>
      <c r="C150" s="49"/>
      <c r="D150" s="49">
        <v>4218</v>
      </c>
      <c r="E150" s="21" t="s">
        <v>719</v>
      </c>
      <c r="F150" s="22" t="s">
        <v>720</v>
      </c>
      <c r="G150" s="52" t="str">
        <f t="shared" si="2"/>
        <v>Ostala prava iz oblasti socijalne zaštite</v>
      </c>
    </row>
    <row r="151" spans="2:7">
      <c r="B151" s="25"/>
      <c r="C151" s="46"/>
      <c r="D151" s="44">
        <v>422</v>
      </c>
      <c r="E151" s="18" t="s">
        <v>248</v>
      </c>
      <c r="F151" s="19" t="s">
        <v>249</v>
      </c>
      <c r="G151" s="52" t="str">
        <f t="shared" si="2"/>
        <v>Sredstva za tehnološke viškove</v>
      </c>
    </row>
    <row r="152" spans="2:7">
      <c r="B152" s="14"/>
      <c r="C152" s="49"/>
      <c r="D152" s="49">
        <v>4221</v>
      </c>
      <c r="E152" s="21" t="s">
        <v>250</v>
      </c>
      <c r="F152" s="22" t="s">
        <v>251</v>
      </c>
      <c r="G152" s="52" t="str">
        <f t="shared" si="2"/>
        <v>Garantovane zarade</v>
      </c>
    </row>
    <row r="153" spans="2:7">
      <c r="B153" s="25"/>
      <c r="C153" s="49"/>
      <c r="D153" s="49">
        <v>4222</v>
      </c>
      <c r="E153" s="21" t="s">
        <v>252</v>
      </c>
      <c r="F153" s="22" t="s">
        <v>253</v>
      </c>
      <c r="G153" s="52" t="str">
        <f t="shared" si="2"/>
        <v>Otpremnine za tehnološke viškove</v>
      </c>
    </row>
    <row r="154" spans="2:7">
      <c r="B154" s="25"/>
      <c r="C154" s="49"/>
      <c r="D154" s="49">
        <v>4223</v>
      </c>
      <c r="E154" s="21" t="s">
        <v>254</v>
      </c>
      <c r="F154" s="22" t="s">
        <v>255</v>
      </c>
      <c r="G154" s="52" t="str">
        <f t="shared" si="2"/>
        <v>Dokup staža</v>
      </c>
    </row>
    <row r="155" spans="2:7">
      <c r="B155" s="25"/>
      <c r="C155" s="49"/>
      <c r="D155" s="49">
        <v>4224</v>
      </c>
      <c r="E155" s="21" t="s">
        <v>256</v>
      </c>
      <c r="F155" s="22" t="s">
        <v>257</v>
      </c>
      <c r="G155" s="52" t="str">
        <f t="shared" si="2"/>
        <v>Naknade nezaposlenim licima</v>
      </c>
    </row>
    <row r="156" spans="2:7">
      <c r="B156" s="25"/>
      <c r="C156" s="49"/>
      <c r="D156" s="49">
        <v>4225</v>
      </c>
      <c r="E156" s="21" t="s">
        <v>228</v>
      </c>
      <c r="F156" s="22" t="s">
        <v>258</v>
      </c>
      <c r="G156" s="52" t="str">
        <f t="shared" si="2"/>
        <v>Ostalo</v>
      </c>
    </row>
    <row r="157" spans="2:7">
      <c r="B157" s="25"/>
      <c r="C157" s="46"/>
      <c r="D157" s="44">
        <v>423</v>
      </c>
      <c r="E157" s="18" t="s">
        <v>259</v>
      </c>
      <c r="F157" s="19" t="s">
        <v>260</v>
      </c>
      <c r="G157" s="52" t="str">
        <f t="shared" si="2"/>
        <v>Prava iz oblasti penzijskog i invalidskog osiguranja</v>
      </c>
    </row>
    <row r="158" spans="2:7">
      <c r="B158" s="14"/>
      <c r="C158" s="49"/>
      <c r="D158" s="49">
        <v>4231</v>
      </c>
      <c r="E158" s="21" t="s">
        <v>261</v>
      </c>
      <c r="F158" s="22" t="s">
        <v>262</v>
      </c>
      <c r="G158" s="52" t="str">
        <f t="shared" si="2"/>
        <v>Starosna penzija</v>
      </c>
    </row>
    <row r="159" spans="2:7">
      <c r="B159" s="25"/>
      <c r="C159" s="49"/>
      <c r="D159" s="49">
        <v>4232</v>
      </c>
      <c r="E159" s="21" t="s">
        <v>263</v>
      </c>
      <c r="F159" s="22" t="s">
        <v>264</v>
      </c>
      <c r="G159" s="52" t="str">
        <f t="shared" si="2"/>
        <v>Invalidska penzija</v>
      </c>
    </row>
    <row r="160" spans="2:7">
      <c r="B160" s="25"/>
      <c r="C160" s="49"/>
      <c r="D160" s="49">
        <v>4233</v>
      </c>
      <c r="E160" s="21" t="s">
        <v>265</v>
      </c>
      <c r="F160" s="22" t="s">
        <v>266</v>
      </c>
      <c r="G160" s="52" t="str">
        <f t="shared" si="2"/>
        <v>Porodična penzija</v>
      </c>
    </row>
    <row r="161" spans="2:7">
      <c r="B161" s="25"/>
      <c r="C161" s="49"/>
      <c r="D161" s="49">
        <v>4234</v>
      </c>
      <c r="E161" s="21" t="s">
        <v>61</v>
      </c>
      <c r="F161" s="22" t="s">
        <v>267</v>
      </c>
      <c r="G161" s="52" t="str">
        <f t="shared" si="2"/>
        <v>Naknade</v>
      </c>
    </row>
    <row r="162" spans="2:7">
      <c r="B162" s="25"/>
      <c r="C162" s="49"/>
      <c r="D162" s="49">
        <v>4235</v>
      </c>
      <c r="E162" s="21" t="s">
        <v>268</v>
      </c>
      <c r="F162" s="22" t="s">
        <v>269</v>
      </c>
      <c r="G162" s="52" t="str">
        <f t="shared" si="2"/>
        <v>Dodaci</v>
      </c>
    </row>
    <row r="163" spans="2:7">
      <c r="B163" s="25"/>
      <c r="C163" s="49"/>
      <c r="D163" s="49">
        <v>4236</v>
      </c>
      <c r="E163" s="21" t="s">
        <v>270</v>
      </c>
      <c r="F163" s="22" t="s">
        <v>271</v>
      </c>
      <c r="G163" s="52" t="str">
        <f t="shared" si="2"/>
        <v>Ostala prava</v>
      </c>
    </row>
    <row r="164" spans="2:7">
      <c r="B164" s="25"/>
      <c r="C164" s="49"/>
      <c r="D164" s="49">
        <v>4237</v>
      </c>
      <c r="E164" s="21" t="s">
        <v>272</v>
      </c>
      <c r="F164" s="22" t="s">
        <v>273</v>
      </c>
      <c r="G164" s="52" t="str">
        <f t="shared" si="2"/>
        <v>Doprinos za zdravstvenu zaštitu penzionera</v>
      </c>
    </row>
    <row r="165" spans="2:7">
      <c r="B165" s="25"/>
      <c r="C165" s="46"/>
      <c r="D165" s="44">
        <v>424</v>
      </c>
      <c r="E165" s="18" t="s">
        <v>274</v>
      </c>
      <c r="F165" s="19" t="s">
        <v>275</v>
      </c>
      <c r="G165" s="52" t="str">
        <f t="shared" si="2"/>
        <v>Ostala prava iz oblasti zdravstvene zaštite</v>
      </c>
    </row>
    <row r="166" spans="2:7">
      <c r="B166" s="14"/>
      <c r="C166" s="49"/>
      <c r="D166" s="49">
        <v>4241</v>
      </c>
      <c r="E166" s="21" t="s">
        <v>276</v>
      </c>
      <c r="F166" s="22" t="s">
        <v>277</v>
      </c>
      <c r="G166" s="52" t="str">
        <f t="shared" si="2"/>
        <v>Liječenje van Crne Gore</v>
      </c>
    </row>
    <row r="167" spans="2:7">
      <c r="B167" s="25"/>
      <c r="C167" s="46"/>
      <c r="D167" s="44">
        <v>425</v>
      </c>
      <c r="E167" s="18" t="s">
        <v>278</v>
      </c>
      <c r="F167" s="19" t="s">
        <v>279</v>
      </c>
      <c r="G167" s="52" t="str">
        <f t="shared" si="2"/>
        <v>Ostala prava iz zdravstvenog osiguranja</v>
      </c>
    </row>
    <row r="168" spans="2:7">
      <c r="B168" s="14"/>
      <c r="C168" s="49"/>
      <c r="D168" s="49">
        <v>4251</v>
      </c>
      <c r="E168" s="21" t="s">
        <v>280</v>
      </c>
      <c r="F168" s="22" t="s">
        <v>281</v>
      </c>
      <c r="G168" s="52" t="str">
        <f t="shared" si="2"/>
        <v>Ortopedske sprave i pomagala</v>
      </c>
    </row>
    <row r="169" spans="2:7">
      <c r="B169" s="25"/>
      <c r="C169" s="49"/>
      <c r="D169" s="49">
        <v>4252</v>
      </c>
      <c r="E169" s="21" t="s">
        <v>282</v>
      </c>
      <c r="F169" s="22" t="s">
        <v>283</v>
      </c>
      <c r="G169" s="52" t="str">
        <f t="shared" si="2"/>
        <v>Naknade za bolovanje preko 60 dana</v>
      </c>
    </row>
    <row r="170" spans="2:7">
      <c r="B170" s="25"/>
      <c r="C170" s="49"/>
      <c r="D170" s="49">
        <v>4253</v>
      </c>
      <c r="E170" s="21" t="s">
        <v>284</v>
      </c>
      <c r="F170" s="22" t="s">
        <v>285</v>
      </c>
      <c r="G170" s="52" t="str">
        <f t="shared" si="2"/>
        <v>Naknade za putne troškove osiguranika</v>
      </c>
    </row>
    <row r="171" spans="2:7" ht="23.25">
      <c r="B171" s="25"/>
      <c r="C171" s="44"/>
      <c r="D171" s="44">
        <v>43</v>
      </c>
      <c r="E171" s="15" t="s">
        <v>286</v>
      </c>
      <c r="F171" s="16" t="s">
        <v>287</v>
      </c>
      <c r="G171" s="52" t="str">
        <f t="shared" si="2"/>
        <v xml:space="preserve">Transferi institucijama, pojedincima, nevladinom i javnom sektoru </v>
      </c>
    </row>
    <row r="172" spans="2:7" ht="23.25">
      <c r="B172" s="14" t="s">
        <v>92</v>
      </c>
      <c r="C172" s="46"/>
      <c r="D172" s="44">
        <v>431</v>
      </c>
      <c r="E172" s="18" t="s">
        <v>286</v>
      </c>
      <c r="F172" s="19" t="s">
        <v>287</v>
      </c>
      <c r="G172" s="52" t="str">
        <f t="shared" si="2"/>
        <v xml:space="preserve">Transferi institucijama, pojedincima, nevladinom i javnom sektoru </v>
      </c>
    </row>
    <row r="173" spans="2:7">
      <c r="B173" s="14" t="s">
        <v>92</v>
      </c>
      <c r="C173" s="49"/>
      <c r="D173" s="49">
        <v>4311</v>
      </c>
      <c r="E173" s="21" t="s">
        <v>288</v>
      </c>
      <c r="F173" s="22" t="s">
        <v>289</v>
      </c>
      <c r="G173" s="52" t="str">
        <f t="shared" si="2"/>
        <v xml:space="preserve">Transferi za zdravstvenu zaštitu </v>
      </c>
    </row>
    <row r="174" spans="2:7">
      <c r="B174" s="25"/>
      <c r="C174" s="49"/>
      <c r="D174" s="49">
        <v>4312</v>
      </c>
      <c r="E174" s="21" t="s">
        <v>290</v>
      </c>
      <c r="F174" s="22" t="s">
        <v>291</v>
      </c>
      <c r="G174" s="52" t="str">
        <f t="shared" si="2"/>
        <v>Transferi obrazovanju</v>
      </c>
    </row>
    <row r="175" spans="2:7">
      <c r="B175" s="25"/>
      <c r="C175" s="49"/>
      <c r="D175" s="49">
        <v>4313</v>
      </c>
      <c r="E175" s="21" t="s">
        <v>292</v>
      </c>
      <c r="F175" s="22" t="s">
        <v>293</v>
      </c>
      <c r="G175" s="52" t="str">
        <f t="shared" si="2"/>
        <v>Transferi institucijama kulture i sporta</v>
      </c>
    </row>
    <row r="176" spans="2:7">
      <c r="B176" s="25"/>
      <c r="C176" s="49"/>
      <c r="D176" s="49">
        <v>4314</v>
      </c>
      <c r="E176" s="21" t="s">
        <v>294</v>
      </c>
      <c r="F176" s="22" t="s">
        <v>295</v>
      </c>
      <c r="G176" s="52" t="str">
        <f t="shared" si="2"/>
        <v>Transferi nevladinim organizacijama</v>
      </c>
    </row>
    <row r="177" spans="2:7" ht="23.25">
      <c r="B177" s="25"/>
      <c r="C177" s="49"/>
      <c r="D177" s="49">
        <v>4315</v>
      </c>
      <c r="E177" s="21" t="s">
        <v>296</v>
      </c>
      <c r="F177" s="22" t="s">
        <v>297</v>
      </c>
      <c r="G177" s="52" t="str">
        <f t="shared" si="2"/>
        <v>Transferi političkim partijama, strankama i udruženjima</v>
      </c>
    </row>
    <row r="178" spans="2:7">
      <c r="B178" s="25"/>
      <c r="C178" s="49"/>
      <c r="D178" s="49">
        <v>4316</v>
      </c>
      <c r="E178" s="21" t="s">
        <v>298</v>
      </c>
      <c r="F178" s="22" t="s">
        <v>299</v>
      </c>
      <c r="G178" s="52" t="str">
        <f t="shared" si="2"/>
        <v>Transferi za jednokratne socijalne pomoći</v>
      </c>
    </row>
    <row r="179" spans="2:7">
      <c r="B179" s="25"/>
      <c r="C179" s="49"/>
      <c r="D179" s="49">
        <v>4317</v>
      </c>
      <c r="E179" s="21" t="s">
        <v>300</v>
      </c>
      <c r="F179" s="22" t="s">
        <v>301</v>
      </c>
      <c r="G179" s="52" t="str">
        <f t="shared" si="2"/>
        <v>Transferi za lična primanja pripravnika</v>
      </c>
    </row>
    <row r="180" spans="2:7">
      <c r="B180" s="25"/>
      <c r="C180" s="49"/>
      <c r="D180" s="49">
        <v>4318</v>
      </c>
      <c r="E180" s="21" t="s">
        <v>302</v>
      </c>
      <c r="F180" s="22" t="s">
        <v>303</v>
      </c>
      <c r="G180" s="52" t="str">
        <f t="shared" si="2"/>
        <v>Ostali transferi pojedincima</v>
      </c>
    </row>
    <row r="181" spans="2:7">
      <c r="B181" s="25"/>
      <c r="C181" s="49"/>
      <c r="D181" s="49">
        <v>4319</v>
      </c>
      <c r="E181" s="21" t="s">
        <v>304</v>
      </c>
      <c r="F181" s="22" t="s">
        <v>305</v>
      </c>
      <c r="G181" s="52" t="str">
        <f t="shared" si="2"/>
        <v>Ostali transferi institucijama</v>
      </c>
    </row>
    <row r="182" spans="2:7">
      <c r="B182" s="25"/>
      <c r="C182" s="46"/>
      <c r="D182" s="44">
        <v>432</v>
      </c>
      <c r="E182" s="18" t="s">
        <v>306</v>
      </c>
      <c r="F182" s="19" t="s">
        <v>307</v>
      </c>
      <c r="G182" s="52" t="str">
        <f t="shared" si="2"/>
        <v xml:space="preserve">Ostali transferi </v>
      </c>
    </row>
    <row r="183" spans="2:7" ht="23.25">
      <c r="B183" s="14" t="s">
        <v>92</v>
      </c>
      <c r="C183" s="49"/>
      <c r="D183" s="49">
        <v>4321</v>
      </c>
      <c r="E183" s="21" t="s">
        <v>308</v>
      </c>
      <c r="F183" s="22" t="s">
        <v>309</v>
      </c>
      <c r="G183" s="52" t="str">
        <f t="shared" si="2"/>
        <v>Transferi Fondu penzijskog i invalidskog osiguranja</v>
      </c>
    </row>
    <row r="184" spans="2:7">
      <c r="B184" s="25"/>
      <c r="C184" s="49"/>
      <c r="D184" s="49">
        <v>4322</v>
      </c>
      <c r="E184" s="21" t="s">
        <v>310</v>
      </c>
      <c r="F184" s="22" t="s">
        <v>311</v>
      </c>
      <c r="G184" s="52" t="str">
        <f t="shared" si="2"/>
        <v>Transferi Fondu zdravstva</v>
      </c>
    </row>
    <row r="185" spans="2:7">
      <c r="B185" s="25"/>
      <c r="C185" s="49"/>
      <c r="D185" s="49">
        <v>4323</v>
      </c>
      <c r="E185" s="21" t="s">
        <v>312</v>
      </c>
      <c r="F185" s="22" t="s">
        <v>313</v>
      </c>
      <c r="G185" s="52" t="str">
        <f t="shared" si="2"/>
        <v>Transferi zavodu za zapošljavanje</v>
      </c>
    </row>
    <row r="186" spans="2:7">
      <c r="B186" s="25"/>
      <c r="C186" s="49"/>
      <c r="D186" s="49">
        <v>4324</v>
      </c>
      <c r="E186" s="21" t="s">
        <v>314</v>
      </c>
      <c r="F186" s="22" t="s">
        <v>315</v>
      </c>
      <c r="G186" s="52" t="str">
        <f t="shared" si="2"/>
        <v>Transferi opštinama</v>
      </c>
    </row>
    <row r="187" spans="2:7">
      <c r="B187" s="25"/>
      <c r="C187" s="49"/>
      <c r="D187" s="49">
        <v>4325</v>
      </c>
      <c r="E187" s="21" t="s">
        <v>316</v>
      </c>
      <c r="F187" s="22" t="s">
        <v>317</v>
      </c>
      <c r="G187" s="52" t="str">
        <f t="shared" si="2"/>
        <v>Transferi budžetu države</v>
      </c>
    </row>
    <row r="188" spans="2:7">
      <c r="B188" s="25"/>
      <c r="C188" s="49"/>
      <c r="D188" s="49">
        <v>4326</v>
      </c>
      <c r="E188" s="21" t="s">
        <v>318</v>
      </c>
      <c r="F188" s="22" t="s">
        <v>319</v>
      </c>
      <c r="G188" s="52" t="str">
        <f t="shared" si="2"/>
        <v>Transferi javnim preduzećima</v>
      </c>
    </row>
    <row r="189" spans="2:7">
      <c r="B189" s="14" t="s">
        <v>92</v>
      </c>
      <c r="C189" s="46"/>
      <c r="D189" s="44">
        <v>44</v>
      </c>
      <c r="E189" s="18" t="s">
        <v>320</v>
      </c>
      <c r="F189" s="19" t="s">
        <v>321</v>
      </c>
      <c r="G189" s="52" t="str">
        <f t="shared" si="2"/>
        <v>Kapitalni izdaci</v>
      </c>
    </row>
    <row r="190" spans="2:7">
      <c r="B190" s="14"/>
      <c r="C190" s="49"/>
      <c r="D190" s="49">
        <v>4411</v>
      </c>
      <c r="E190" s="21" t="s">
        <v>322</v>
      </c>
      <c r="F190" s="22" t="s">
        <v>323</v>
      </c>
      <c r="G190" s="52" t="str">
        <f t="shared" si="2"/>
        <v>Izdaci za infrastrukturu opšeg značaja</v>
      </c>
    </row>
    <row r="191" spans="2:7">
      <c r="B191" s="25"/>
      <c r="C191" s="49"/>
      <c r="D191" s="49">
        <v>4412</v>
      </c>
      <c r="E191" s="21" t="s">
        <v>324</v>
      </c>
      <c r="F191" s="22" t="s">
        <v>325</v>
      </c>
      <c r="G191" s="52" t="str">
        <f t="shared" si="2"/>
        <v>Izdaci za lokalnu infrastrukturu</v>
      </c>
    </row>
    <row r="192" spans="2:7">
      <c r="B192" s="25"/>
      <c r="C192" s="49"/>
      <c r="D192" s="49">
        <v>4413</v>
      </c>
      <c r="E192" s="21" t="s">
        <v>326</v>
      </c>
      <c r="F192" s="22" t="s">
        <v>327</v>
      </c>
      <c r="G192" s="52" t="str">
        <f t="shared" si="2"/>
        <v>Izdaci za građevinske objekte</v>
      </c>
    </row>
    <row r="193" spans="2:7">
      <c r="B193" s="25"/>
      <c r="C193" s="49"/>
      <c r="D193" s="49">
        <v>4414</v>
      </c>
      <c r="E193" s="21" t="s">
        <v>328</v>
      </c>
      <c r="F193" s="22" t="s">
        <v>329</v>
      </c>
      <c r="G193" s="52" t="str">
        <f t="shared" si="2"/>
        <v>Izdaci za uređenje zemljišta</v>
      </c>
    </row>
    <row r="194" spans="2:7">
      <c r="B194" s="25"/>
      <c r="C194" s="49"/>
      <c r="D194" s="49">
        <v>4415</v>
      </c>
      <c r="E194" s="21" t="s">
        <v>330</v>
      </c>
      <c r="F194" s="22" t="s">
        <v>331</v>
      </c>
      <c r="G194" s="52" t="str">
        <f t="shared" si="2"/>
        <v>Izdaci za opremu</v>
      </c>
    </row>
    <row r="195" spans="2:7">
      <c r="B195" s="25"/>
      <c r="C195" s="49"/>
      <c r="D195" s="49">
        <v>4416</v>
      </c>
      <c r="E195" s="21" t="s">
        <v>332</v>
      </c>
      <c r="F195" s="22" t="s">
        <v>333</v>
      </c>
      <c r="G195" s="52" t="str">
        <f t="shared" si="2"/>
        <v>Izdaci za investiciono održavanje</v>
      </c>
    </row>
    <row r="196" spans="2:7">
      <c r="B196" s="25"/>
      <c r="C196" s="49"/>
      <c r="D196" s="49">
        <v>4417</v>
      </c>
      <c r="E196" s="21" t="s">
        <v>334</v>
      </c>
      <c r="F196" s="22" t="s">
        <v>335</v>
      </c>
      <c r="G196" s="52" t="str">
        <f t="shared" si="2"/>
        <v>Izdaci za zalihe</v>
      </c>
    </row>
    <row r="197" spans="2:7">
      <c r="B197" s="25"/>
      <c r="C197" s="49"/>
      <c r="D197" s="49">
        <v>4418</v>
      </c>
      <c r="E197" s="21" t="s">
        <v>336</v>
      </c>
      <c r="F197" s="22" t="s">
        <v>337</v>
      </c>
      <c r="G197" s="52" t="str">
        <f t="shared" si="2"/>
        <v>Izdaci za kupovinu hartija od vrijednosti</v>
      </c>
    </row>
    <row r="198" spans="2:7">
      <c r="B198" s="25"/>
      <c r="C198" s="49"/>
      <c r="D198" s="49">
        <v>4419</v>
      </c>
      <c r="E198" s="21" t="s">
        <v>338</v>
      </c>
      <c r="F198" s="22" t="s">
        <v>339</v>
      </c>
      <c r="G198" s="52" t="str">
        <f t="shared" si="2"/>
        <v>Ostali kapitalni izdaci</v>
      </c>
    </row>
    <row r="199" spans="2:7">
      <c r="B199" s="25"/>
      <c r="C199" s="44"/>
      <c r="D199" s="44">
        <v>45</v>
      </c>
      <c r="E199" s="15" t="s">
        <v>340</v>
      </c>
      <c r="F199" s="16" t="s">
        <v>341</v>
      </c>
      <c r="G199" s="52" t="str">
        <f t="shared" si="2"/>
        <v>Krediti i pozajmice</v>
      </c>
    </row>
    <row r="200" spans="2:7">
      <c r="B200" s="14" t="s">
        <v>92</v>
      </c>
      <c r="C200" s="46"/>
      <c r="D200" s="44">
        <v>451</v>
      </c>
      <c r="E200" s="18" t="s">
        <v>113</v>
      </c>
      <c r="F200" s="19" t="s">
        <v>341</v>
      </c>
      <c r="G200" s="52" t="str">
        <f t="shared" si="2"/>
        <v>Pozajmice i krediti</v>
      </c>
    </row>
    <row r="201" spans="2:7" ht="23.25">
      <c r="B201" s="14"/>
      <c r="C201" s="49"/>
      <c r="D201" s="49">
        <v>4511</v>
      </c>
      <c r="E201" s="21" t="s">
        <v>342</v>
      </c>
      <c r="F201" s="22" t="s">
        <v>343</v>
      </c>
      <c r="G201" s="52" t="str">
        <f t="shared" si="2"/>
        <v>Pozajmice i krediti nefinansijskim institucijama</v>
      </c>
    </row>
    <row r="202" spans="2:7">
      <c r="B202" s="25"/>
      <c r="C202" s="49"/>
      <c r="D202" s="49">
        <v>4512</v>
      </c>
      <c r="E202" s="21" t="s">
        <v>344</v>
      </c>
      <c r="F202" s="22" t="s">
        <v>345</v>
      </c>
      <c r="G202" s="52" t="str">
        <f t="shared" si="2"/>
        <v>Pozajmice i krediti finansijskim institucijama</v>
      </c>
    </row>
    <row r="203" spans="2:7">
      <c r="B203" s="25"/>
      <c r="C203" s="49"/>
      <c r="D203" s="49">
        <v>4513</v>
      </c>
      <c r="E203" s="21" t="s">
        <v>346</v>
      </c>
      <c r="F203" s="22" t="s">
        <v>347</v>
      </c>
      <c r="G203" s="52" t="str">
        <f t="shared" si="2"/>
        <v>Pozajmice i krediti pojedincima</v>
      </c>
    </row>
    <row r="204" spans="2:7" ht="23.25">
      <c r="B204" s="25"/>
      <c r="C204" s="49"/>
      <c r="D204" s="49">
        <v>4514</v>
      </c>
      <c r="E204" s="21" t="s">
        <v>348</v>
      </c>
      <c r="F204" s="22" t="s">
        <v>349</v>
      </c>
      <c r="G204" s="52" t="str">
        <f t="shared" si="2"/>
        <v>Pozajmice i krediti vanbudžetskim fondovima i opštinama</v>
      </c>
    </row>
    <row r="205" spans="2:7">
      <c r="B205" s="25"/>
      <c r="C205" s="49"/>
      <c r="D205" s="49">
        <v>4515</v>
      </c>
      <c r="E205" s="21" t="s">
        <v>350</v>
      </c>
      <c r="F205" s="22" t="s">
        <v>351</v>
      </c>
      <c r="G205" s="52" t="str">
        <f t="shared" si="2"/>
        <v>Ostale pozajmice i krediti</v>
      </c>
    </row>
    <row r="206" spans="2:7">
      <c r="B206" s="25"/>
      <c r="C206" s="44"/>
      <c r="D206" s="44">
        <v>46</v>
      </c>
      <c r="E206" s="15" t="s">
        <v>352</v>
      </c>
      <c r="F206" s="16" t="s">
        <v>353</v>
      </c>
      <c r="G206" s="52" t="str">
        <f t="shared" ref="G206:G279" si="3">+IF(ISBLANK(IF($B$2=1,E206,F206)),"",IF($B$2=1,E206,F206))</f>
        <v>Otplata dugova</v>
      </c>
    </row>
    <row r="207" spans="2:7">
      <c r="B207" s="14" t="s">
        <v>92</v>
      </c>
      <c r="C207" s="46"/>
      <c r="D207" s="44">
        <v>461</v>
      </c>
      <c r="E207" s="18" t="s">
        <v>354</v>
      </c>
      <c r="F207" s="19" t="s">
        <v>353</v>
      </c>
      <c r="G207" s="52" t="str">
        <f t="shared" si="3"/>
        <v>Otplata duga</v>
      </c>
    </row>
    <row r="208" spans="2:7" ht="23.25">
      <c r="B208" s="14"/>
      <c r="C208" s="49"/>
      <c r="D208" s="49">
        <v>4611</v>
      </c>
      <c r="E208" s="21" t="s">
        <v>355</v>
      </c>
      <c r="F208" s="22" t="s">
        <v>356</v>
      </c>
      <c r="G208" s="52" t="str">
        <f t="shared" si="3"/>
        <v>Otplata hartija od vrijednosti i kredita rezidentima</v>
      </c>
    </row>
    <row r="209" spans="2:7" ht="23.25">
      <c r="B209" s="25"/>
      <c r="C209" s="49"/>
      <c r="D209" s="49">
        <v>4612</v>
      </c>
      <c r="E209" s="21" t="s">
        <v>357</v>
      </c>
      <c r="F209" s="22" t="s">
        <v>358</v>
      </c>
      <c r="G209" s="52" t="str">
        <f t="shared" si="3"/>
        <v>Otplata hartija od vrijednosti i kredita nerezidentima</v>
      </c>
    </row>
    <row r="210" spans="2:7">
      <c r="B210" s="25"/>
      <c r="C210" s="46"/>
      <c r="D210" s="44">
        <v>462</v>
      </c>
      <c r="E210" s="18" t="s">
        <v>359</v>
      </c>
      <c r="F210" s="19" t="s">
        <v>360</v>
      </c>
      <c r="G210" s="52" t="str">
        <f t="shared" si="3"/>
        <v>Otplata garancija</v>
      </c>
    </row>
    <row r="211" spans="2:7">
      <c r="B211" s="14"/>
      <c r="C211" s="49"/>
      <c r="D211" s="49">
        <v>4621</v>
      </c>
      <c r="E211" s="21" t="s">
        <v>361</v>
      </c>
      <c r="F211" s="22" t="s">
        <v>362</v>
      </c>
      <c r="G211" s="52" t="str">
        <f t="shared" si="3"/>
        <v>Otplata garancija u zemlji</v>
      </c>
    </row>
    <row r="212" spans="2:7">
      <c r="B212" s="25"/>
      <c r="C212" s="49"/>
      <c r="D212" s="49">
        <v>4622</v>
      </c>
      <c r="E212" s="21" t="s">
        <v>363</v>
      </c>
      <c r="F212" s="22" t="s">
        <v>364</v>
      </c>
      <c r="G212" s="52" t="str">
        <f t="shared" si="3"/>
        <v>Otplata garancija u inostranstvu</v>
      </c>
    </row>
    <row r="213" spans="2:7">
      <c r="B213" s="25"/>
      <c r="C213" s="44">
        <v>463</v>
      </c>
      <c r="D213" s="44">
        <v>4630</v>
      </c>
      <c r="E213" s="18" t="s">
        <v>795</v>
      </c>
      <c r="F213" s="19" t="s">
        <v>796</v>
      </c>
      <c r="G213" s="52" t="str">
        <f t="shared" si="3"/>
        <v>Otplata obaveza iz prethodnog perioda</v>
      </c>
    </row>
    <row r="214" spans="2:7">
      <c r="B214" s="14"/>
      <c r="C214" s="44"/>
      <c r="D214" s="44">
        <v>47</v>
      </c>
      <c r="E214" s="28" t="s">
        <v>366</v>
      </c>
      <c r="F214" s="29" t="s">
        <v>367</v>
      </c>
      <c r="G214" s="52" t="str">
        <f t="shared" si="3"/>
        <v>Rezerve</v>
      </c>
    </row>
    <row r="215" spans="2:7">
      <c r="B215" s="14" t="s">
        <v>92</v>
      </c>
      <c r="C215" s="49">
        <v>471</v>
      </c>
      <c r="D215" s="49">
        <v>4710</v>
      </c>
      <c r="E215" s="30" t="s">
        <v>368</v>
      </c>
      <c r="F215" s="31" t="s">
        <v>369</v>
      </c>
      <c r="G215" s="52" t="str">
        <f t="shared" si="3"/>
        <v>Tekuća budžetska rezerva</v>
      </c>
    </row>
    <row r="216" spans="2:7">
      <c r="B216" s="25" t="s">
        <v>92</v>
      </c>
      <c r="C216" s="49">
        <v>472</v>
      </c>
      <c r="D216" s="49">
        <v>4720</v>
      </c>
      <c r="E216" s="30" t="s">
        <v>370</v>
      </c>
      <c r="F216" s="31" t="s">
        <v>371</v>
      </c>
      <c r="G216" s="52" t="str">
        <f t="shared" si="3"/>
        <v>Stalna budžetska rezerva</v>
      </c>
    </row>
    <row r="217" spans="2:7">
      <c r="B217" s="25"/>
      <c r="C217" s="49">
        <v>473</v>
      </c>
      <c r="D217" s="51">
        <v>4730</v>
      </c>
      <c r="E217" s="35" t="s">
        <v>372</v>
      </c>
      <c r="F217" s="36" t="s">
        <v>373</v>
      </c>
      <c r="G217" s="53" t="str">
        <f t="shared" si="3"/>
        <v>Ostale rezerve</v>
      </c>
    </row>
    <row r="218" spans="2:7">
      <c r="B218" s="25"/>
      <c r="C218" s="49"/>
      <c r="D218" s="88"/>
      <c r="E218" s="89"/>
      <c r="F218" s="90"/>
      <c r="G218" s="91"/>
    </row>
    <row r="219" spans="2:7">
      <c r="B219" s="25"/>
      <c r="C219" s="49"/>
      <c r="D219" s="49">
        <v>1000</v>
      </c>
      <c r="E219" s="30" t="s">
        <v>545</v>
      </c>
      <c r="F219" s="92" t="s">
        <v>546</v>
      </c>
      <c r="G219" s="52" t="str">
        <f t="shared" si="3"/>
        <v>Suficit / deficit</v>
      </c>
    </row>
    <row r="220" spans="2:7">
      <c r="B220" s="25"/>
      <c r="C220" s="49"/>
      <c r="D220" s="49">
        <v>1001</v>
      </c>
      <c r="E220" s="30" t="s">
        <v>793</v>
      </c>
      <c r="F220" s="92" t="s">
        <v>794</v>
      </c>
      <c r="G220" s="52" t="str">
        <f t="shared" si="3"/>
        <v>Primarni suficit/deficit</v>
      </c>
    </row>
    <row r="221" spans="2:7">
      <c r="B221" s="25"/>
      <c r="C221" s="49"/>
      <c r="D221" s="49"/>
      <c r="E221" s="30"/>
      <c r="F221" s="92" t="s">
        <v>92</v>
      </c>
      <c r="G221" s="52" t="str">
        <f t="shared" si="3"/>
        <v/>
      </c>
    </row>
    <row r="222" spans="2:7">
      <c r="B222" s="25"/>
      <c r="C222" s="49"/>
      <c r="D222" s="49">
        <v>1002</v>
      </c>
      <c r="E222" s="30" t="s">
        <v>543</v>
      </c>
      <c r="F222" s="92" t="s">
        <v>547</v>
      </c>
      <c r="G222" s="52" t="str">
        <f t="shared" si="3"/>
        <v>Nedostajuća sredstva</v>
      </c>
    </row>
    <row r="223" spans="2:7">
      <c r="B223" s="25"/>
      <c r="C223" s="49"/>
      <c r="D223" s="49">
        <v>1003</v>
      </c>
      <c r="E223" s="30" t="s">
        <v>544</v>
      </c>
      <c r="F223" s="92" t="s">
        <v>548</v>
      </c>
      <c r="G223" s="52" t="str">
        <f t="shared" si="3"/>
        <v>Finansiranje</v>
      </c>
    </row>
    <row r="224" spans="2:7">
      <c r="B224" s="25"/>
      <c r="C224" s="49"/>
      <c r="D224" s="49"/>
      <c r="E224" s="30"/>
      <c r="F224" s="92"/>
      <c r="G224" s="52" t="str">
        <f t="shared" si="3"/>
        <v/>
      </c>
    </row>
    <row r="225" spans="2:7">
      <c r="B225" s="25"/>
      <c r="C225" s="49"/>
      <c r="D225" s="49">
        <v>1004</v>
      </c>
      <c r="E225" s="30" t="s">
        <v>549</v>
      </c>
      <c r="F225" s="92" t="s">
        <v>550</v>
      </c>
      <c r="G225" s="52" t="str">
        <f t="shared" si="3"/>
        <v>Povećanje / smanjenje depozita</v>
      </c>
    </row>
    <row r="226" spans="2:7">
      <c r="B226" s="25"/>
      <c r="C226" s="49"/>
      <c r="D226" s="49"/>
      <c r="E226" s="30"/>
      <c r="F226" s="92"/>
    </row>
    <row r="227" spans="2:7">
      <c r="B227" s="25"/>
      <c r="C227" s="49"/>
      <c r="D227" s="49">
        <v>1005</v>
      </c>
      <c r="E227" s="30" t="s">
        <v>685</v>
      </c>
      <c r="F227" s="92" t="s">
        <v>686</v>
      </c>
      <c r="G227" s="52" t="str">
        <f t="shared" si="3"/>
        <v>Neto povećanje obaveza</v>
      </c>
    </row>
    <row r="228" spans="2:7">
      <c r="B228" s="25"/>
      <c r="C228" s="49"/>
      <c r="D228" s="51"/>
      <c r="E228" s="35"/>
      <c r="F228" s="36"/>
      <c r="G228" s="53"/>
    </row>
    <row r="229" spans="2:7">
      <c r="B229" s="25"/>
      <c r="C229" s="49"/>
      <c r="D229" s="39"/>
      <c r="E229" s="39"/>
      <c r="F229" s="39"/>
      <c r="G229" s="54" t="str">
        <f t="shared" si="3"/>
        <v/>
      </c>
    </row>
    <row r="230" spans="2:7">
      <c r="B230" s="13"/>
      <c r="C230" s="46"/>
      <c r="D230" s="46"/>
      <c r="E230" s="32"/>
      <c r="G230" s="52" t="str">
        <f t="shared" si="3"/>
        <v/>
      </c>
    </row>
    <row r="231" spans="2:7">
      <c r="C231" s="41" t="s">
        <v>416</v>
      </c>
      <c r="D231" s="49">
        <v>1</v>
      </c>
      <c r="E231" s="9" t="s">
        <v>374</v>
      </c>
      <c r="F231" s="10" t="s">
        <v>375</v>
      </c>
      <c r="G231" s="52" t="str">
        <f t="shared" si="3"/>
        <v>Januar</v>
      </c>
    </row>
    <row r="232" spans="2:7">
      <c r="C232" s="41" t="s">
        <v>421</v>
      </c>
      <c r="D232" s="49">
        <v>2</v>
      </c>
      <c r="E232" s="9" t="s">
        <v>376</v>
      </c>
      <c r="F232" s="10" t="s">
        <v>377</v>
      </c>
      <c r="G232" s="52" t="str">
        <f t="shared" si="3"/>
        <v>Februar</v>
      </c>
    </row>
    <row r="233" spans="2:7">
      <c r="C233" s="41" t="s">
        <v>422</v>
      </c>
      <c r="D233" s="49">
        <v>3</v>
      </c>
      <c r="E233" s="9" t="s">
        <v>378</v>
      </c>
      <c r="F233" s="10" t="s">
        <v>379</v>
      </c>
      <c r="G233" s="52" t="str">
        <f t="shared" si="3"/>
        <v>Mart</v>
      </c>
    </row>
    <row r="234" spans="2:7">
      <c r="D234" s="49">
        <v>4</v>
      </c>
      <c r="E234" s="9" t="s">
        <v>380</v>
      </c>
      <c r="F234" s="10" t="s">
        <v>380</v>
      </c>
      <c r="G234" s="52" t="str">
        <f t="shared" si="3"/>
        <v>April</v>
      </c>
    </row>
    <row r="235" spans="2:7">
      <c r="D235" s="49">
        <v>5</v>
      </c>
      <c r="E235" s="9" t="s">
        <v>381</v>
      </c>
      <c r="F235" s="10" t="s">
        <v>382</v>
      </c>
      <c r="G235" s="52" t="str">
        <f t="shared" si="3"/>
        <v>Maj</v>
      </c>
    </row>
    <row r="236" spans="2:7">
      <c r="D236" s="49">
        <v>6</v>
      </c>
      <c r="E236" s="9" t="s">
        <v>383</v>
      </c>
      <c r="F236" s="10" t="s">
        <v>384</v>
      </c>
      <c r="G236" s="52" t="str">
        <f t="shared" si="3"/>
        <v>Jun</v>
      </c>
    </row>
    <row r="237" spans="2:7">
      <c r="D237" s="49">
        <v>7</v>
      </c>
      <c r="E237" s="9" t="s">
        <v>385</v>
      </c>
      <c r="F237" s="10" t="s">
        <v>386</v>
      </c>
      <c r="G237" s="52" t="str">
        <f t="shared" si="3"/>
        <v>Jul</v>
      </c>
    </row>
    <row r="238" spans="2:7">
      <c r="D238" s="49">
        <v>8</v>
      </c>
      <c r="E238" s="9" t="s">
        <v>387</v>
      </c>
      <c r="F238" s="10" t="s">
        <v>388</v>
      </c>
      <c r="G238" s="52" t="str">
        <f t="shared" si="3"/>
        <v>Avgust</v>
      </c>
    </row>
    <row r="239" spans="2:7">
      <c r="D239" s="49">
        <v>9</v>
      </c>
      <c r="E239" s="9" t="s">
        <v>389</v>
      </c>
      <c r="F239" s="10" t="s">
        <v>390</v>
      </c>
      <c r="G239" s="52" t="str">
        <f t="shared" si="3"/>
        <v>Septembar</v>
      </c>
    </row>
    <row r="240" spans="2:7">
      <c r="D240" s="49">
        <v>10</v>
      </c>
      <c r="E240" s="9" t="s">
        <v>391</v>
      </c>
      <c r="F240" s="10" t="s">
        <v>392</v>
      </c>
      <c r="G240" s="52" t="str">
        <f t="shared" si="3"/>
        <v>Oktobar</v>
      </c>
    </row>
    <row r="241" spans="4:7">
      <c r="D241" s="49">
        <v>11</v>
      </c>
      <c r="E241" s="9" t="s">
        <v>393</v>
      </c>
      <c r="F241" s="10" t="s">
        <v>394</v>
      </c>
      <c r="G241" s="52" t="str">
        <f t="shared" si="3"/>
        <v>Novembar</v>
      </c>
    </row>
    <row r="242" spans="4:7">
      <c r="D242" s="49">
        <v>12</v>
      </c>
      <c r="E242" s="9" t="s">
        <v>395</v>
      </c>
      <c r="F242" s="10" t="s">
        <v>396</v>
      </c>
      <c r="G242" s="52" t="str">
        <f t="shared" si="3"/>
        <v>Decembar</v>
      </c>
    </row>
    <row r="243" spans="4:7">
      <c r="D243" s="49"/>
      <c r="E243" s="9"/>
      <c r="F243" s="10"/>
      <c r="G243" s="6"/>
    </row>
    <row r="244" spans="4:7">
      <c r="D244" s="49"/>
      <c r="E244" s="9"/>
      <c r="F244" s="10"/>
      <c r="G244" s="52" t="str">
        <f>+VLOOKUP($B$3,$D$231:$F$242,$B$2+1,FALSE)</f>
        <v>April</v>
      </c>
    </row>
    <row r="245" spans="4:7">
      <c r="D245" s="49"/>
      <c r="E245" s="9"/>
      <c r="F245" s="10"/>
      <c r="G245" s="52" t="str">
        <f>+CONCATENATE("Jan - ",LEFT(G244,3))</f>
        <v>Jan - Apr</v>
      </c>
    </row>
    <row r="246" spans="4:7">
      <c r="D246" s="49"/>
      <c r="E246" s="9"/>
      <c r="F246" s="10"/>
      <c r="G246" s="52" t="str">
        <f>+CONCATENATE("Jan - ",LEFT(G242,3))</f>
        <v>Jan - Dec</v>
      </c>
    </row>
    <row r="247" spans="4:7">
      <c r="D247" s="49"/>
      <c r="E247" s="9"/>
      <c r="F247" s="10"/>
    </row>
    <row r="248" spans="4:7">
      <c r="D248" s="46"/>
      <c r="E248" s="9" t="s">
        <v>419</v>
      </c>
      <c r="F248" s="10" t="s">
        <v>420</v>
      </c>
      <c r="G248" s="52" t="str">
        <f t="shared" si="3"/>
        <v>BDP</v>
      </c>
    </row>
    <row r="249" spans="4:7">
      <c r="D249" s="46"/>
      <c r="E249" s="9"/>
      <c r="F249" s="10"/>
      <c r="G249" s="52" t="str">
        <f>+CONCATENATE("% ",G248)</f>
        <v>% BDP</v>
      </c>
    </row>
    <row r="250" spans="4:7">
      <c r="D250" s="46"/>
      <c r="E250" s="9"/>
      <c r="F250" s="10"/>
    </row>
    <row r="251" spans="4:7">
      <c r="D251" s="46"/>
      <c r="E251" s="9" t="s">
        <v>554</v>
      </c>
      <c r="F251" s="10" t="s">
        <v>551</v>
      </c>
      <c r="G251" s="52" t="str">
        <f t="shared" si="3"/>
        <v>Ostvarenje budžeta</v>
      </c>
    </row>
    <row r="252" spans="4:7">
      <c r="D252" s="46"/>
      <c r="E252" s="9" t="s">
        <v>552</v>
      </c>
      <c r="F252" s="10" t="s">
        <v>553</v>
      </c>
      <c r="G252" s="52" t="str">
        <f t="shared" si="3"/>
        <v>Plan ostvarenja budžeta</v>
      </c>
    </row>
    <row r="253" spans="4:7">
      <c r="D253" s="46"/>
      <c r="E253" s="9" t="str">
        <f>+CONCATENATE("Analitika za period ",G245)</f>
        <v>Analitika za period Jan - Apr</v>
      </c>
      <c r="F253" s="10" t="str">
        <f>+CONCATENATE("Analytics for period ",G245)</f>
        <v>Analytics for period Jan - Apr</v>
      </c>
      <c r="G253" s="52" t="str">
        <f>+IF(ISBLANK(IF($B$2=1,E253,F253)),"",IF($B$2=1,E253,F253))</f>
        <v>Analitika za period Jan - Apr</v>
      </c>
    </row>
    <row r="254" spans="4:7">
      <c r="D254" s="46"/>
      <c r="E254" s="9" t="str">
        <f>+CONCATENATE("Analitika za period ",G244)</f>
        <v>Analitika za period April</v>
      </c>
      <c r="F254" s="10" t="str">
        <f>+CONCATENATE("Analytics for period ",G244)</f>
        <v>Analytics for period April</v>
      </c>
      <c r="G254" s="52" t="str">
        <f>+IF(ISBLANK(IF($B$2=1,E254,F254)),"",IF($B$2=1,E254,F254))</f>
        <v>Analitika za period April</v>
      </c>
    </row>
    <row r="255" spans="4:7">
      <c r="D255" s="39"/>
      <c r="E255" s="123"/>
      <c r="F255" s="124"/>
      <c r="G255" s="54"/>
    </row>
    <row r="256" spans="4:7">
      <c r="D256" s="46"/>
      <c r="E256" s="9"/>
      <c r="F256" s="10"/>
    </row>
    <row r="257" spans="4:7">
      <c r="D257" s="46"/>
      <c r="E257" s="9" t="s">
        <v>411</v>
      </c>
      <c r="F257" s="10" t="s">
        <v>411</v>
      </c>
      <c r="G257" s="52" t="str">
        <f t="shared" si="3"/>
        <v>Plan</v>
      </c>
    </row>
    <row r="258" spans="4:7">
      <c r="D258" s="46"/>
      <c r="E258" s="9" t="s">
        <v>412</v>
      </c>
      <c r="F258" s="10" t="s">
        <v>413</v>
      </c>
      <c r="G258" s="52" t="str">
        <f t="shared" si="3"/>
        <v>Ostvarenje</v>
      </c>
    </row>
    <row r="259" spans="4:7">
      <c r="D259" s="46"/>
      <c r="E259" s="9"/>
      <c r="F259" s="10"/>
    </row>
    <row r="260" spans="4:7">
      <c r="D260" s="46"/>
      <c r="E260" s="9" t="s">
        <v>677</v>
      </c>
      <c r="F260" s="10" t="s">
        <v>678</v>
      </c>
      <c r="G260" s="52" t="str">
        <f t="shared" si="3"/>
        <v>Odstupanje</v>
      </c>
    </row>
    <row r="261" spans="4:7">
      <c r="D261" s="46"/>
      <c r="E261" s="9"/>
      <c r="F261" s="10"/>
    </row>
    <row r="262" spans="4:7">
      <c r="D262" s="46"/>
      <c r="E262" s="9" t="s">
        <v>682</v>
      </c>
      <c r="F262" s="10" t="s">
        <v>683</v>
      </c>
      <c r="G262" s="52" t="str">
        <f t="shared" si="3"/>
        <v>Realizacija budžeta</v>
      </c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3"/>
      <c r="E266" s="63"/>
      <c r="F266" s="64"/>
    </row>
    <row r="267" spans="4:7">
      <c r="D267" s="55"/>
      <c r="E267" s="37"/>
      <c r="F267" s="38"/>
      <c r="G267" s="54" t="str">
        <f t="shared" si="3"/>
        <v/>
      </c>
    </row>
    <row r="268" spans="4:7">
      <c r="G268" s="52" t="str">
        <f t="shared" si="3"/>
        <v/>
      </c>
    </row>
    <row r="269" spans="4:7">
      <c r="D269" s="41" t="s">
        <v>418</v>
      </c>
      <c r="E269" s="9" t="s">
        <v>397</v>
      </c>
      <c r="F269" s="10" t="s">
        <v>398</v>
      </c>
      <c r="G269" s="52" t="str">
        <f>+CONCATENATE(IF(ISBLANK(IF($B$2=1,E269,F269)),"",IF($B$2=1,E269,F269))," ",$G$244)</f>
        <v>Prihodi za mjesec April</v>
      </c>
    </row>
    <row r="270" spans="4:7">
      <c r="E270" s="9" t="s">
        <v>399</v>
      </c>
      <c r="F270" s="10" t="s">
        <v>400</v>
      </c>
      <c r="G270" s="52" t="str">
        <f>+CONCATENATE(IF(ISBLANK(IF($B$2=1,E270,F270)),"",IF($B$2=1,E270,F270))," ",$G$244)</f>
        <v>Rashodi za mjesec April</v>
      </c>
    </row>
    <row r="271" spans="4:7">
      <c r="E271" s="9" t="s">
        <v>723</v>
      </c>
      <c r="F271" s="10" t="s">
        <v>401</v>
      </c>
      <c r="G271" s="52" t="str">
        <f>+CONCATENATE(IF(ISBLANK(IF($B$2=1,E271,F271)),"",IF($B$2=1,E271,F271))," ",$G$244)</f>
        <v>Suficit/Deficit za mjesec April</v>
      </c>
    </row>
    <row r="273" spans="5:7">
      <c r="E273" s="9" t="s">
        <v>402</v>
      </c>
      <c r="F273" s="10" t="s">
        <v>405</v>
      </c>
      <c r="G273" s="52" t="str">
        <f>+CONCATENATE(IF(ISBLANK(IF($B$2=1,E273,F273)),"",IF($B$2=1,E273,F273))," ",$G$244)</f>
        <v>Prihodi za period Januar - April</v>
      </c>
    </row>
    <row r="274" spans="5:7">
      <c r="E274" s="9" t="s">
        <v>403</v>
      </c>
      <c r="F274" s="10" t="s">
        <v>406</v>
      </c>
      <c r="G274" s="52" t="str">
        <f>+CONCATENATE(IF(ISBLANK(IF($B$2=1,E274,F274)),"",IF($B$2=1,E274,F274))," ",$G$244)</f>
        <v>Rashodi za period Januar - April</v>
      </c>
    </row>
    <row r="275" spans="5:7">
      <c r="E275" s="9" t="s">
        <v>772</v>
      </c>
      <c r="F275" s="10" t="s">
        <v>773</v>
      </c>
      <c r="G275" s="52" t="str">
        <f>+CONCATENATE(IF(ISBLANK(IF($B$2=1,E275,F275)),"",IF($B$2=1,E275,F275))," ",$G$244)</f>
        <v>Suficit/Deficit za period Januar - April</v>
      </c>
    </row>
    <row r="277" spans="5:7">
      <c r="E277" s="9" t="s">
        <v>409</v>
      </c>
      <c r="F277" s="10" t="s">
        <v>410</v>
      </c>
      <c r="G277" s="52" t="str">
        <f t="shared" si="3"/>
        <v>Stanje javnog duga (% BDP)</v>
      </c>
    </row>
    <row r="279" spans="5:7">
      <c r="E279" s="9" t="s">
        <v>407</v>
      </c>
      <c r="F279" s="10" t="s">
        <v>408</v>
      </c>
      <c r="G279" s="52" t="str">
        <f t="shared" si="3"/>
        <v>Pregled</v>
      </c>
    </row>
    <row r="281" spans="5:7" ht="60">
      <c r="E281" s="256" t="s">
        <v>687</v>
      </c>
      <c r="F281" s="60" t="s">
        <v>688</v>
      </c>
      <c r="G281" s="61" t="str">
        <f>+IF(ISBLANK(IF($B$2=1,E281,F281)),"",IF($B$2=1,E281,F281))</f>
        <v>Kontakt:
e-mail: mf@mif.gov.me
tel/fax: 00 382 20 242 835</v>
      </c>
    </row>
    <row r="282" spans="5:7">
      <c r="E282" s="57"/>
    </row>
    <row r="283" spans="5:7">
      <c r="E283" s="58"/>
    </row>
    <row r="284" spans="5:7">
      <c r="E284" s="58"/>
    </row>
    <row r="285" spans="5:7">
      <c r="E285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L32"/>
  <sheetViews>
    <sheetView zoomScaleNormal="100" workbookViewId="0">
      <selection activeCell="S29" sqref="S29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128" t="str">
        <f>+[1]Master!G6</f>
        <v>Crna Gora</v>
      </c>
      <c r="I2" s="129"/>
    </row>
    <row r="3" spans="3:11" s="126" customFormat="1">
      <c r="E3" s="129" t="str">
        <f>+[1]Master!G7</f>
        <v>Ministarstvo finansija i socijalnog staranja</v>
      </c>
    </row>
    <row r="4" spans="3:11" s="126" customFormat="1">
      <c r="E4" s="129" t="str">
        <f>+[1]Master!G8</f>
        <v>Direktorat za državni budžet</v>
      </c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">
        <v>840</v>
      </c>
      <c r="E11" s="135"/>
      <c r="F11" s="135"/>
      <c r="G11" s="137" t="s">
        <v>841</v>
      </c>
      <c r="H11" s="135"/>
      <c r="I11" s="135"/>
      <c r="J11" s="135"/>
      <c r="K11" s="136"/>
    </row>
    <row r="12" spans="3:11">
      <c r="C12" s="134"/>
      <c r="D12" s="138">
        <f>'2022'!J10</f>
        <v>181994151.28</v>
      </c>
      <c r="E12" s="455">
        <f>D12/'2022'!$T$7</f>
        <v>3.4297103738881354E-2</v>
      </c>
      <c r="F12" s="135"/>
      <c r="G12" s="138">
        <f>'2022'!S10</f>
        <v>598554722.5</v>
      </c>
      <c r="H12" s="455">
        <f>G12/'2022'!$T$7</f>
        <v>0.11279864361902608</v>
      </c>
      <c r="I12" s="135"/>
      <c r="J12" s="135"/>
      <c r="K12" s="136"/>
    </row>
    <row r="13" spans="3:11">
      <c r="C13" s="134"/>
      <c r="D13" s="139" t="s">
        <v>417</v>
      </c>
      <c r="E13" s="139" t="s">
        <v>810</v>
      </c>
      <c r="F13" s="135"/>
      <c r="G13" s="139" t="s">
        <v>417</v>
      </c>
      <c r="H13" s="139" t="s">
        <v>810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">
        <v>842</v>
      </c>
      <c r="E15" s="135"/>
      <c r="F15" s="135"/>
      <c r="G15" s="137" t="s">
        <v>844</v>
      </c>
      <c r="H15" s="135"/>
      <c r="I15" s="135"/>
      <c r="J15" s="135"/>
      <c r="K15" s="136"/>
    </row>
    <row r="16" spans="3:11">
      <c r="C16" s="134"/>
      <c r="D16" s="138">
        <f>'2022'!J29</f>
        <v>196316924.41999996</v>
      </c>
      <c r="E16" s="455">
        <f>D16/'2022'!$T$7</f>
        <v>3.6996254413538363E-2</v>
      </c>
      <c r="F16" s="135"/>
      <c r="G16" s="138">
        <f>'2022'!S29</f>
        <v>634916138.03999996</v>
      </c>
      <c r="H16" s="455">
        <f>G16/'2022'!$T$7</f>
        <v>0.11965101350067842</v>
      </c>
      <c r="I16" s="135"/>
      <c r="J16" s="135"/>
      <c r="K16" s="136"/>
    </row>
    <row r="17" spans="3:12">
      <c r="C17" s="134"/>
      <c r="D17" s="139" t="s">
        <v>417</v>
      </c>
      <c r="E17" s="139" t="s">
        <v>810</v>
      </c>
      <c r="F17" s="135"/>
      <c r="G17" s="139" t="s">
        <v>417</v>
      </c>
      <c r="H17" s="139" t="s">
        <v>810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">
        <v>843</v>
      </c>
      <c r="E19" s="135"/>
      <c r="F19" s="135"/>
      <c r="G19" s="137" t="s">
        <v>845</v>
      </c>
      <c r="H19" s="135"/>
      <c r="I19" s="135"/>
      <c r="J19" s="135"/>
      <c r="K19" s="136"/>
    </row>
    <row r="20" spans="3:12">
      <c r="C20" s="134"/>
      <c r="D20" s="138">
        <f>'2022'!J53</f>
        <v>-14322773.139999956</v>
      </c>
      <c r="E20" s="455">
        <f>D20/'2022'!$T$7</f>
        <v>-2.6991506746570095E-3</v>
      </c>
      <c r="F20" s="135"/>
      <c r="G20" s="138">
        <f>'2022'!S53</f>
        <v>-36361415.539999947</v>
      </c>
      <c r="H20" s="455">
        <f>G20/'2022'!$T$7</f>
        <v>-6.8523698816523341E-3</v>
      </c>
      <c r="I20" s="135"/>
      <c r="J20" s="135"/>
      <c r="K20" s="136"/>
    </row>
    <row r="21" spans="3:12">
      <c r="C21" s="134"/>
      <c r="D21" s="139" t="s">
        <v>417</v>
      </c>
      <c r="E21" s="139" t="s">
        <v>810</v>
      </c>
      <c r="F21" s="135"/>
      <c r="G21" s="139" t="s">
        <v>417</v>
      </c>
      <c r="H21" s="139" t="s">
        <v>810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6"/>
    </row>
  </sheetData>
  <sheetProtection algorithmName="SHA-512" hashValue="/6Q0BvRDa8Lr6gxewLLOiTqt7VSsrIKrlezT7HOBiclLw9Xe1Qou0bsM4lP1TovsINyoHdzIuBFNmDmubcQjeQ==" saltValue="CASe5dBkzg9sXe5+Py+Zbw==" spinCount="100000" sheet="1" objects="1" scenarios="1" selectLockedCells="1" selectUnlockedCells="1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9089" r:id="rId3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0" r:id="rId4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W70"/>
  <sheetViews>
    <sheetView tabSelected="1" zoomScale="85" zoomScaleNormal="85" workbookViewId="0">
      <pane ySplit="5" topLeftCell="A27" activePane="bottomLeft" state="frozen"/>
      <selection activeCell="DK219" sqref="DK219"/>
      <selection pane="bottomLeft" activeCell="L53" sqref="L53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59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7109375" style="5" bestFit="1" customWidth="1"/>
    <col min="15" max="15" width="11.42578125" style="5" customWidth="1"/>
    <col min="16" max="17" width="12.140625" style="5" customWidth="1"/>
    <col min="18" max="18" width="13.42578125" style="5" customWidth="1"/>
    <col min="19" max="25" width="9.140625" style="5"/>
    <col min="26" max="26" width="11.28515625" style="5" bestFit="1" customWidth="1"/>
    <col min="27" max="16384" width="9.140625" style="5"/>
  </cols>
  <sheetData>
    <row r="1" spans="1:20" s="1" customFormat="1">
      <c r="G1" s="355"/>
    </row>
    <row r="2" spans="1:20" s="1" customFormat="1">
      <c r="C2" s="2"/>
      <c r="E2" s="3" t="str">
        <f>+Master!G6</f>
        <v>Crna Gora</v>
      </c>
      <c r="G2" s="355"/>
      <c r="I2" s="4"/>
      <c r="P2" s="363"/>
    </row>
    <row r="3" spans="1:20" s="1" customFormat="1">
      <c r="B3" s="163"/>
      <c r="E3" s="4" t="str">
        <f>+Master!G7</f>
        <v>Ministarstvo finansija i socijalnog staranja</v>
      </c>
      <c r="G3" s="355"/>
    </row>
    <row r="4" spans="1:20" s="1" customFormat="1">
      <c r="B4" s="163"/>
      <c r="E4" s="4" t="str">
        <f>+Master!G8</f>
        <v>Direktorat za državni budžet</v>
      </c>
      <c r="G4" s="355"/>
      <c r="H4" s="363"/>
      <c r="I4" s="363"/>
      <c r="J4" s="363"/>
      <c r="N4" s="484"/>
      <c r="P4" s="484"/>
      <c r="Q4" s="484"/>
    </row>
    <row r="5" spans="1:20" s="1" customFormat="1">
      <c r="B5" s="484"/>
      <c r="G5" s="163"/>
      <c r="H5" s="163"/>
      <c r="N5" s="484"/>
      <c r="P5" s="484"/>
    </row>
    <row r="6" spans="1:20" ht="15.75" thickBot="1">
      <c r="A6" s="130"/>
      <c r="B6" s="130"/>
      <c r="C6" s="130"/>
      <c r="D6" s="130"/>
      <c r="E6" s="130"/>
      <c r="F6" s="130"/>
      <c r="G6" s="356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2022-04</v>
      </c>
      <c r="O6" s="143" t="str">
        <f>+CONCATENATE(N6,"p")</f>
        <v>2022-04p</v>
      </c>
      <c r="P6" s="130"/>
      <c r="Q6" s="130"/>
      <c r="R6" s="143" t="str">
        <f>+IF(Master!B3-10&gt;=0,CONCATENATE(Master!B4-1,"-",Master!B3),CONCATENATE(Master!B4-1,"-0",Master!B3))</f>
        <v>2021-04</v>
      </c>
      <c r="S6" s="130"/>
      <c r="T6" s="130"/>
    </row>
    <row r="7" spans="1:20" ht="14.25" customHeight="1">
      <c r="A7" s="144"/>
      <c r="B7" s="535" t="str">
        <f>+Master!G253</f>
        <v>Analitika za period Jan - Apr</v>
      </c>
      <c r="C7" s="536"/>
      <c r="D7" s="536"/>
      <c r="E7" s="536"/>
      <c r="F7" s="536"/>
      <c r="G7" s="544" t="str">
        <f>+Master!G245</f>
        <v>Jan - Apr</v>
      </c>
      <c r="H7" s="545"/>
      <c r="I7" s="545"/>
      <c r="J7" s="545"/>
      <c r="K7" s="545"/>
      <c r="L7" s="545"/>
      <c r="M7" s="546"/>
      <c r="N7" s="547" t="str">
        <f>+Master!G244</f>
        <v>April</v>
      </c>
      <c r="O7" s="545"/>
      <c r="P7" s="545"/>
      <c r="Q7" s="545"/>
      <c r="R7" s="545"/>
      <c r="S7" s="545"/>
      <c r="T7" s="548"/>
    </row>
    <row r="8" spans="1:20">
      <c r="A8" s="144"/>
      <c r="B8" s="537"/>
      <c r="C8" s="538"/>
      <c r="D8" s="538"/>
      <c r="E8" s="538"/>
      <c r="F8" s="539"/>
      <c r="G8" s="357" t="str">
        <f>+Master!G25</f>
        <v>Ostvarenje</v>
      </c>
      <c r="H8" s="145" t="str">
        <f>+Master!G24</f>
        <v>Plan</v>
      </c>
      <c r="I8" s="533" t="str">
        <f>+Master!G260</f>
        <v>Odstupanje</v>
      </c>
      <c r="J8" s="533"/>
      <c r="K8" s="145" t="str">
        <f>+CONCATENATE(Master!G245," ",Master!B4-1)</f>
        <v>Jan - Apr 2021</v>
      </c>
      <c r="L8" s="533" t="str">
        <f>+I8</f>
        <v>Odstupanje</v>
      </c>
      <c r="M8" s="543"/>
      <c r="N8" s="146" t="str">
        <f>+G8</f>
        <v>Ostvarenje</v>
      </c>
      <c r="O8" s="145" t="str">
        <f>+H8</f>
        <v>Plan</v>
      </c>
      <c r="P8" s="533" t="str">
        <f>+I8</f>
        <v>Odstupanje</v>
      </c>
      <c r="Q8" s="533"/>
      <c r="R8" s="145" t="str">
        <f>+CONCATENATE(Master!G244," ",Master!B4-1)</f>
        <v>April 2021</v>
      </c>
      <c r="S8" s="533" t="str">
        <f>+P8</f>
        <v>Odstupanje</v>
      </c>
      <c r="T8" s="534"/>
    </row>
    <row r="9" spans="1:20" ht="15.75" thickBot="1">
      <c r="A9" s="144"/>
      <c r="B9" s="540"/>
      <c r="C9" s="541"/>
      <c r="D9" s="541"/>
      <c r="E9" s="541"/>
      <c r="F9" s="542"/>
      <c r="G9" s="358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15" t="str">
        <f>+VLOOKUP($A10,Master!$D$29:$G$225,4,FALSE)</f>
        <v>Prihodi budžeta</v>
      </c>
      <c r="C10" s="516"/>
      <c r="D10" s="516"/>
      <c r="E10" s="516"/>
      <c r="F10" s="516"/>
      <c r="G10" s="151">
        <f>'2022'!S10</f>
        <v>598554722.5</v>
      </c>
      <c r="H10" s="151">
        <f>SUM('2022'!G84:J84)</f>
        <v>527985357.86068571</v>
      </c>
      <c r="I10" s="152">
        <f>+G10-H10</f>
        <v>70569364.639314294</v>
      </c>
      <c r="J10" s="154">
        <f>IF(+IF(ISERROR(G10/H10),"…",G10/H10-1)&gt;200%,"...",IF(ISERROR(G10/H10),"…",G10/H10-1))</f>
        <v>0.1336578062036613</v>
      </c>
      <c r="K10" s="151">
        <f>SUM('2021'!G10:J10)</f>
        <v>492535470.15999997</v>
      </c>
      <c r="L10" s="152">
        <f>+G10-K10</f>
        <v>106019252.34000003</v>
      </c>
      <c r="M10" s="154">
        <f>IF(+IF(ISERROR(G10/K10),"…",G10/K10-1)&gt;200%,"...",IF(ISERROR(G10/K10),"…",G10/K10-1))</f>
        <v>0.21525201485602596</v>
      </c>
      <c r="N10" s="151">
        <f>'2022'!J10</f>
        <v>181994151.28</v>
      </c>
      <c r="O10" s="151">
        <f>'2022'!J84</f>
        <v>161889007.68791279</v>
      </c>
      <c r="P10" s="152">
        <f>+N10-O10</f>
        <v>20105143.592087209</v>
      </c>
      <c r="Q10" s="154">
        <f>IF(+IF(ISERROR(N10/O10),"…",N10/O10-1)&gt;200%,"...",IF(ISERROR(N10/O10),"…",N10/O10-1))</f>
        <v>0.12419091252227332</v>
      </c>
      <c r="R10" s="151">
        <f>'2021'!I10</f>
        <v>154192756.19</v>
      </c>
      <c r="S10" s="152">
        <f>+N10-R10</f>
        <v>27801395.090000004</v>
      </c>
      <c r="T10" s="154">
        <f>IF(+IF(ISERROR(N10/R10),"…",N10/R10-1)&gt;200%,"...",IF(ISERROR(N10/R10),"…",N10/R10-1))</f>
        <v>0.18030286102248838</v>
      </c>
    </row>
    <row r="11" spans="1:20">
      <c r="A11" s="150">
        <v>711</v>
      </c>
      <c r="B11" s="505" t="str">
        <f>+VLOOKUP($A11,Master!$D$29:$G$225,4,FALSE)</f>
        <v>Porezi</v>
      </c>
      <c r="C11" s="506"/>
      <c r="D11" s="506"/>
      <c r="E11" s="506"/>
      <c r="F11" s="506"/>
      <c r="G11" s="277">
        <f>'2022'!S11</f>
        <v>434117319.49000007</v>
      </c>
      <c r="H11" s="277">
        <f>SUM('2022'!G85:J85)</f>
        <v>360641841.14662415</v>
      </c>
      <c r="I11" s="158">
        <f t="shared" ref="I11:I57" si="0">+G11-H11</f>
        <v>73475478.343375921</v>
      </c>
      <c r="J11" s="160">
        <f t="shared" ref="J11:J64" si="1">IF(+IF(ISERROR(G11/H11-1),"…",G11/H11-1)&gt;200%,"...",IF(ISERROR(G11/H11-1),"…",G11/H11-1))</f>
        <v>0.20373531287930446</v>
      </c>
      <c r="K11" s="277">
        <f>SUM('2021'!G11:J11)</f>
        <v>321253401.16000003</v>
      </c>
      <c r="L11" s="158">
        <f>+G11-K11</f>
        <v>112863918.33000004</v>
      </c>
      <c r="M11" s="160">
        <f t="shared" ref="M11:M64" si="2">IF(+IF(ISERROR(G11/K11),"…",G11/K11-1)&gt;200%,"...",IF(ISERROR(G11/K11),"…",G11/K11-1))</f>
        <v>0.35132365267562804</v>
      </c>
      <c r="N11" s="277">
        <f>'2022'!J11</f>
        <v>133978505.54000001</v>
      </c>
      <c r="O11" s="277">
        <f>'2022'!J85</f>
        <v>109215070.37754746</v>
      </c>
      <c r="P11" s="158">
        <f>+N11-O11</f>
        <v>24763435.162452549</v>
      </c>
      <c r="Q11" s="160">
        <f t="shared" ref="Q11:Q64" si="3">IF(+IF(ISERROR(N11/O11),"…",N11/O11-1)&gt;200%,"...",IF(ISERROR(N11/O11),"…",N11/O11-1))</f>
        <v>0.2267400925242955</v>
      </c>
      <c r="R11" s="277">
        <f>'2021'!I11</f>
        <v>99466337.219999999</v>
      </c>
      <c r="S11" s="158">
        <f t="shared" ref="S11:S57" si="4">+N11-R11</f>
        <v>34512168.320000008</v>
      </c>
      <c r="T11" s="160">
        <f t="shared" ref="T11:T64" si="5">IF(+IF(ISERROR(N11/R11),"…",N11/R11-1)&gt;200%,"...",IF(ISERROR(N11/R11),"…",N11/R11-1))</f>
        <v>0.346973350829898</v>
      </c>
    </row>
    <row r="12" spans="1:20">
      <c r="A12" s="150">
        <v>7111</v>
      </c>
      <c r="B12" s="507" t="str">
        <f>+VLOOKUP($A12,Master!$D$29:$G$225,4,FALSE)</f>
        <v>Porez na dohodak fizičkih lica</v>
      </c>
      <c r="C12" s="508"/>
      <c r="D12" s="508"/>
      <c r="E12" s="508"/>
      <c r="F12" s="508"/>
      <c r="G12" s="163">
        <f>'2022'!S12</f>
        <v>28527686.41</v>
      </c>
      <c r="H12" s="163">
        <f>SUM('2022'!G86:J86)</f>
        <v>35807797.813836746</v>
      </c>
      <c r="I12" s="164">
        <f t="shared" si="0"/>
        <v>-7280111.4038367458</v>
      </c>
      <c r="J12" s="166">
        <f t="shared" si="1"/>
        <v>-0.20331078279892389</v>
      </c>
      <c r="K12" s="163">
        <f>SUM('2021'!G12:J12)</f>
        <v>31997644.600000001</v>
      </c>
      <c r="L12" s="164">
        <f>+G12-K12</f>
        <v>-3469958.1900000013</v>
      </c>
      <c r="M12" s="166">
        <f t="shared" si="2"/>
        <v>-0.1084441756066008</v>
      </c>
      <c r="N12" s="163">
        <f>'2022'!J12</f>
        <v>8050769.3899999997</v>
      </c>
      <c r="O12" s="163">
        <f>'2022'!J86</f>
        <v>12249334.247183047</v>
      </c>
      <c r="P12" s="164">
        <f t="shared" ref="P12:P57" si="6">+N12-O12</f>
        <v>-4198564.8571830476</v>
      </c>
      <c r="Q12" s="166">
        <f t="shared" si="3"/>
        <v>-0.34275861630182736</v>
      </c>
      <c r="R12" s="163">
        <f>'2021'!I12</f>
        <v>10457309.710000001</v>
      </c>
      <c r="S12" s="164">
        <f t="shared" si="4"/>
        <v>-2406540.3200000012</v>
      </c>
      <c r="T12" s="166">
        <f t="shared" si="5"/>
        <v>-0.23012996523366824</v>
      </c>
    </row>
    <row r="13" spans="1:20">
      <c r="A13" s="150">
        <v>7112</v>
      </c>
      <c r="B13" s="507" t="str">
        <f>+VLOOKUP($A13,Master!$D$29:$G$225,4,FALSE)</f>
        <v>Porez na dobit pravnih lica</v>
      </c>
      <c r="C13" s="508"/>
      <c r="D13" s="508"/>
      <c r="E13" s="508"/>
      <c r="F13" s="508"/>
      <c r="G13" s="163">
        <f>'2022'!S13</f>
        <v>70019960.789999992</v>
      </c>
      <c r="H13" s="163">
        <f>SUM('2022'!G87:J87)</f>
        <v>54535394.062304914</v>
      </c>
      <c r="I13" s="164">
        <f t="shared" si="0"/>
        <v>15484566.727695078</v>
      </c>
      <c r="J13" s="166">
        <f t="shared" si="1"/>
        <v>0.28393609313622026</v>
      </c>
      <c r="K13" s="163">
        <f>SUM('2021'!G13:J13)</f>
        <v>48642282.089999996</v>
      </c>
      <c r="L13" s="164">
        <f t="shared" ref="L13:L57" si="7">+G13-K13</f>
        <v>21377678.699999996</v>
      </c>
      <c r="M13" s="166">
        <f t="shared" si="2"/>
        <v>0.43948757709282882</v>
      </c>
      <c r="N13" s="163">
        <f>'2022'!J13</f>
        <v>28771681.68</v>
      </c>
      <c r="O13" s="163">
        <f>'2022'!J87</f>
        <v>22814989.281143885</v>
      </c>
      <c r="P13" s="164">
        <f t="shared" si="6"/>
        <v>5956692.3988561146</v>
      </c>
      <c r="Q13" s="166">
        <f t="shared" si="3"/>
        <v>0.26108679366241017</v>
      </c>
      <c r="R13" s="163">
        <f>'2021'!I13</f>
        <v>28472275</v>
      </c>
      <c r="S13" s="164">
        <f t="shared" si="4"/>
        <v>299406.6799999997</v>
      </c>
      <c r="T13" s="166">
        <f t="shared" si="5"/>
        <v>1.0515727317188306E-2</v>
      </c>
    </row>
    <row r="14" spans="1:20">
      <c r="A14" s="150">
        <v>7113</v>
      </c>
      <c r="B14" s="507" t="str">
        <f>+VLOOKUP($A14,Master!$D$29:$G$225,4,FALSE)</f>
        <v>Porez na promet nepokretnosti</v>
      </c>
      <c r="C14" s="508"/>
      <c r="D14" s="508"/>
      <c r="E14" s="508"/>
      <c r="F14" s="508"/>
      <c r="G14" s="163">
        <f>'2022'!S14</f>
        <v>793573.93</v>
      </c>
      <c r="H14" s="163">
        <f>SUM('2022'!G88:J88)</f>
        <v>607042.51859226706</v>
      </c>
      <c r="I14" s="164">
        <f t="shared" si="0"/>
        <v>186531.41140773299</v>
      </c>
      <c r="J14" s="166">
        <f t="shared" si="1"/>
        <v>0.30727898902419515</v>
      </c>
      <c r="K14" s="163">
        <f>SUM('2021'!G14:J14)</f>
        <v>449543.81999999995</v>
      </c>
      <c r="L14" s="164">
        <f t="shared" si="7"/>
        <v>344030.1100000001</v>
      </c>
      <c r="M14" s="166">
        <f t="shared" si="2"/>
        <v>0.76528715265177083</v>
      </c>
      <c r="N14" s="163">
        <f>'2022'!J14</f>
        <v>245580.28</v>
      </c>
      <c r="O14" s="163">
        <f>'2022'!J88</f>
        <v>168679.89751277707</v>
      </c>
      <c r="P14" s="164">
        <f t="shared" si="6"/>
        <v>76900.382487222931</v>
      </c>
      <c r="Q14" s="166">
        <f t="shared" si="3"/>
        <v>0.45589535932340675</v>
      </c>
      <c r="R14" s="163">
        <f>'2021'!I14</f>
        <v>106253.15</v>
      </c>
      <c r="S14" s="164">
        <f t="shared" si="4"/>
        <v>139327.13</v>
      </c>
      <c r="T14" s="166">
        <f t="shared" si="5"/>
        <v>1.3112752892502484</v>
      </c>
    </row>
    <row r="15" spans="1:20">
      <c r="A15" s="150">
        <v>7114</v>
      </c>
      <c r="B15" s="507" t="str">
        <f>+VLOOKUP($A15,Master!$D$29:$G$225,4,FALSE)</f>
        <v>Porez na dodatu vrijednost</v>
      </c>
      <c r="C15" s="508"/>
      <c r="D15" s="508"/>
      <c r="E15" s="508"/>
      <c r="F15" s="508"/>
      <c r="G15" s="163">
        <f>'2022'!S15</f>
        <v>244898670.87</v>
      </c>
      <c r="H15" s="163">
        <f>SUM('2022'!G89:J89)</f>
        <v>192008261.16794083</v>
      </c>
      <c r="I15" s="164">
        <f t="shared" si="0"/>
        <v>52890409.70205918</v>
      </c>
      <c r="J15" s="166">
        <f t="shared" si="1"/>
        <v>0.2754590317121739</v>
      </c>
      <c r="K15" s="163">
        <f>SUM('2021'!G15:J15)</f>
        <v>171805579.81</v>
      </c>
      <c r="L15" s="164">
        <f t="shared" si="7"/>
        <v>73093091.060000002</v>
      </c>
      <c r="M15" s="166">
        <f t="shared" si="2"/>
        <v>0.42544072864707738</v>
      </c>
      <c r="N15" s="163">
        <f>'2022'!J15</f>
        <v>73487462.640000001</v>
      </c>
      <c r="O15" s="163">
        <f>'2022'!J89</f>
        <v>53003514.578586213</v>
      </c>
      <c r="P15" s="164">
        <f t="shared" si="6"/>
        <v>20483948.061413787</v>
      </c>
      <c r="Q15" s="166">
        <f t="shared" si="3"/>
        <v>0.38646395855586224</v>
      </c>
      <c r="R15" s="163">
        <f>'2021'!I15</f>
        <v>44544288.810000002</v>
      </c>
      <c r="S15" s="164">
        <f t="shared" si="4"/>
        <v>28943173.829999998</v>
      </c>
      <c r="T15" s="166">
        <f t="shared" si="5"/>
        <v>0.64976172261846465</v>
      </c>
    </row>
    <row r="16" spans="1:20">
      <c r="A16" s="150">
        <v>7115</v>
      </c>
      <c r="B16" s="507" t="str">
        <f>+VLOOKUP($A16,Master!$D$29:$G$225,4,FALSE)</f>
        <v>Akcize</v>
      </c>
      <c r="C16" s="508"/>
      <c r="D16" s="508"/>
      <c r="E16" s="508"/>
      <c r="F16" s="508"/>
      <c r="G16" s="163">
        <f>'2022'!S16</f>
        <v>75947887.25999999</v>
      </c>
      <c r="H16" s="163">
        <f>SUM('2022'!G90:J90)</f>
        <v>65801683.759379178</v>
      </c>
      <c r="I16" s="164">
        <f t="shared" si="0"/>
        <v>10146203.500620812</v>
      </c>
      <c r="J16" s="166">
        <f t="shared" si="1"/>
        <v>0.15419367592055888</v>
      </c>
      <c r="K16" s="163">
        <f>SUM('2021'!G16:J16)</f>
        <v>57939694.609999999</v>
      </c>
      <c r="L16" s="164">
        <f t="shared" si="7"/>
        <v>18008192.649999991</v>
      </c>
      <c r="M16" s="166">
        <f t="shared" si="2"/>
        <v>0.31080924349387051</v>
      </c>
      <c r="N16" s="163">
        <f>'2022'!J16</f>
        <v>19259652.579999998</v>
      </c>
      <c r="O16" s="163">
        <f>'2022'!J90</f>
        <v>17361043.168040603</v>
      </c>
      <c r="P16" s="164">
        <f t="shared" si="6"/>
        <v>1898609.4119593948</v>
      </c>
      <c r="Q16" s="166">
        <f t="shared" si="3"/>
        <v>0.10936033011279434</v>
      </c>
      <c r="R16" s="163">
        <f>'2021'!I16</f>
        <v>12802969.220000001</v>
      </c>
      <c r="S16" s="164">
        <f t="shared" si="4"/>
        <v>6456683.3599999975</v>
      </c>
      <c r="T16" s="166">
        <f t="shared" si="5"/>
        <v>0.5043114022264279</v>
      </c>
    </row>
    <row r="17" spans="1:20">
      <c r="A17" s="150">
        <v>7116</v>
      </c>
      <c r="B17" s="507" t="str">
        <f>+VLOOKUP($A17,Master!$D$29:$G$225,4,FALSE)</f>
        <v>Porez na međunarodnu trgovinu i transakcije</v>
      </c>
      <c r="C17" s="508"/>
      <c r="D17" s="508"/>
      <c r="E17" s="508"/>
      <c r="F17" s="508"/>
      <c r="G17" s="163">
        <f>'2022'!S17</f>
        <v>10234284.01</v>
      </c>
      <c r="H17" s="163">
        <f>SUM('2022'!G91:J91)</f>
        <v>8378937.4783964045</v>
      </c>
      <c r="I17" s="164">
        <f t="shared" si="0"/>
        <v>1855346.5316035952</v>
      </c>
      <c r="J17" s="166">
        <f t="shared" si="1"/>
        <v>0.22142980973271076</v>
      </c>
      <c r="K17" s="163">
        <f>SUM('2021'!G17:J17)</f>
        <v>7175474.5800000001</v>
      </c>
      <c r="L17" s="164">
        <f t="shared" si="7"/>
        <v>3058809.4299999997</v>
      </c>
      <c r="M17" s="166">
        <f t="shared" si="2"/>
        <v>0.42628670701806026</v>
      </c>
      <c r="N17" s="163">
        <f>'2022'!J17</f>
        <v>3111315.33</v>
      </c>
      <c r="O17" s="163">
        <f>'2022'!J91</f>
        <v>2633161.7547204318</v>
      </c>
      <c r="P17" s="164">
        <f t="shared" si="6"/>
        <v>478153.57527956832</v>
      </c>
      <c r="Q17" s="166">
        <f t="shared" si="3"/>
        <v>0.18158913876915816</v>
      </c>
      <c r="R17" s="163">
        <f>'2021'!I17</f>
        <v>2245463.5699999998</v>
      </c>
      <c r="S17" s="164">
        <f t="shared" si="4"/>
        <v>865851.76000000024</v>
      </c>
      <c r="T17" s="166">
        <f t="shared" si="5"/>
        <v>0.38560044864143594</v>
      </c>
    </row>
    <row r="18" spans="1:20">
      <c r="A18" s="150">
        <v>7118</v>
      </c>
      <c r="B18" s="507" t="str">
        <f>+VLOOKUP($A18,Master!$D$29:$G$225,4,FALSE)</f>
        <v>Ostali državni porezi</v>
      </c>
      <c r="C18" s="508"/>
      <c r="D18" s="508"/>
      <c r="E18" s="508"/>
      <c r="F18" s="508"/>
      <c r="G18" s="163">
        <f>'2022'!S18</f>
        <v>3695256.2199999997</v>
      </c>
      <c r="H18" s="163">
        <f>SUM('2022'!G92:J92)</f>
        <v>3502724.3461738569</v>
      </c>
      <c r="I18" s="164">
        <f t="shared" si="0"/>
        <v>192531.87382614287</v>
      </c>
      <c r="J18" s="166">
        <f t="shared" si="1"/>
        <v>5.4966321867848889E-2</v>
      </c>
      <c r="K18" s="163">
        <f>SUM('2021'!G18:J18)</f>
        <v>3243181.6500000004</v>
      </c>
      <c r="L18" s="164">
        <f t="shared" si="7"/>
        <v>452074.56999999937</v>
      </c>
      <c r="M18" s="166">
        <f t="shared" si="2"/>
        <v>0.13939230631747046</v>
      </c>
      <c r="N18" s="163">
        <f>'2022'!J18</f>
        <v>1052043.6399999999</v>
      </c>
      <c r="O18" s="163">
        <f>'2022'!J92</f>
        <v>984347.45036050549</v>
      </c>
      <c r="P18" s="164">
        <f t="shared" si="6"/>
        <v>67696.189639494405</v>
      </c>
      <c r="Q18" s="166">
        <f t="shared" si="3"/>
        <v>6.8772657068092657E-2</v>
      </c>
      <c r="R18" s="163">
        <f>'2021'!I18</f>
        <v>837777.76</v>
      </c>
      <c r="S18" s="164">
        <f t="shared" si="4"/>
        <v>214265.87999999989</v>
      </c>
      <c r="T18" s="166">
        <f t="shared" si="5"/>
        <v>0.25575503460488114</v>
      </c>
    </row>
    <row r="19" spans="1:20">
      <c r="A19" s="150">
        <v>712</v>
      </c>
      <c r="B19" s="509" t="str">
        <f>+VLOOKUP($A19,Master!$D$29:$G$225,4,FALSE)</f>
        <v>Doprinosi</v>
      </c>
      <c r="C19" s="510"/>
      <c r="D19" s="510"/>
      <c r="E19" s="510"/>
      <c r="F19" s="510"/>
      <c r="G19" s="169">
        <f>'2022'!S19</f>
        <v>121365346.22999999</v>
      </c>
      <c r="H19" s="169">
        <f>SUM('2022'!G93:J93)</f>
        <v>128237942.17716418</v>
      </c>
      <c r="I19" s="170">
        <f t="shared" si="0"/>
        <v>-6872595.9471641928</v>
      </c>
      <c r="J19" s="172">
        <f t="shared" si="1"/>
        <v>-5.359253143402376E-2</v>
      </c>
      <c r="K19" s="169">
        <f>SUM('2021'!G19:J19)</f>
        <v>143788136.77000001</v>
      </c>
      <c r="L19" s="170">
        <f t="shared" si="7"/>
        <v>-22422790.540000021</v>
      </c>
      <c r="M19" s="172">
        <f t="shared" si="2"/>
        <v>-0.15594325821098143</v>
      </c>
      <c r="N19" s="169">
        <f>'2022'!J19</f>
        <v>37592490.479999997</v>
      </c>
      <c r="O19" s="169">
        <f>'2022'!J93</f>
        <v>42715012.505468771</v>
      </c>
      <c r="P19" s="170">
        <f t="shared" si="6"/>
        <v>-5122522.0254687741</v>
      </c>
      <c r="Q19" s="172">
        <f t="shared" si="3"/>
        <v>-0.11992322429527424</v>
      </c>
      <c r="R19" s="169">
        <f>'2021'!I19</f>
        <v>47599893.060000002</v>
      </c>
      <c r="S19" s="170">
        <f t="shared" si="4"/>
        <v>-10007402.580000006</v>
      </c>
      <c r="T19" s="172">
        <f t="shared" si="5"/>
        <v>-0.21024002233336125</v>
      </c>
    </row>
    <row r="20" spans="1:20">
      <c r="A20" s="150">
        <v>7121</v>
      </c>
      <c r="B20" s="507" t="str">
        <f>+VLOOKUP($A20,Master!$D$29:$G$225,4,FALSE)</f>
        <v>Doprinosi za penzijsko i invalidsko osiguranje</v>
      </c>
      <c r="C20" s="508"/>
      <c r="D20" s="508"/>
      <c r="E20" s="508"/>
      <c r="F20" s="508"/>
      <c r="G20" s="163">
        <f>'2022'!S20</f>
        <v>96797513.269999996</v>
      </c>
      <c r="H20" s="163">
        <f>SUM('2022'!G94:J94)</f>
        <v>110232370.95252931</v>
      </c>
      <c r="I20" s="164">
        <f t="shared" si="0"/>
        <v>-13434857.682529315</v>
      </c>
      <c r="J20" s="166">
        <f t="shared" si="1"/>
        <v>-0.12187760787904067</v>
      </c>
      <c r="K20" s="163">
        <f>SUM('2021'!G20:J20)</f>
        <v>88440862.120000005</v>
      </c>
      <c r="L20" s="164">
        <f t="shared" si="7"/>
        <v>8356651.1499999911</v>
      </c>
      <c r="M20" s="166">
        <f t="shared" si="2"/>
        <v>9.4488576317374173E-2</v>
      </c>
      <c r="N20" s="163">
        <f>'2022'!J20</f>
        <v>32988975.75</v>
      </c>
      <c r="O20" s="163">
        <f>'2022'!J94</f>
        <v>38211450.90576046</v>
      </c>
      <c r="P20" s="164">
        <f t="shared" si="6"/>
        <v>-5222475.1557604596</v>
      </c>
      <c r="Q20" s="166">
        <f t="shared" si="3"/>
        <v>-0.13667303993874669</v>
      </c>
      <c r="R20" s="163">
        <f>'2021'!I20</f>
        <v>29662575.77</v>
      </c>
      <c r="S20" s="164">
        <f t="shared" si="4"/>
        <v>3326399.9800000004</v>
      </c>
      <c r="T20" s="166">
        <f t="shared" si="5"/>
        <v>0.11214130579193471</v>
      </c>
    </row>
    <row r="21" spans="1:20">
      <c r="A21" s="150">
        <v>7122</v>
      </c>
      <c r="B21" s="507" t="str">
        <f>+VLOOKUP($A21,Master!$D$29:$G$225,4,FALSE)</f>
        <v>Doprinosi za zdravstveno osiguranje</v>
      </c>
      <c r="C21" s="508"/>
      <c r="D21" s="508"/>
      <c r="E21" s="508"/>
      <c r="F21" s="508"/>
      <c r="G21" s="163">
        <f>'2022'!S21</f>
        <v>16915854.539999999</v>
      </c>
      <c r="H21" s="163">
        <f>SUM('2022'!G95:J95)</f>
        <v>8378974.6874089986</v>
      </c>
      <c r="I21" s="164">
        <f t="shared" si="0"/>
        <v>8536879.8525910005</v>
      </c>
      <c r="J21" s="166">
        <f t="shared" si="1"/>
        <v>1.0188454042496731</v>
      </c>
      <c r="K21" s="163">
        <f>SUM('2021'!G21:J21)</f>
        <v>47576082.960000001</v>
      </c>
      <c r="L21" s="164">
        <f t="shared" si="7"/>
        <v>-30660228.420000002</v>
      </c>
      <c r="M21" s="166">
        <f t="shared" si="2"/>
        <v>-0.64444625350468332</v>
      </c>
      <c r="N21" s="163">
        <f>'2022'!J21</f>
        <v>1899377.01</v>
      </c>
      <c r="O21" s="163">
        <f>'2022'!J95</f>
        <v>1387272.7272727001</v>
      </c>
      <c r="P21" s="164">
        <f t="shared" si="6"/>
        <v>512104.28272729996</v>
      </c>
      <c r="Q21" s="166">
        <f t="shared" si="3"/>
        <v>0.36914463368285788</v>
      </c>
      <c r="R21" s="163">
        <f>'2021'!I21</f>
        <v>15296477.220000001</v>
      </c>
      <c r="S21" s="164">
        <f t="shared" si="4"/>
        <v>-13397100.210000001</v>
      </c>
      <c r="T21" s="166">
        <f t="shared" si="5"/>
        <v>-0.87582912178520544</v>
      </c>
    </row>
    <row r="22" spans="1:20">
      <c r="A22" s="150">
        <v>7123</v>
      </c>
      <c r="B22" s="507" t="str">
        <f>+VLOOKUP($A22,Master!$D$29:$G$225,4,FALSE)</f>
        <v>Doprinosi za osiguranje od nezaposlenosti</v>
      </c>
      <c r="C22" s="508"/>
      <c r="D22" s="508"/>
      <c r="E22" s="508"/>
      <c r="F22" s="508"/>
      <c r="G22" s="163">
        <f>'2022'!S22</f>
        <v>4402942.71</v>
      </c>
      <c r="H22" s="163">
        <f>SUM('2022'!G96:J96)</f>
        <v>5214401.3897160431</v>
      </c>
      <c r="I22" s="164">
        <f t="shared" si="0"/>
        <v>-811458.67971604317</v>
      </c>
      <c r="J22" s="166">
        <f t="shared" si="1"/>
        <v>-0.15561876025049004</v>
      </c>
      <c r="K22" s="163">
        <f>SUM('2021'!G22:J22)</f>
        <v>4307119.62</v>
      </c>
      <c r="L22" s="164">
        <f t="shared" si="7"/>
        <v>95823.089999999851</v>
      </c>
      <c r="M22" s="166">
        <f t="shared" si="2"/>
        <v>2.224760360846445E-2</v>
      </c>
      <c r="N22" s="163">
        <f>'2022'!J22</f>
        <v>1501790.24</v>
      </c>
      <c r="O22" s="163">
        <f>'2022'!J96</f>
        <v>1626153.9845466164</v>
      </c>
      <c r="P22" s="164">
        <f t="shared" si="6"/>
        <v>-124363.74454661645</v>
      </c>
      <c r="Q22" s="166">
        <f t="shared" si="3"/>
        <v>-7.6477225237245872E-2</v>
      </c>
      <c r="R22" s="163">
        <f>'2021'!I22</f>
        <v>1459515.26</v>
      </c>
      <c r="S22" s="164">
        <f t="shared" si="4"/>
        <v>42274.979999999981</v>
      </c>
      <c r="T22" s="166">
        <f t="shared" si="5"/>
        <v>2.8965082557615762E-2</v>
      </c>
    </row>
    <row r="23" spans="1:20">
      <c r="A23" s="150">
        <v>7124</v>
      </c>
      <c r="B23" s="507" t="str">
        <f>+VLOOKUP($A23,Master!$D$29:$G$225,4,FALSE)</f>
        <v>Ostali doprinosi</v>
      </c>
      <c r="C23" s="508"/>
      <c r="D23" s="508"/>
      <c r="E23" s="508"/>
      <c r="F23" s="508"/>
      <c r="G23" s="163">
        <f>'2022'!S23</f>
        <v>3249035.71</v>
      </c>
      <c r="H23" s="163">
        <f>SUM('2022'!G97:J97)</f>
        <v>4412195.1475098273</v>
      </c>
      <c r="I23" s="164">
        <f t="shared" si="0"/>
        <v>-1163159.4375098273</v>
      </c>
      <c r="J23" s="166">
        <f t="shared" si="1"/>
        <v>-0.26362375158458162</v>
      </c>
      <c r="K23" s="163">
        <f>SUM('2021'!G23:J23)</f>
        <v>3464072.0700000003</v>
      </c>
      <c r="L23" s="164">
        <f t="shared" si="7"/>
        <v>-215036.36000000034</v>
      </c>
      <c r="M23" s="166">
        <f t="shared" si="2"/>
        <v>-6.2076179610200843E-2</v>
      </c>
      <c r="N23" s="163">
        <f>'2022'!J23</f>
        <v>1202347.48</v>
      </c>
      <c r="O23" s="163">
        <f>'2022'!J97</f>
        <v>1490134.8878889994</v>
      </c>
      <c r="P23" s="164">
        <f t="shared" si="6"/>
        <v>-287787.40788899944</v>
      </c>
      <c r="Q23" s="166">
        <f t="shared" si="3"/>
        <v>-0.19312842765307892</v>
      </c>
      <c r="R23" s="163">
        <f>'2021'!I23</f>
        <v>1181324.81</v>
      </c>
      <c r="S23" s="164">
        <f t="shared" si="4"/>
        <v>21022.669999999925</v>
      </c>
      <c r="T23" s="166">
        <f t="shared" si="5"/>
        <v>1.779584227982145E-2</v>
      </c>
    </row>
    <row r="24" spans="1:20">
      <c r="A24" s="150">
        <v>713</v>
      </c>
      <c r="B24" s="509" t="str">
        <f>+VLOOKUP($A24,Master!$D$29:$G$225,4,FALSE)</f>
        <v>Takse</v>
      </c>
      <c r="C24" s="510"/>
      <c r="D24" s="510"/>
      <c r="E24" s="510"/>
      <c r="F24" s="510"/>
      <c r="G24" s="175">
        <f>'2022'!S24</f>
        <v>3328624.8199999994</v>
      </c>
      <c r="H24" s="175">
        <f>SUM('2022'!G98:J98)</f>
        <v>3379235.4289085511</v>
      </c>
      <c r="I24" s="176">
        <f t="shared" si="0"/>
        <v>-50610.608908551745</v>
      </c>
      <c r="J24" s="178">
        <f t="shared" si="1"/>
        <v>-1.4976940782400083E-2</v>
      </c>
      <c r="K24" s="175">
        <f>SUM('2021'!G24:J24)</f>
        <v>2871308.4700000007</v>
      </c>
      <c r="L24" s="176">
        <f t="shared" si="7"/>
        <v>457316.3499999987</v>
      </c>
      <c r="M24" s="178">
        <f t="shared" si="2"/>
        <v>0.15927106222759768</v>
      </c>
      <c r="N24" s="175">
        <f>'2022'!J24</f>
        <v>1014885.97</v>
      </c>
      <c r="O24" s="175">
        <f>'2022'!J98</f>
        <v>888310.9651939217</v>
      </c>
      <c r="P24" s="176">
        <f t="shared" si="6"/>
        <v>126575.00480607827</v>
      </c>
      <c r="Q24" s="178">
        <f t="shared" si="3"/>
        <v>0.14248952198675879</v>
      </c>
      <c r="R24" s="175">
        <f>'2021'!I24</f>
        <v>872908.3</v>
      </c>
      <c r="S24" s="176">
        <f t="shared" si="4"/>
        <v>141977.66999999993</v>
      </c>
      <c r="T24" s="178">
        <f t="shared" si="5"/>
        <v>0.16264900906544244</v>
      </c>
    </row>
    <row r="25" spans="1:20">
      <c r="A25" s="150">
        <v>714</v>
      </c>
      <c r="B25" s="509" t="str">
        <f>+VLOOKUP($A25,Master!$D$29:$G$225,4,FALSE)</f>
        <v>Naknade</v>
      </c>
      <c r="C25" s="510"/>
      <c r="D25" s="510"/>
      <c r="E25" s="510"/>
      <c r="F25" s="510"/>
      <c r="G25" s="175">
        <f>'2022'!S25</f>
        <v>20413420.129999999</v>
      </c>
      <c r="H25" s="175">
        <f>SUM('2022'!G99:J99)</f>
        <v>20091544.442830335</v>
      </c>
      <c r="I25" s="176">
        <f t="shared" si="0"/>
        <v>321875.68716966361</v>
      </c>
      <c r="J25" s="178">
        <f t="shared" si="1"/>
        <v>1.6020455176332993E-2</v>
      </c>
      <c r="K25" s="175">
        <f>SUM('2021'!G25:J25)</f>
        <v>11165523.75</v>
      </c>
      <c r="L25" s="176">
        <f t="shared" si="7"/>
        <v>9247896.379999999</v>
      </c>
      <c r="M25" s="178">
        <f t="shared" si="2"/>
        <v>0.82825459755078645</v>
      </c>
      <c r="N25" s="175">
        <f>'2022'!J25</f>
        <v>3083781.29</v>
      </c>
      <c r="O25" s="175">
        <f>'2022'!J99</f>
        <v>4136191.0704011233</v>
      </c>
      <c r="P25" s="176">
        <f t="shared" si="6"/>
        <v>-1052409.7804011232</v>
      </c>
      <c r="Q25" s="178">
        <f t="shared" si="3"/>
        <v>-0.25443935313632926</v>
      </c>
      <c r="R25" s="175">
        <f>'2021'!I25</f>
        <v>2388170.21</v>
      </c>
      <c r="S25" s="176">
        <f t="shared" si="4"/>
        <v>695611.08000000007</v>
      </c>
      <c r="T25" s="178">
        <f t="shared" si="5"/>
        <v>0.29127366093390816</v>
      </c>
    </row>
    <row r="26" spans="1:20">
      <c r="A26" s="150">
        <v>715</v>
      </c>
      <c r="B26" s="509" t="str">
        <f>+VLOOKUP($A26,Master!$D$29:$G$225,4,FALSE)</f>
        <v>Ostali prihodi</v>
      </c>
      <c r="C26" s="510"/>
      <c r="D26" s="510"/>
      <c r="E26" s="510"/>
      <c r="F26" s="510"/>
      <c r="G26" s="175">
        <f>'2022'!S26</f>
        <v>8107853</v>
      </c>
      <c r="H26" s="175">
        <f>SUM('2022'!G100:J100)</f>
        <v>7920449.4150842549</v>
      </c>
      <c r="I26" s="176">
        <f t="shared" si="0"/>
        <v>187403.58491574507</v>
      </c>
      <c r="J26" s="178">
        <f t="shared" si="1"/>
        <v>2.3660726190465997E-2</v>
      </c>
      <c r="K26" s="175">
        <f>SUM('2021'!G26:J26)</f>
        <v>6370021.8100000005</v>
      </c>
      <c r="L26" s="176">
        <f t="shared" si="7"/>
        <v>1737831.1899999995</v>
      </c>
      <c r="M26" s="178">
        <f t="shared" si="2"/>
        <v>0.27281400940760658</v>
      </c>
      <c r="N26" s="175">
        <f>'2022'!J26</f>
        <v>3432683.2699999996</v>
      </c>
      <c r="O26" s="175">
        <f>'2022'!J100</f>
        <v>2112330.3067699438</v>
      </c>
      <c r="P26" s="176">
        <f t="shared" si="6"/>
        <v>1320352.9632300558</v>
      </c>
      <c r="Q26" s="178">
        <f t="shared" si="3"/>
        <v>0.62506936486134346</v>
      </c>
      <c r="R26" s="175">
        <f>'2021'!I26</f>
        <v>1693779.5</v>
      </c>
      <c r="S26" s="176">
        <f t="shared" si="4"/>
        <v>1738903.7699999996</v>
      </c>
      <c r="T26" s="178">
        <f t="shared" si="5"/>
        <v>1.0266411714157595</v>
      </c>
    </row>
    <row r="27" spans="1:20">
      <c r="A27" s="150">
        <v>73</v>
      </c>
      <c r="B27" s="509" t="str">
        <f>+VLOOKUP($A27,Master!$D$29:$G$225,4,FALSE)</f>
        <v>Primici od otplate kredita i sredstva prenesena iz prethodne godine</v>
      </c>
      <c r="C27" s="510"/>
      <c r="D27" s="510"/>
      <c r="E27" s="510"/>
      <c r="F27" s="510"/>
      <c r="G27" s="175">
        <f>'2022'!S27</f>
        <v>1534915.4699999997</v>
      </c>
      <c r="H27" s="175">
        <f>SUM('2022'!G101:J101)</f>
        <v>1266308.2140517491</v>
      </c>
      <c r="I27" s="176">
        <f t="shared" si="0"/>
        <v>268607.25594825065</v>
      </c>
      <c r="J27" s="178">
        <f t="shared" si="1"/>
        <v>0.21211838710956488</v>
      </c>
      <c r="K27" s="175">
        <f>SUM('2021'!G27:J27)</f>
        <v>2457396.63</v>
      </c>
      <c r="L27" s="176">
        <f t="shared" si="7"/>
        <v>-922481.16000000015</v>
      </c>
      <c r="M27" s="178">
        <f t="shared" si="2"/>
        <v>-0.37538960896190376</v>
      </c>
      <c r="N27" s="175">
        <f>'2022'!J27</f>
        <v>750452.36</v>
      </c>
      <c r="O27" s="175">
        <f>'2022'!J101</f>
        <v>419622.28002297197</v>
      </c>
      <c r="P27" s="176">
        <f t="shared" si="6"/>
        <v>330830.07997702801</v>
      </c>
      <c r="Q27" s="178">
        <f t="shared" si="3"/>
        <v>0.78839970069967902</v>
      </c>
      <c r="R27" s="175">
        <f>'2021'!I27</f>
        <v>648742.61</v>
      </c>
      <c r="S27" s="176">
        <f t="shared" si="4"/>
        <v>101709.75</v>
      </c>
      <c r="T27" s="178">
        <f t="shared" si="5"/>
        <v>0.15677982058246487</v>
      </c>
    </row>
    <row r="28" spans="1:20" ht="15.75" thickBot="1">
      <c r="A28" s="150">
        <v>74</v>
      </c>
      <c r="B28" s="513" t="str">
        <f>+VLOOKUP($A28,Master!$D$29:$G$225,4,FALSE)</f>
        <v>Donacije i transferi</v>
      </c>
      <c r="C28" s="514"/>
      <c r="D28" s="514"/>
      <c r="E28" s="514"/>
      <c r="F28" s="514"/>
      <c r="G28" s="175">
        <f>'2022'!S28</f>
        <v>9687243.3599999994</v>
      </c>
      <c r="H28" s="175">
        <f>SUM('2022'!G102:J102)</f>
        <v>6448037.036022421</v>
      </c>
      <c r="I28" s="176">
        <f t="shared" si="0"/>
        <v>3239206.3239775784</v>
      </c>
      <c r="J28" s="178">
        <f t="shared" si="1"/>
        <v>0.50235541543597217</v>
      </c>
      <c r="K28" s="175">
        <f>SUM('2021'!G28:J28)</f>
        <v>4629681.57</v>
      </c>
      <c r="L28" s="176">
        <f t="shared" si="7"/>
        <v>5057561.7899999991</v>
      </c>
      <c r="M28" s="178">
        <f t="shared" si="2"/>
        <v>1.0924210906366936</v>
      </c>
      <c r="N28" s="175">
        <f>'2022'!J28</f>
        <v>2141352.37</v>
      </c>
      <c r="O28" s="175">
        <f>'2022'!J102</f>
        <v>2402470.1825086102</v>
      </c>
      <c r="P28" s="176">
        <f t="shared" si="6"/>
        <v>-261117.81250861008</v>
      </c>
      <c r="Q28" s="178">
        <f t="shared" si="3"/>
        <v>-0.10868722301308908</v>
      </c>
      <c r="R28" s="175">
        <f>'2021'!I28</f>
        <v>1522925.29</v>
      </c>
      <c r="S28" s="176">
        <f t="shared" si="4"/>
        <v>618427.08000000007</v>
      </c>
      <c r="T28" s="178">
        <f t="shared" si="5"/>
        <v>0.40607840979513843</v>
      </c>
    </row>
    <row r="29" spans="1:20" ht="15.75" thickBot="1">
      <c r="A29" s="150">
        <v>4</v>
      </c>
      <c r="B29" s="515" t="str">
        <f>+VLOOKUP($A29,Master!$D$29:$G$225,4,FALSE)</f>
        <v>Izdaci budžeta</v>
      </c>
      <c r="C29" s="516"/>
      <c r="D29" s="516"/>
      <c r="E29" s="516"/>
      <c r="F29" s="516"/>
      <c r="G29" s="151">
        <f>'2022'!S29</f>
        <v>634916138.03999996</v>
      </c>
      <c r="H29" s="151">
        <f>SUM('2022'!G103:J103)</f>
        <v>684883299.38219047</v>
      </c>
      <c r="I29" s="152">
        <f t="shared" si="0"/>
        <v>-49967161.342190504</v>
      </c>
      <c r="J29" s="154">
        <f t="shared" si="1"/>
        <v>-7.2957190498387336E-2</v>
      </c>
      <c r="K29" s="151">
        <f>SUM('2021'!G29:J29)</f>
        <v>635896072.71000004</v>
      </c>
      <c r="L29" s="152">
        <f t="shared" si="7"/>
        <v>-979934.67000007629</v>
      </c>
      <c r="M29" s="154">
        <f t="shared" si="2"/>
        <v>-1.5410295991039602E-3</v>
      </c>
      <c r="N29" s="151">
        <f>'2022'!J29</f>
        <v>196316924.41999996</v>
      </c>
      <c r="O29" s="151">
        <f>'2022'!J103</f>
        <v>181656276.27454761</v>
      </c>
      <c r="P29" s="152">
        <f t="shared" si="6"/>
        <v>14660648.14545235</v>
      </c>
      <c r="Q29" s="154">
        <f t="shared" si="3"/>
        <v>8.0705431412096518E-2</v>
      </c>
      <c r="R29" s="151">
        <f>'2021'!I29</f>
        <v>164445513.62</v>
      </c>
      <c r="S29" s="152">
        <f t="shared" si="4"/>
        <v>31871410.799999952</v>
      </c>
      <c r="T29" s="154">
        <f t="shared" si="5"/>
        <v>0.19381137313145724</v>
      </c>
    </row>
    <row r="30" spans="1:20">
      <c r="A30" s="150">
        <v>41</v>
      </c>
      <c r="B30" s="519" t="str">
        <f>+VLOOKUP($A30,Master!$D$29:$G$225,4,FALSE)</f>
        <v>Tekući izdaci</v>
      </c>
      <c r="C30" s="520"/>
      <c r="D30" s="520"/>
      <c r="E30" s="520"/>
      <c r="F30" s="520"/>
      <c r="G30" s="313">
        <f>'2022'!S30</f>
        <v>269206012.38</v>
      </c>
      <c r="H30" s="313">
        <f>SUM('2022'!G104:J104)</f>
        <v>274601567.23266667</v>
      </c>
      <c r="I30" s="188">
        <f t="shared" si="0"/>
        <v>-5395554.852666676</v>
      </c>
      <c r="J30" s="190">
        <f t="shared" si="1"/>
        <v>-1.964866736574411E-2</v>
      </c>
      <c r="K30" s="313">
        <f>SUM('2021'!G30:J30)</f>
        <v>279596993.5</v>
      </c>
      <c r="L30" s="188">
        <f t="shared" si="7"/>
        <v>-10390981.120000005</v>
      </c>
      <c r="M30" s="190">
        <f t="shared" si="2"/>
        <v>-3.716413753211556E-2</v>
      </c>
      <c r="N30" s="313">
        <f>'2022'!J30</f>
        <v>96816834.039999992</v>
      </c>
      <c r="O30" s="313">
        <f>'2022'!J104</f>
        <v>84860701.324666679</v>
      </c>
      <c r="P30" s="188">
        <f t="shared" si="6"/>
        <v>11956132.715333313</v>
      </c>
      <c r="Q30" s="190">
        <f t="shared" si="3"/>
        <v>0.14089127863309314</v>
      </c>
      <c r="R30" s="313">
        <f>'2021'!I30</f>
        <v>74936031.789999992</v>
      </c>
      <c r="S30" s="188">
        <f t="shared" si="4"/>
        <v>21880802.25</v>
      </c>
      <c r="T30" s="190">
        <f t="shared" si="5"/>
        <v>0.29199307365672289</v>
      </c>
    </row>
    <row r="31" spans="1:20">
      <c r="A31" s="150">
        <v>411</v>
      </c>
      <c r="B31" s="507" t="str">
        <f>+VLOOKUP($A31,Master!$D$29:$G$225,4,FALSE)</f>
        <v>Bruto zarade i doprinosi na teret poslodavca</v>
      </c>
      <c r="C31" s="508"/>
      <c r="D31" s="508"/>
      <c r="E31" s="508"/>
      <c r="F31" s="508"/>
      <c r="G31" s="163">
        <f>'2022'!S31</f>
        <v>176145365.71999997</v>
      </c>
      <c r="H31" s="163">
        <f>SUM('2022'!G105:J105)</f>
        <v>178593100.50666666</v>
      </c>
      <c r="I31" s="164">
        <f t="shared" si="0"/>
        <v>-2447734.7866666913</v>
      </c>
      <c r="J31" s="166">
        <f t="shared" si="1"/>
        <v>-1.3705651448586154E-2</v>
      </c>
      <c r="K31" s="163">
        <f>SUM('2021'!G31:J31)</f>
        <v>180681743.65000001</v>
      </c>
      <c r="L31" s="164">
        <f t="shared" si="7"/>
        <v>-4536377.930000037</v>
      </c>
      <c r="M31" s="166">
        <f t="shared" si="2"/>
        <v>-2.510700770514751E-2</v>
      </c>
      <c r="N31" s="163">
        <f>'2022'!J31</f>
        <v>46977114.019999973</v>
      </c>
      <c r="O31" s="163">
        <f>'2022'!J105</f>
        <v>45488827.916666664</v>
      </c>
      <c r="P31" s="164">
        <f>+N31-O31</f>
        <v>1488286.1033333093</v>
      </c>
      <c r="Q31" s="166">
        <f>IF(+IF(ISERROR(N31/O31),"…",N31/O31-1)&gt;200%,"...",IF(ISERROR(N31/O31),"…",N31/O31-1))</f>
        <v>3.2717618182200203E-2</v>
      </c>
      <c r="R31" s="163">
        <f>'2021'!I31</f>
        <v>44665315.899999999</v>
      </c>
      <c r="S31" s="164">
        <f t="shared" si="4"/>
        <v>2311798.119999975</v>
      </c>
      <c r="T31" s="166">
        <f t="shared" si="5"/>
        <v>5.1758239551597418E-2</v>
      </c>
    </row>
    <row r="32" spans="1:20">
      <c r="A32" s="150">
        <v>412</v>
      </c>
      <c r="B32" s="507" t="str">
        <f>+VLOOKUP($A32,Master!$D$29:$G$225,4,FALSE)</f>
        <v>Ostala lična primanja</v>
      </c>
      <c r="C32" s="508"/>
      <c r="D32" s="508"/>
      <c r="E32" s="508"/>
      <c r="F32" s="508"/>
      <c r="G32" s="163">
        <f>'2022'!S32</f>
        <v>3744172.6500000004</v>
      </c>
      <c r="H32" s="163">
        <f>SUM('2022'!G106:J106)</f>
        <v>4568795.3599999994</v>
      </c>
      <c r="I32" s="164">
        <f t="shared" si="0"/>
        <v>-824622.70999999903</v>
      </c>
      <c r="J32" s="166">
        <f t="shared" si="1"/>
        <v>-0.18049018286518292</v>
      </c>
      <c r="K32" s="163">
        <f>SUM('2021'!G32:J32)</f>
        <v>2956344.53</v>
      </c>
      <c r="L32" s="164">
        <f t="shared" si="7"/>
        <v>787828.12000000058</v>
      </c>
      <c r="M32" s="166">
        <f t="shared" si="2"/>
        <v>0.26648724869695783</v>
      </c>
      <c r="N32" s="163">
        <f>'2022'!J32</f>
        <v>1448549.91</v>
      </c>
      <c r="O32" s="163">
        <f>'2022'!J106</f>
        <v>1115859.3500000001</v>
      </c>
      <c r="P32" s="164">
        <f t="shared" si="6"/>
        <v>332690.55999999982</v>
      </c>
      <c r="Q32" s="166">
        <f t="shared" si="3"/>
        <v>0.29814739644382593</v>
      </c>
      <c r="R32" s="163">
        <f>'2021'!I32</f>
        <v>864515.21</v>
      </c>
      <c r="S32" s="164">
        <f t="shared" si="4"/>
        <v>584034.69999999995</v>
      </c>
      <c r="T32" s="166">
        <f t="shared" si="5"/>
        <v>0.67556324428346382</v>
      </c>
    </row>
    <row r="33" spans="1:20">
      <c r="A33" s="150">
        <v>413</v>
      </c>
      <c r="B33" s="507" t="str">
        <f>+VLOOKUP($A33,Master!$D$29:$G$225,4,FALSE)</f>
        <v>Rashodi za materijal</v>
      </c>
      <c r="C33" s="508"/>
      <c r="D33" s="508"/>
      <c r="E33" s="508"/>
      <c r="F33" s="508"/>
      <c r="G33" s="163">
        <f>'2022'!S33</f>
        <v>8296959.4199999999</v>
      </c>
      <c r="H33" s="163">
        <f>SUM('2022'!G107:J107)</f>
        <v>8827309.3099999987</v>
      </c>
      <c r="I33" s="164">
        <f t="shared" si="0"/>
        <v>-530349.88999999873</v>
      </c>
      <c r="J33" s="166">
        <f t="shared" si="1"/>
        <v>-6.0080583037822488E-2</v>
      </c>
      <c r="K33" s="163">
        <f>SUM('2021'!G33:J33)</f>
        <v>7402025.4500000002</v>
      </c>
      <c r="L33" s="164">
        <f t="shared" si="7"/>
        <v>894933.96999999974</v>
      </c>
      <c r="M33" s="166">
        <f t="shared" si="2"/>
        <v>0.1209039304235302</v>
      </c>
      <c r="N33" s="163">
        <f>'2022'!J33</f>
        <v>2038640.9</v>
      </c>
      <c r="O33" s="163">
        <f>'2022'!J107</f>
        <v>1956746.52</v>
      </c>
      <c r="P33" s="164">
        <f t="shared" si="6"/>
        <v>81894.379999999888</v>
      </c>
      <c r="Q33" s="166">
        <f t="shared" si="3"/>
        <v>4.185231922630428E-2</v>
      </c>
      <c r="R33" s="163">
        <f>'2021'!I33</f>
        <v>2846541.08</v>
      </c>
      <c r="S33" s="164">
        <f t="shared" si="4"/>
        <v>-807900.18000000017</v>
      </c>
      <c r="T33" s="166">
        <f t="shared" si="5"/>
        <v>-0.28381820507575461</v>
      </c>
    </row>
    <row r="34" spans="1:20">
      <c r="A34" s="150">
        <v>414</v>
      </c>
      <c r="B34" s="507" t="str">
        <f>+VLOOKUP($A34,Master!$D$29:$G$225,4,FALSE)</f>
        <v>Rashodi za usluge</v>
      </c>
      <c r="C34" s="508"/>
      <c r="D34" s="508"/>
      <c r="E34" s="508"/>
      <c r="F34" s="508"/>
      <c r="G34" s="163">
        <f>'2022'!S34</f>
        <v>14625790.32</v>
      </c>
      <c r="H34" s="163">
        <f>SUM('2022'!G108:J108)</f>
        <v>13907725.330000002</v>
      </c>
      <c r="I34" s="164">
        <f t="shared" si="0"/>
        <v>718064.98999999836</v>
      </c>
      <c r="J34" s="166">
        <f t="shared" si="1"/>
        <v>5.1630656556833188E-2</v>
      </c>
      <c r="K34" s="163">
        <f>SUM('2021'!G34:J34)</f>
        <v>13178295.190000001</v>
      </c>
      <c r="L34" s="164">
        <f t="shared" si="7"/>
        <v>1447495.129999999</v>
      </c>
      <c r="M34" s="166">
        <f t="shared" si="2"/>
        <v>0.1098393311980439</v>
      </c>
      <c r="N34" s="163">
        <f>'2022'!J34</f>
        <v>6153105</v>
      </c>
      <c r="O34" s="163">
        <f>'2022'!J108</f>
        <v>3981055.8700000015</v>
      </c>
      <c r="P34" s="164">
        <f t="shared" si="6"/>
        <v>2172049.1299999985</v>
      </c>
      <c r="Q34" s="166">
        <f t="shared" si="3"/>
        <v>0.54559624404366813</v>
      </c>
      <c r="R34" s="163">
        <f>'2021'!I34</f>
        <v>3354555.29</v>
      </c>
      <c r="S34" s="164">
        <f t="shared" si="4"/>
        <v>2798549.71</v>
      </c>
      <c r="T34" s="166">
        <f t="shared" si="5"/>
        <v>0.83425356509774495</v>
      </c>
    </row>
    <row r="35" spans="1:20">
      <c r="A35" s="150">
        <v>415</v>
      </c>
      <c r="B35" s="507" t="str">
        <f>+VLOOKUP($A35,Master!$D$29:$G$225,4,FALSE)</f>
        <v>Rashodi za tekuće održavanje</v>
      </c>
      <c r="C35" s="508"/>
      <c r="D35" s="508"/>
      <c r="E35" s="508"/>
      <c r="F35" s="508"/>
      <c r="G35" s="163">
        <f>'2022'!S35</f>
        <v>5368736.3300000001</v>
      </c>
      <c r="H35" s="163">
        <f>SUM('2022'!G109:J109)</f>
        <v>6340065.6800000016</v>
      </c>
      <c r="I35" s="164">
        <f t="shared" si="0"/>
        <v>-971329.35000000149</v>
      </c>
      <c r="J35" s="166">
        <f t="shared" si="1"/>
        <v>-0.15320493493688869</v>
      </c>
      <c r="K35" s="163">
        <f>SUM('2021'!G35:J35)</f>
        <v>5229515.1500000004</v>
      </c>
      <c r="L35" s="164">
        <f t="shared" si="7"/>
        <v>139221.1799999997</v>
      </c>
      <c r="M35" s="166">
        <f t="shared" si="2"/>
        <v>2.6622196514718866E-2</v>
      </c>
      <c r="N35" s="163">
        <f>'2022'!J35</f>
        <v>1718005.5900000003</v>
      </c>
      <c r="O35" s="163">
        <f>'2022'!J109</f>
        <v>1750230.6700000004</v>
      </c>
      <c r="P35" s="164">
        <f t="shared" si="6"/>
        <v>-32225.080000000075</v>
      </c>
      <c r="Q35" s="166">
        <f t="shared" si="3"/>
        <v>-1.8411904529132772E-2</v>
      </c>
      <c r="R35" s="163">
        <f>'2021'!I35</f>
        <v>2439729.2400000002</v>
      </c>
      <c r="S35" s="164">
        <f t="shared" si="4"/>
        <v>-721723.64999999991</v>
      </c>
      <c r="T35" s="166">
        <f t="shared" si="5"/>
        <v>-0.29582120760252884</v>
      </c>
    </row>
    <row r="36" spans="1:20">
      <c r="A36" s="150">
        <v>416</v>
      </c>
      <c r="B36" s="507" t="str">
        <f>+VLOOKUP($A36,Master!$D$29:$G$225,4,FALSE)</f>
        <v>Kamate</v>
      </c>
      <c r="C36" s="508"/>
      <c r="D36" s="508"/>
      <c r="E36" s="508"/>
      <c r="F36" s="508"/>
      <c r="G36" s="163">
        <f>'2022'!S36</f>
        <v>33269810.07</v>
      </c>
      <c r="H36" s="163">
        <f>SUM('2022'!G110:J110)</f>
        <v>29246455.330000006</v>
      </c>
      <c r="I36" s="164">
        <f t="shared" si="0"/>
        <v>4023354.7399999946</v>
      </c>
      <c r="J36" s="166">
        <f t="shared" si="1"/>
        <v>0.13756726053132917</v>
      </c>
      <c r="K36" s="163">
        <f>SUM('2021'!G36:J36)</f>
        <v>47098169.980000004</v>
      </c>
      <c r="L36" s="164">
        <f t="shared" si="7"/>
        <v>-13828359.910000004</v>
      </c>
      <c r="M36" s="166">
        <f t="shared" si="2"/>
        <v>-0.29360715959605532</v>
      </c>
      <c r="N36" s="163">
        <f>'2022'!J36</f>
        <v>27195621.07</v>
      </c>
      <c r="O36" s="163">
        <f>'2022'!J110</f>
        <v>22646995.380000003</v>
      </c>
      <c r="P36" s="164">
        <f t="shared" si="6"/>
        <v>4548625.6899999976</v>
      </c>
      <c r="Q36" s="166">
        <f t="shared" si="3"/>
        <v>0.20084896974973443</v>
      </c>
      <c r="R36" s="163">
        <f>'2021'!I36</f>
        <v>14787982.57</v>
      </c>
      <c r="S36" s="164">
        <f t="shared" si="4"/>
        <v>12407638.5</v>
      </c>
      <c r="T36" s="166">
        <f t="shared" si="5"/>
        <v>0.8390352396797558</v>
      </c>
    </row>
    <row r="37" spans="1:20">
      <c r="A37" s="150">
        <v>417</v>
      </c>
      <c r="B37" s="507" t="str">
        <f>+VLOOKUP($A37,Master!$D$29:$G$225,4,FALSE)</f>
        <v>Renta</v>
      </c>
      <c r="C37" s="508"/>
      <c r="D37" s="508"/>
      <c r="E37" s="508"/>
      <c r="F37" s="508"/>
      <c r="G37" s="163">
        <f>'2022'!S37</f>
        <v>3034349.35</v>
      </c>
      <c r="H37" s="163">
        <f>SUM('2022'!G111:J111)</f>
        <v>4002694.8099999991</v>
      </c>
      <c r="I37" s="164">
        <f t="shared" si="0"/>
        <v>-968345.45999999903</v>
      </c>
      <c r="J37" s="166">
        <f t="shared" si="1"/>
        <v>-0.24192338061367191</v>
      </c>
      <c r="K37" s="163">
        <f>SUM('2021'!G37:J37)</f>
        <v>2598339.62</v>
      </c>
      <c r="L37" s="164">
        <f t="shared" si="7"/>
        <v>436009.73</v>
      </c>
      <c r="M37" s="166">
        <f t="shared" si="2"/>
        <v>0.1678032104209688</v>
      </c>
      <c r="N37" s="163">
        <f>'2022'!J37</f>
        <v>1247632.42</v>
      </c>
      <c r="O37" s="163">
        <f>'2022'!J111</f>
        <v>962640.17999999982</v>
      </c>
      <c r="P37" s="164">
        <f t="shared" si="6"/>
        <v>284992.24000000011</v>
      </c>
      <c r="Q37" s="166">
        <f t="shared" si="3"/>
        <v>0.29605271618726747</v>
      </c>
      <c r="R37" s="163">
        <f>'2021'!I37</f>
        <v>803228.89</v>
      </c>
      <c r="S37" s="164">
        <f t="shared" si="4"/>
        <v>444403.52999999991</v>
      </c>
      <c r="T37" s="166">
        <f t="shared" si="5"/>
        <v>0.55327134710007742</v>
      </c>
    </row>
    <row r="38" spans="1:20">
      <c r="A38" s="150">
        <v>418</v>
      </c>
      <c r="B38" s="507" t="str">
        <f>+VLOOKUP($A38,Master!$D$29:$G$225,4,FALSE)</f>
        <v>Subvencije</v>
      </c>
      <c r="C38" s="508"/>
      <c r="D38" s="508"/>
      <c r="E38" s="508"/>
      <c r="F38" s="508"/>
      <c r="G38" s="163">
        <f>'2022'!S38</f>
        <v>14900736.98</v>
      </c>
      <c r="H38" s="163">
        <f>SUM('2022'!G112:J112)</f>
        <v>14828555.32</v>
      </c>
      <c r="I38" s="164">
        <f t="shared" si="0"/>
        <v>72181.660000000149</v>
      </c>
      <c r="J38" s="166">
        <f t="shared" si="1"/>
        <v>4.8677472917839637E-3</v>
      </c>
      <c r="K38" s="163">
        <f>SUM('2021'!G38:J38)</f>
        <v>11211087.18</v>
      </c>
      <c r="L38" s="164">
        <f t="shared" si="7"/>
        <v>3689649.8000000007</v>
      </c>
      <c r="M38" s="166">
        <f t="shared" si="2"/>
        <v>0.32910722579895246</v>
      </c>
      <c r="N38" s="163">
        <f>'2022'!J38</f>
        <v>6972851.8400000008</v>
      </c>
      <c r="O38" s="163">
        <f>'2022'!J112</f>
        <v>3632138.83</v>
      </c>
      <c r="P38" s="164">
        <f t="shared" si="6"/>
        <v>3340713.0100000007</v>
      </c>
      <c r="Q38" s="166">
        <f t="shared" si="3"/>
        <v>0.91976468036052483</v>
      </c>
      <c r="R38" s="163">
        <f>'2021'!I38</f>
        <v>1744604.63</v>
      </c>
      <c r="S38" s="164">
        <f t="shared" si="4"/>
        <v>5228247.2100000009</v>
      </c>
      <c r="T38" s="166" t="str">
        <f t="shared" si="5"/>
        <v>...</v>
      </c>
    </row>
    <row r="39" spans="1:20">
      <c r="A39" s="150">
        <v>419</v>
      </c>
      <c r="B39" s="507" t="str">
        <f>+VLOOKUP($A39,Master!$D$29:$G$225,4,FALSE)</f>
        <v>Ostali izdaci</v>
      </c>
      <c r="C39" s="508"/>
      <c r="D39" s="508"/>
      <c r="E39" s="508"/>
      <c r="F39" s="508"/>
      <c r="G39" s="163">
        <f>'2022'!S39</f>
        <v>9820091.540000001</v>
      </c>
      <c r="H39" s="163">
        <f>SUM('2022'!G113:J113)</f>
        <v>14286865.585999999</v>
      </c>
      <c r="I39" s="164">
        <f t="shared" si="0"/>
        <v>-4466774.0459999982</v>
      </c>
      <c r="J39" s="166">
        <f t="shared" si="1"/>
        <v>-0.31264898651927431</v>
      </c>
      <c r="K39" s="163">
        <f>SUM('2021'!G39:J39)</f>
        <v>9241472.75</v>
      </c>
      <c r="L39" s="164">
        <f t="shared" si="7"/>
        <v>578618.79000000097</v>
      </c>
      <c r="M39" s="166">
        <f t="shared" si="2"/>
        <v>6.2611101677489733E-2</v>
      </c>
      <c r="N39" s="163">
        <f>'2022'!J39</f>
        <v>3065313.290000001</v>
      </c>
      <c r="O39" s="163">
        <f>'2022'!J113</f>
        <v>3326206.6079999981</v>
      </c>
      <c r="P39" s="164">
        <f t="shared" si="6"/>
        <v>-260893.31799999718</v>
      </c>
      <c r="Q39" s="166">
        <f t="shared" si="3"/>
        <v>-7.8435692290584669E-2</v>
      </c>
      <c r="R39" s="163">
        <f>'2021'!I39</f>
        <v>3429558.98</v>
      </c>
      <c r="S39" s="164">
        <f t="shared" si="4"/>
        <v>-364245.68999999901</v>
      </c>
      <c r="T39" s="166">
        <f t="shared" si="5"/>
        <v>-0.106207734616653</v>
      </c>
    </row>
    <row r="40" spans="1:20">
      <c r="A40" s="150">
        <v>42</v>
      </c>
      <c r="B40" s="523" t="str">
        <f>+VLOOKUP($A40,Master!$D$29:$G$225,4,FALSE)</f>
        <v>Transferi za socijalnu zaštitu</v>
      </c>
      <c r="C40" s="524"/>
      <c r="D40" s="524"/>
      <c r="E40" s="524"/>
      <c r="F40" s="524"/>
      <c r="G40" s="193">
        <f>'2022'!S40</f>
        <v>191973718.35999995</v>
      </c>
      <c r="H40" s="193">
        <f>SUM('2022'!G114:J114)</f>
        <v>206457712.33952385</v>
      </c>
      <c r="I40" s="194">
        <f t="shared" si="0"/>
        <v>-14483993.979523897</v>
      </c>
      <c r="J40" s="196">
        <f t="shared" si="1"/>
        <v>-7.0154773175557961E-2</v>
      </c>
      <c r="K40" s="193">
        <f>SUM('2021'!G40:J40)</f>
        <v>184678602.47999996</v>
      </c>
      <c r="L40" s="194">
        <f t="shared" si="7"/>
        <v>7295115.8799999952</v>
      </c>
      <c r="M40" s="196">
        <f t="shared" si="2"/>
        <v>3.9501684450909957E-2</v>
      </c>
      <c r="N40" s="193">
        <f>'2022'!J40</f>
        <v>49190467.409999959</v>
      </c>
      <c r="O40" s="193">
        <f>'2022'!J114</f>
        <v>51481848.149880961</v>
      </c>
      <c r="P40" s="194">
        <f t="shared" si="6"/>
        <v>-2291380.7398810014</v>
      </c>
      <c r="Q40" s="196">
        <f t="shared" si="3"/>
        <v>-4.4508517511065659E-2</v>
      </c>
      <c r="R40" s="193">
        <f>'2021'!I40</f>
        <v>47469284.640000001</v>
      </c>
      <c r="S40" s="194">
        <f t="shared" si="4"/>
        <v>1721182.7699999586</v>
      </c>
      <c r="T40" s="196">
        <f t="shared" si="5"/>
        <v>3.6258873144037196E-2</v>
      </c>
    </row>
    <row r="41" spans="1:20">
      <c r="A41" s="150">
        <v>421</v>
      </c>
      <c r="B41" s="507" t="str">
        <f>+VLOOKUP($A41,Master!$D$29:$G$225,4,FALSE)</f>
        <v>Prava iz oblasti socijalne zaštite</v>
      </c>
      <c r="C41" s="508"/>
      <c r="D41" s="508"/>
      <c r="E41" s="508"/>
      <c r="F41" s="508"/>
      <c r="G41" s="163">
        <f>'2022'!S41</f>
        <v>33583501.670000002</v>
      </c>
      <c r="H41" s="163">
        <f>SUM('2022'!G115:J115)</f>
        <v>36796190.529523812</v>
      </c>
      <c r="I41" s="164">
        <f t="shared" si="0"/>
        <v>-3212688.8595238104</v>
      </c>
      <c r="J41" s="166">
        <f t="shared" si="1"/>
        <v>-8.7310365918071731E-2</v>
      </c>
      <c r="K41" s="163">
        <f>SUM('2021'!G41:J41)</f>
        <v>26556579.059999999</v>
      </c>
      <c r="L41" s="164">
        <f t="shared" si="7"/>
        <v>7026922.6100000031</v>
      </c>
      <c r="M41" s="166">
        <f t="shared" si="2"/>
        <v>0.26460195020314492</v>
      </c>
      <c r="N41" s="163">
        <f>'2022'!J41</f>
        <v>8606006.9800000004</v>
      </c>
      <c r="O41" s="163">
        <f>'2022'!J115</f>
        <v>9199047.6323809531</v>
      </c>
      <c r="P41" s="164">
        <f t="shared" si="6"/>
        <v>-593040.65238095261</v>
      </c>
      <c r="Q41" s="166">
        <f t="shared" si="3"/>
        <v>-6.446761404880974E-2</v>
      </c>
      <c r="R41" s="163">
        <f>'2021'!I41</f>
        <v>6520717.1299999999</v>
      </c>
      <c r="S41" s="164">
        <f t="shared" si="4"/>
        <v>2085289.8500000006</v>
      </c>
      <c r="T41" s="166">
        <f t="shared" si="5"/>
        <v>0.31979455762713038</v>
      </c>
    </row>
    <row r="42" spans="1:20">
      <c r="A42" s="150">
        <v>422</v>
      </c>
      <c r="B42" s="507" t="str">
        <f>+VLOOKUP($A42,Master!$D$29:$G$225,4,FALSE)</f>
        <v>Sredstva za tehnološke viškove</v>
      </c>
      <c r="C42" s="508"/>
      <c r="D42" s="508"/>
      <c r="E42" s="508"/>
      <c r="F42" s="508"/>
      <c r="G42" s="163">
        <f>'2022'!S42</f>
        <v>7349437.5399999991</v>
      </c>
      <c r="H42" s="163">
        <f>SUM('2022'!G116:J116)</f>
        <v>9768986.4000000004</v>
      </c>
      <c r="I42" s="164">
        <f t="shared" si="0"/>
        <v>-2419548.8600000013</v>
      </c>
      <c r="J42" s="166">
        <f t="shared" si="1"/>
        <v>-0.24767655117218723</v>
      </c>
      <c r="K42" s="163">
        <f>SUM('2021'!G42:J42)</f>
        <v>5282918.5399999991</v>
      </c>
      <c r="L42" s="164">
        <f t="shared" si="7"/>
        <v>2066519</v>
      </c>
      <c r="M42" s="166">
        <f t="shared" si="2"/>
        <v>0.39116995356888484</v>
      </c>
      <c r="N42" s="163">
        <f>'2022'!J42</f>
        <v>2410229.4499999997</v>
      </c>
      <c r="O42" s="163">
        <f>'2022'!J116</f>
        <v>2291666.67</v>
      </c>
      <c r="P42" s="164">
        <f t="shared" si="6"/>
        <v>118562.7799999998</v>
      </c>
      <c r="Q42" s="166">
        <f t="shared" si="3"/>
        <v>5.1736485742928551E-2</v>
      </c>
      <c r="R42" s="163">
        <f>'2021'!I42</f>
        <v>1502929.47</v>
      </c>
      <c r="S42" s="164">
        <f t="shared" si="4"/>
        <v>907299.97999999975</v>
      </c>
      <c r="T42" s="166">
        <f t="shared" si="5"/>
        <v>0.60368766340046531</v>
      </c>
    </row>
    <row r="43" spans="1:20">
      <c r="A43" s="150">
        <v>423</v>
      </c>
      <c r="B43" s="507" t="str">
        <f>+VLOOKUP($A43,Master!$D$29:$G$225,4,FALSE)</f>
        <v>Prava iz oblasti penzijskog i invalidskog osiguranja</v>
      </c>
      <c r="C43" s="508"/>
      <c r="D43" s="508"/>
      <c r="E43" s="508"/>
      <c r="F43" s="508"/>
      <c r="G43" s="163">
        <f>'2022'!S43</f>
        <v>143754817.02999997</v>
      </c>
      <c r="H43" s="163">
        <f>SUM('2022'!G117:J117)</f>
        <v>152116535.39000002</v>
      </c>
      <c r="I43" s="164">
        <f t="shared" si="0"/>
        <v>-8361718.3600000441</v>
      </c>
      <c r="J43" s="166">
        <f t="shared" si="1"/>
        <v>-5.4969161232617303E-2</v>
      </c>
      <c r="K43" s="163">
        <f>SUM('2021'!G43:J43)</f>
        <v>144585096.34</v>
      </c>
      <c r="L43" s="164">
        <f t="shared" si="7"/>
        <v>-830279.31000003219</v>
      </c>
      <c r="M43" s="166">
        <f t="shared" si="2"/>
        <v>-5.7424958105473101E-3</v>
      </c>
      <c r="N43" s="163">
        <f>'2022'!J43</f>
        <v>36181040.329999961</v>
      </c>
      <c r="O43" s="163">
        <f>'2022'!J117</f>
        <v>38029133.847500004</v>
      </c>
      <c r="P43" s="164">
        <f t="shared" si="6"/>
        <v>-1848093.5175000429</v>
      </c>
      <c r="Q43" s="166">
        <f t="shared" si="3"/>
        <v>-4.8596781743992734E-2</v>
      </c>
      <c r="R43" s="163">
        <f>'2021'!I43</f>
        <v>36148021.82</v>
      </c>
      <c r="S43" s="164">
        <f t="shared" si="4"/>
        <v>33018.509999960661</v>
      </c>
      <c r="T43" s="166">
        <f t="shared" si="5"/>
        <v>9.1342508766811825E-4</v>
      </c>
    </row>
    <row r="44" spans="1:20">
      <c r="A44" s="150">
        <v>424</v>
      </c>
      <c r="B44" s="507" t="str">
        <f>+VLOOKUP($A44,Master!$D$29:$G$225,4,FALSE)</f>
        <v>Ostala prava iz oblasti zdravstvene zaštite</v>
      </c>
      <c r="C44" s="508"/>
      <c r="D44" s="508"/>
      <c r="E44" s="508"/>
      <c r="F44" s="508"/>
      <c r="G44" s="163">
        <f>'2022'!S44</f>
        <v>4185357.3899999997</v>
      </c>
      <c r="H44" s="163">
        <f>SUM('2022'!G118:J118)</f>
        <v>4118000</v>
      </c>
      <c r="I44" s="164">
        <f t="shared" si="0"/>
        <v>67357.389999999665</v>
      </c>
      <c r="J44" s="166">
        <f t="shared" si="1"/>
        <v>1.6356821272462296E-2</v>
      </c>
      <c r="K44" s="163">
        <f>SUM('2021'!G44:J44)</f>
        <v>5161828.5</v>
      </c>
      <c r="L44" s="164">
        <f t="shared" si="7"/>
        <v>-976471.11000000034</v>
      </c>
      <c r="M44" s="166">
        <f t="shared" si="2"/>
        <v>-0.18917155229004612</v>
      </c>
      <c r="N44" s="163">
        <f>'2022'!J44</f>
        <v>1402883.74</v>
      </c>
      <c r="O44" s="163">
        <f>'2022'!J118</f>
        <v>1136000</v>
      </c>
      <c r="P44" s="164">
        <f t="shared" si="6"/>
        <v>266883.74</v>
      </c>
      <c r="Q44" s="166">
        <f t="shared" si="3"/>
        <v>0.23493286971830996</v>
      </c>
      <c r="R44" s="163">
        <f>'2021'!I44</f>
        <v>1836110.36</v>
      </c>
      <c r="S44" s="164">
        <f t="shared" si="4"/>
        <v>-433226.62000000011</v>
      </c>
      <c r="T44" s="166">
        <f t="shared" si="5"/>
        <v>-0.23594802874485177</v>
      </c>
    </row>
    <row r="45" spans="1:20">
      <c r="A45" s="150">
        <v>425</v>
      </c>
      <c r="B45" s="507" t="str">
        <f>+VLOOKUP($A45,Master!$D$29:$G$225,4,FALSE)</f>
        <v>Ostala prava iz zdravstvenog osiguranja</v>
      </c>
      <c r="C45" s="508"/>
      <c r="D45" s="508"/>
      <c r="E45" s="508"/>
      <c r="F45" s="508"/>
      <c r="G45" s="163">
        <f>'2022'!S45</f>
        <v>3100604.7300000004</v>
      </c>
      <c r="H45" s="163">
        <f>SUM('2022'!G119:J119)</f>
        <v>3658000.02</v>
      </c>
      <c r="I45" s="164">
        <f t="shared" si="0"/>
        <v>-557395.28999999957</v>
      </c>
      <c r="J45" s="166">
        <f t="shared" si="1"/>
        <v>-0.15237706040253096</v>
      </c>
      <c r="K45" s="163">
        <f>SUM('2021'!G45:J45)</f>
        <v>3092180.04</v>
      </c>
      <c r="L45" s="164">
        <f t="shared" si="7"/>
        <v>8424.6900000004098</v>
      </c>
      <c r="M45" s="166">
        <f t="shared" si="2"/>
        <v>2.72451470839985E-3</v>
      </c>
      <c r="N45" s="163">
        <f>'2022'!J45</f>
        <v>590306.91</v>
      </c>
      <c r="O45" s="163">
        <f>'2022'!J119</f>
        <v>826000</v>
      </c>
      <c r="P45" s="164">
        <f t="shared" si="6"/>
        <v>-235693.08999999997</v>
      </c>
      <c r="Q45" s="166">
        <f t="shared" si="3"/>
        <v>-0.28534272397094429</v>
      </c>
      <c r="R45" s="163">
        <f>'2021'!I45</f>
        <v>1461505.86</v>
      </c>
      <c r="S45" s="164">
        <f t="shared" si="4"/>
        <v>-871198.95000000007</v>
      </c>
      <c r="T45" s="166">
        <f t="shared" si="5"/>
        <v>-0.59609678882847583</v>
      </c>
    </row>
    <row r="46" spans="1:20">
      <c r="A46" s="150">
        <v>43</v>
      </c>
      <c r="B46" s="521" t="str">
        <f>+VLOOKUP($A46,Master!$D$29:$G$225,4,FALSE)</f>
        <v xml:space="preserve">Transferi institucijama, pojedincima, nevladinom i javnom sektoru </v>
      </c>
      <c r="C46" s="522"/>
      <c r="D46" s="522"/>
      <c r="E46" s="522"/>
      <c r="F46" s="522"/>
      <c r="G46" s="175">
        <f>'2022'!S46</f>
        <v>90579445.700000003</v>
      </c>
      <c r="H46" s="175">
        <f>SUM('2022'!G120:J120)</f>
        <v>94008241.540000007</v>
      </c>
      <c r="I46" s="176">
        <f t="shared" si="0"/>
        <v>-3428795.8400000036</v>
      </c>
      <c r="J46" s="178">
        <f t="shared" si="1"/>
        <v>-3.6473353653158846E-2</v>
      </c>
      <c r="K46" s="175">
        <f>SUM('2021'!G46:J46)</f>
        <v>74712779.75</v>
      </c>
      <c r="L46" s="176">
        <f t="shared" si="7"/>
        <v>15866665.950000003</v>
      </c>
      <c r="M46" s="178">
        <f t="shared" si="2"/>
        <v>0.21236883439609944</v>
      </c>
      <c r="N46" s="175">
        <f>'2022'!J46</f>
        <v>28731832.689999998</v>
      </c>
      <c r="O46" s="175">
        <f>'2022'!J120</f>
        <v>20625695.450000003</v>
      </c>
      <c r="P46" s="176">
        <f t="shared" si="6"/>
        <v>8106137.2399999946</v>
      </c>
      <c r="Q46" s="178">
        <f t="shared" si="3"/>
        <v>0.39301158400455272</v>
      </c>
      <c r="R46" s="175">
        <f>'2021'!I46</f>
        <v>23735027.57</v>
      </c>
      <c r="S46" s="176">
        <f t="shared" si="4"/>
        <v>4996805.1199999973</v>
      </c>
      <c r="T46" s="178">
        <f t="shared" si="5"/>
        <v>0.2105245129909068</v>
      </c>
    </row>
    <row r="47" spans="1:20">
      <c r="A47" s="150">
        <v>44</v>
      </c>
      <c r="B47" s="521" t="str">
        <f>+VLOOKUP($A47,Master!$D$29:$G$225,4,FALSE)</f>
        <v>Kapitalni izdaci</v>
      </c>
      <c r="C47" s="522"/>
      <c r="D47" s="522"/>
      <c r="E47" s="522"/>
      <c r="F47" s="522"/>
      <c r="G47" s="175">
        <f>'2022'!S47</f>
        <v>54825143.350000001</v>
      </c>
      <c r="H47" s="175">
        <f>SUM('2022'!G121:J121)</f>
        <v>72730058.270000011</v>
      </c>
      <c r="I47" s="176">
        <f t="shared" si="0"/>
        <v>-17904914.920000009</v>
      </c>
      <c r="J47" s="178">
        <f t="shared" si="1"/>
        <v>-0.24618315103681832</v>
      </c>
      <c r="K47" s="175">
        <f>SUM('2021'!G47:J47)</f>
        <v>44064674.310000002</v>
      </c>
      <c r="L47" s="176">
        <f t="shared" si="7"/>
        <v>10760469.039999999</v>
      </c>
      <c r="M47" s="178">
        <f t="shared" si="2"/>
        <v>0.24419717627546444</v>
      </c>
      <c r="N47" s="175">
        <f>'2022'!J47</f>
        <v>19162268.539999999</v>
      </c>
      <c r="O47" s="175">
        <f>'2022'!J121</f>
        <v>19416173.270000003</v>
      </c>
      <c r="P47" s="176">
        <f t="shared" si="6"/>
        <v>-253904.73000000417</v>
      </c>
      <c r="Q47" s="178">
        <f t="shared" si="3"/>
        <v>-1.3076970753671313E-2</v>
      </c>
      <c r="R47" s="175">
        <f>'2021'!I47</f>
        <v>8279888.46</v>
      </c>
      <c r="S47" s="176">
        <f t="shared" si="4"/>
        <v>10882380.079999998</v>
      </c>
      <c r="T47" s="178">
        <f t="shared" si="5"/>
        <v>1.3143148162650489</v>
      </c>
    </row>
    <row r="48" spans="1:20">
      <c r="A48" s="150">
        <v>451</v>
      </c>
      <c r="B48" s="525" t="str">
        <f>+VLOOKUP($A48,Master!$D$29:$G$225,4,FALSE)</f>
        <v>Pozajmice i krediti</v>
      </c>
      <c r="C48" s="526"/>
      <c r="D48" s="526"/>
      <c r="E48" s="526"/>
      <c r="F48" s="526"/>
      <c r="G48" s="163">
        <f>'2022'!S48</f>
        <v>552676</v>
      </c>
      <c r="H48" s="163">
        <f>SUM('2022'!G122:J122)</f>
        <v>491333.63999999996</v>
      </c>
      <c r="I48" s="164">
        <f>G48-H48</f>
        <v>61342.360000000044</v>
      </c>
      <c r="J48" s="282">
        <f t="shared" si="1"/>
        <v>0.12484868734003252</v>
      </c>
      <c r="K48" s="163">
        <f>SUM('2021'!G48:J48)</f>
        <v>552118</v>
      </c>
      <c r="L48" s="279">
        <f t="shared" si="7"/>
        <v>558</v>
      </c>
      <c r="M48" s="282">
        <f t="shared" si="2"/>
        <v>1.0106535197185185E-3</v>
      </c>
      <c r="N48" s="163">
        <f>'2022'!J48</f>
        <v>302436</v>
      </c>
      <c r="O48" s="163">
        <f>'2022'!J122</f>
        <v>243666.74</v>
      </c>
      <c r="P48" s="164">
        <f t="shared" si="6"/>
        <v>58769.260000000009</v>
      </c>
      <c r="Q48" s="282">
        <f t="shared" si="3"/>
        <v>0.24118704095602062</v>
      </c>
      <c r="R48" s="163">
        <f>'2021'!I48</f>
        <v>5000</v>
      </c>
      <c r="S48" s="279">
        <f>+N48-R48-S58</f>
        <v>297436</v>
      </c>
      <c r="T48" s="282" t="str">
        <f t="shared" si="5"/>
        <v>...</v>
      </c>
    </row>
    <row r="49" spans="1:23">
      <c r="A49" s="150">
        <v>47</v>
      </c>
      <c r="B49" s="525" t="str">
        <f>+VLOOKUP($A49,Master!$D$29:$G$225,4,FALSE)</f>
        <v>Rezerve</v>
      </c>
      <c r="C49" s="526"/>
      <c r="D49" s="526"/>
      <c r="E49" s="526"/>
      <c r="F49" s="526"/>
      <c r="G49" s="163">
        <f>'2022'!S49</f>
        <v>2264374.2599999998</v>
      </c>
      <c r="H49" s="163">
        <f>SUM('2022'!G123:J123)</f>
        <v>13488470.720000001</v>
      </c>
      <c r="I49" s="164">
        <f t="shared" ref="I49:I50" si="8">G49-H49</f>
        <v>-11224096.460000001</v>
      </c>
      <c r="J49" s="283">
        <f t="shared" si="1"/>
        <v>-0.83212520477636476</v>
      </c>
      <c r="K49" s="163">
        <f>SUM('2021'!G49:J49)</f>
        <v>42938484.699999996</v>
      </c>
      <c r="L49" s="280">
        <f t="shared" si="7"/>
        <v>-40674110.439999998</v>
      </c>
      <c r="M49" s="283">
        <f t="shared" si="2"/>
        <v>-0.94726469096847288</v>
      </c>
      <c r="N49" s="163">
        <f>'2022'!J49</f>
        <v>401200</v>
      </c>
      <c r="O49" s="163">
        <f>'2022'!J123</f>
        <v>3372117.68</v>
      </c>
      <c r="P49" s="164">
        <f t="shared" si="6"/>
        <v>-2970917.68</v>
      </c>
      <c r="Q49" s="283">
        <f t="shared" si="3"/>
        <v>-0.88102431822604721</v>
      </c>
      <c r="R49" s="163">
        <f>'2021'!I49</f>
        <v>8526683.3100000005</v>
      </c>
      <c r="S49" s="280">
        <f t="shared" si="4"/>
        <v>-8125483.3100000005</v>
      </c>
      <c r="T49" s="283">
        <f t="shared" si="5"/>
        <v>-0.95294770716657473</v>
      </c>
      <c r="W49" s="344"/>
    </row>
    <row r="50" spans="1:23" ht="15.75" thickBot="1">
      <c r="A50" s="150">
        <v>462</v>
      </c>
      <c r="B50" s="527" t="str">
        <f>+VLOOKUP($A50,Master!$D$29:$G$225,4,FALSE)</f>
        <v>Otplata garancija</v>
      </c>
      <c r="C50" s="528"/>
      <c r="D50" s="528"/>
      <c r="E50" s="528"/>
      <c r="F50" s="528"/>
      <c r="G50" s="163">
        <f>'2022'!S50</f>
        <v>500000</v>
      </c>
      <c r="H50" s="163">
        <f>SUM('2022'!G124:J124)</f>
        <v>0</v>
      </c>
      <c r="I50" s="164">
        <f t="shared" si="8"/>
        <v>500000</v>
      </c>
      <c r="J50" s="284" t="str">
        <f t="shared" si="1"/>
        <v>...</v>
      </c>
      <c r="K50" s="163">
        <f>SUM('2021'!G50:J50)</f>
        <v>3831496.4</v>
      </c>
      <c r="L50" s="280">
        <f t="shared" si="7"/>
        <v>-3331496.4</v>
      </c>
      <c r="M50" s="284">
        <f t="shared" si="2"/>
        <v>-0.86950268307703482</v>
      </c>
      <c r="N50" s="163">
        <f>'2022'!J50</f>
        <v>500000</v>
      </c>
      <c r="O50" s="163">
        <f>'2022'!J124</f>
        <v>0</v>
      </c>
      <c r="P50" s="164">
        <f t="shared" si="6"/>
        <v>500000</v>
      </c>
      <c r="Q50" s="284" t="str">
        <f t="shared" si="3"/>
        <v>...</v>
      </c>
      <c r="R50" s="163">
        <f>'2021'!I50</f>
        <v>0</v>
      </c>
      <c r="S50" s="280">
        <f t="shared" si="4"/>
        <v>500000</v>
      </c>
      <c r="T50" s="284" t="str">
        <f t="shared" si="5"/>
        <v>...</v>
      </c>
    </row>
    <row r="51" spans="1:23" ht="15" customHeight="1" thickBot="1">
      <c r="A51" s="144">
        <v>4630</v>
      </c>
      <c r="B51" s="527" t="str">
        <f>+VLOOKUP($A51,Master!$D$29:$G$225,4,FALSE)</f>
        <v>Otplata obaveza iz prethodnog perioda</v>
      </c>
      <c r="C51" s="528"/>
      <c r="D51" s="528"/>
      <c r="E51" s="528"/>
      <c r="F51" s="528"/>
      <c r="G51" s="314">
        <f>'2022'!S51</f>
        <v>25014767.989999995</v>
      </c>
      <c r="H51" s="314">
        <f>SUM('2022'!G125:J125)</f>
        <v>23105915.640000012</v>
      </c>
      <c r="I51" s="281">
        <f>G51-H51</f>
        <v>1908852.3499999829</v>
      </c>
      <c r="J51" s="285">
        <f t="shared" si="1"/>
        <v>8.2613144605074851E-2</v>
      </c>
      <c r="K51" s="314">
        <f>SUM('2021'!G51:J51)</f>
        <v>5520923.5700000003</v>
      </c>
      <c r="L51" s="287">
        <f t="shared" si="7"/>
        <v>19493844.419999994</v>
      </c>
      <c r="M51" s="285" t="str">
        <f t="shared" si="2"/>
        <v>...</v>
      </c>
      <c r="N51" s="314">
        <f>'2022'!J51</f>
        <v>1211885.74</v>
      </c>
      <c r="O51" s="314">
        <f>'2022'!J125</f>
        <v>1656073.6600000036</v>
      </c>
      <c r="P51" s="281">
        <f>N51-O51</f>
        <v>-444187.92000000365</v>
      </c>
      <c r="Q51" s="285">
        <f t="shared" si="3"/>
        <v>-0.26821748979450755</v>
      </c>
      <c r="R51" s="314">
        <f>'2021'!I51</f>
        <v>1493597.85</v>
      </c>
      <c r="S51" s="287">
        <f>+N51-R51</f>
        <v>-281712.1100000001</v>
      </c>
      <c r="T51" s="285">
        <f t="shared" si="5"/>
        <v>-0.18861309287503336</v>
      </c>
    </row>
    <row r="52" spans="1:23" ht="15.75" thickBot="1">
      <c r="A52" s="144">
        <v>1005</v>
      </c>
      <c r="B52" s="527" t="str">
        <f>+VLOOKUP($A52,Master!$D$29:$G$227,4,FALSE)</f>
        <v>Neto povećanje obaveza</v>
      </c>
      <c r="C52" s="528"/>
      <c r="D52" s="528"/>
      <c r="E52" s="528"/>
      <c r="F52" s="528"/>
      <c r="G52" s="163">
        <f>'2022'!S52</f>
        <v>0</v>
      </c>
      <c r="H52" s="163">
        <f>SUM('2022'!G126:J126)</f>
        <v>0</v>
      </c>
      <c r="I52" s="281">
        <f>G52-H52</f>
        <v>0</v>
      </c>
      <c r="J52" s="285" t="str">
        <f t="shared" si="1"/>
        <v>...</v>
      </c>
      <c r="K52" s="163">
        <f>SUM('2021'!G52:J52)</f>
        <v>0</v>
      </c>
      <c r="L52" s="287">
        <f t="shared" si="7"/>
        <v>0</v>
      </c>
      <c r="M52" s="285" t="str">
        <f t="shared" si="2"/>
        <v>...</v>
      </c>
      <c r="N52" s="163">
        <f>'2022'!J52</f>
        <v>0</v>
      </c>
      <c r="O52" s="163">
        <f>'2022'!J126</f>
        <v>0</v>
      </c>
      <c r="P52" s="281">
        <f>N52-O52</f>
        <v>0</v>
      </c>
      <c r="Q52" s="285" t="str">
        <f t="shared" si="3"/>
        <v>...</v>
      </c>
      <c r="R52" s="163">
        <f>'2021'!I52</f>
        <v>0</v>
      </c>
      <c r="S52" s="287">
        <f>+N52-R52</f>
        <v>0</v>
      </c>
      <c r="T52" s="285" t="str">
        <f t="shared" si="5"/>
        <v>...</v>
      </c>
    </row>
    <row r="53" spans="1:23" ht="15.75" thickBot="1">
      <c r="A53" s="144">
        <v>1000</v>
      </c>
      <c r="B53" s="529" t="str">
        <f>+VLOOKUP($A53,Master!$D$29:$G$225,4,FALSE)</f>
        <v>Suficit / deficit</v>
      </c>
      <c r="C53" s="530"/>
      <c r="D53" s="530"/>
      <c r="E53" s="530"/>
      <c r="F53" s="530"/>
      <c r="G53" s="151">
        <f>'2022'!S53</f>
        <v>-36361415.539999947</v>
      </c>
      <c r="H53" s="151">
        <f>SUM('2022'!G127:J127)</f>
        <v>-156897941.52150488</v>
      </c>
      <c r="I53" s="320">
        <f>+G53-H53</f>
        <v>120536525.98150493</v>
      </c>
      <c r="J53" s="286">
        <f t="shared" si="1"/>
        <v>-0.76824797580268989</v>
      </c>
      <c r="K53" s="151">
        <f>SUM('2021'!G53:J53)</f>
        <v>-143360602.55000001</v>
      </c>
      <c r="L53" s="288">
        <f t="shared" si="7"/>
        <v>106999187.01000006</v>
      </c>
      <c r="M53" s="286">
        <f t="shared" si="2"/>
        <v>-0.74636395987999471</v>
      </c>
      <c r="N53" s="151">
        <f>'2022'!J53</f>
        <v>-14322773.139999956</v>
      </c>
      <c r="O53" s="151">
        <f>'2022'!J127</f>
        <v>-19767268.586634815</v>
      </c>
      <c r="P53" s="320">
        <f>N53-O53</f>
        <v>5444495.4466348588</v>
      </c>
      <c r="Q53" s="286">
        <f t="shared" si="3"/>
        <v>-0.2754298310246075</v>
      </c>
      <c r="R53" s="151">
        <f>'2021'!I53</f>
        <v>-10252757.430000007</v>
      </c>
      <c r="S53" s="288">
        <f t="shared" si="4"/>
        <v>-4070015.7099999487</v>
      </c>
      <c r="T53" s="286">
        <f t="shared" si="5"/>
        <v>0.39696791207513682</v>
      </c>
    </row>
    <row r="54" spans="1:23" ht="15.75" thickBot="1">
      <c r="A54" s="144">
        <v>1001</v>
      </c>
      <c r="B54" s="531" t="str">
        <f>+VLOOKUP($A54,Master!$D$29:$G$225,4,FALSE)</f>
        <v>Primarni suficit/deficit</v>
      </c>
      <c r="C54" s="532"/>
      <c r="D54" s="532"/>
      <c r="E54" s="532"/>
      <c r="F54" s="532"/>
      <c r="G54" s="151">
        <f>'2022'!S54</f>
        <v>-3091605.4699999504</v>
      </c>
      <c r="H54" s="151">
        <f>SUM('2022'!G128:J128)</f>
        <v>-127651486.19150487</v>
      </c>
      <c r="I54" s="206">
        <f t="shared" si="0"/>
        <v>124559880.72150491</v>
      </c>
      <c r="J54" s="208">
        <f t="shared" si="1"/>
        <v>-0.97578088933988694</v>
      </c>
      <c r="K54" s="151">
        <f>SUM('2021'!G54:J54)</f>
        <v>-96262432.569999993</v>
      </c>
      <c r="L54" s="206">
        <f t="shared" si="7"/>
        <v>93170827.100000039</v>
      </c>
      <c r="M54" s="208">
        <f t="shared" si="2"/>
        <v>-0.96788357215311593</v>
      </c>
      <c r="N54" s="151">
        <f>'2022'!J54</f>
        <v>12872847.930000044</v>
      </c>
      <c r="O54" s="151">
        <f>'2022'!J128</f>
        <v>2879726.7933651879</v>
      </c>
      <c r="P54" s="206">
        <f t="shared" si="6"/>
        <v>9993121.1366348565</v>
      </c>
      <c r="Q54" s="208" t="str">
        <f t="shared" si="3"/>
        <v>...</v>
      </c>
      <c r="R54" s="151">
        <f>'2021'!I54</f>
        <v>4535225.1399999931</v>
      </c>
      <c r="S54" s="206">
        <f t="shared" si="4"/>
        <v>8337622.7900000513</v>
      </c>
      <c r="T54" s="208">
        <f t="shared" si="5"/>
        <v>1.8384143085783089</v>
      </c>
    </row>
    <row r="55" spans="1:23">
      <c r="A55" s="144">
        <v>46</v>
      </c>
      <c r="B55" s="553" t="str">
        <f>+VLOOKUP($A55,Master!$D$29:$G$225,4,FALSE)</f>
        <v>Otplata dugova</v>
      </c>
      <c r="C55" s="554"/>
      <c r="D55" s="554"/>
      <c r="E55" s="554"/>
      <c r="F55" s="554"/>
      <c r="G55" s="491">
        <f>'2022'!S55</f>
        <v>111786168.72</v>
      </c>
      <c r="H55" s="491">
        <f>SUM('2022'!G129:J129)</f>
        <v>90437764.030000001</v>
      </c>
      <c r="I55" s="492">
        <f t="shared" si="0"/>
        <v>21348404.689999998</v>
      </c>
      <c r="J55" s="493">
        <f t="shared" si="1"/>
        <v>0.23605630810286637</v>
      </c>
      <c r="K55" s="491">
        <f>SUM('2021'!G55:J55)</f>
        <v>319223024.67000002</v>
      </c>
      <c r="L55" s="492">
        <f t="shared" si="7"/>
        <v>-207436855.95000002</v>
      </c>
      <c r="M55" s="493">
        <f t="shared" si="2"/>
        <v>-0.64981796399066116</v>
      </c>
      <c r="N55" s="491">
        <f>'2022'!J55</f>
        <v>57474225.629999995</v>
      </c>
      <c r="O55" s="491">
        <f>'2022'!J129</f>
        <v>38170817.960000001</v>
      </c>
      <c r="P55" s="492">
        <f t="shared" si="6"/>
        <v>19303407.669999994</v>
      </c>
      <c r="Q55" s="493">
        <f t="shared" si="3"/>
        <v>0.50571113488394293</v>
      </c>
      <c r="R55" s="491">
        <f>'2021'!I55</f>
        <v>238783771.24000001</v>
      </c>
      <c r="S55" s="492">
        <f t="shared" si="4"/>
        <v>-181309545.61000001</v>
      </c>
      <c r="T55" s="493">
        <f t="shared" si="5"/>
        <v>-0.75930430560026196</v>
      </c>
    </row>
    <row r="56" spans="1:23">
      <c r="A56" s="144">
        <v>4611</v>
      </c>
      <c r="B56" s="525" t="str">
        <f>+VLOOKUP($A56,Master!$D$29:$G$225,4,FALSE)</f>
        <v>Otplata hartija od vrijednosti i kredita rezidentima</v>
      </c>
      <c r="C56" s="526"/>
      <c r="D56" s="526"/>
      <c r="E56" s="526"/>
      <c r="F56" s="526"/>
      <c r="G56" s="163">
        <f>'2022'!S56</f>
        <v>12696919.859999999</v>
      </c>
      <c r="H56" s="163">
        <f>SUM('2022'!G130:J130)</f>
        <v>10300282.98</v>
      </c>
      <c r="I56" s="212">
        <f t="shared" si="0"/>
        <v>2396636.879999999</v>
      </c>
      <c r="J56" s="214">
        <f t="shared" si="1"/>
        <v>0.23267679972031208</v>
      </c>
      <c r="K56" s="163">
        <f>SUM('2021'!G56:J56)</f>
        <v>54995506.770000003</v>
      </c>
      <c r="L56" s="212">
        <f t="shared" si="7"/>
        <v>-42298586.910000004</v>
      </c>
      <c r="M56" s="214">
        <f t="shared" si="2"/>
        <v>-0.76912805053146349</v>
      </c>
      <c r="N56" s="163">
        <f>'2022'!J56</f>
        <v>4658647.9099999992</v>
      </c>
      <c r="O56" s="163">
        <f>'2022'!J130</f>
        <v>4045881.57</v>
      </c>
      <c r="P56" s="212">
        <f t="shared" si="6"/>
        <v>612766.33999999939</v>
      </c>
      <c r="Q56" s="214">
        <f t="shared" si="3"/>
        <v>0.15145434422589865</v>
      </c>
      <c r="R56" s="163">
        <f>'2021'!I56</f>
        <v>2399482.21</v>
      </c>
      <c r="S56" s="212">
        <f t="shared" si="4"/>
        <v>2259165.6999999993</v>
      </c>
      <c r="T56" s="214">
        <f t="shared" si="5"/>
        <v>0.94152217115208336</v>
      </c>
    </row>
    <row r="57" spans="1:23">
      <c r="A57" s="144">
        <v>4612</v>
      </c>
      <c r="B57" s="525" t="str">
        <f>+VLOOKUP($A57,Master!$D$29:$G$225,4,FALSE)</f>
        <v>Otplata hartija od vrijednosti i kredita nerezidentima</v>
      </c>
      <c r="C57" s="526"/>
      <c r="D57" s="526"/>
      <c r="E57" s="526"/>
      <c r="F57" s="526"/>
      <c r="G57" s="163">
        <f>'2022'!S57</f>
        <v>99089248.859999999</v>
      </c>
      <c r="H57" s="163">
        <f>SUM('2022'!G131:J131)</f>
        <v>80137481.049999997</v>
      </c>
      <c r="I57" s="212">
        <f t="shared" si="0"/>
        <v>18951767.810000002</v>
      </c>
      <c r="J57" s="214">
        <f t="shared" si="1"/>
        <v>0.23649068527840877</v>
      </c>
      <c r="K57" s="163">
        <f>SUM('2021'!G57:J57)</f>
        <v>264227517.89999998</v>
      </c>
      <c r="L57" s="212">
        <f t="shared" si="7"/>
        <v>-165138269.03999996</v>
      </c>
      <c r="M57" s="214">
        <f t="shared" si="2"/>
        <v>-0.6249851277886147</v>
      </c>
      <c r="N57" s="163">
        <f>'2022'!J57</f>
        <v>52815577.719999999</v>
      </c>
      <c r="O57" s="163">
        <f>'2022'!J131</f>
        <v>34124936.390000001</v>
      </c>
      <c r="P57" s="212">
        <f t="shared" si="6"/>
        <v>18690641.329999998</v>
      </c>
      <c r="Q57" s="214">
        <f t="shared" si="3"/>
        <v>0.54771212219686705</v>
      </c>
      <c r="R57" s="163">
        <f>'2021'!I57</f>
        <v>236384289.03</v>
      </c>
      <c r="S57" s="212">
        <f t="shared" si="4"/>
        <v>-183568711.31</v>
      </c>
      <c r="T57" s="214">
        <f t="shared" si="5"/>
        <v>-0.77656900153251274</v>
      </c>
    </row>
    <row r="58" spans="1:23" ht="15.75" thickBot="1">
      <c r="A58" s="144">
        <v>4418</v>
      </c>
      <c r="B58" s="523" t="str">
        <f>+VLOOKUP($A58,Master!$D$29:$G$225,4,FALSE)</f>
        <v>Izdaci za kupovinu hartija od vrijednosti</v>
      </c>
      <c r="C58" s="524"/>
      <c r="D58" s="524"/>
      <c r="E58" s="524"/>
      <c r="F58" s="524"/>
      <c r="G58" s="335">
        <f>'2022'!S58</f>
        <v>0</v>
      </c>
      <c r="H58" s="335">
        <f>SUM('2022'!G132:J132)</f>
        <v>189306.68</v>
      </c>
      <c r="I58" s="336">
        <f t="shared" ref="I58:I64" si="9">+G58-H58</f>
        <v>-189306.68</v>
      </c>
      <c r="J58" s="337">
        <f t="shared" si="1"/>
        <v>-1</v>
      </c>
      <c r="K58" s="335">
        <f>SUM('2021'!G58:J58)</f>
        <v>0</v>
      </c>
      <c r="L58" s="336">
        <f t="shared" ref="L58:L64" si="10">+G58-K58</f>
        <v>0</v>
      </c>
      <c r="M58" s="337" t="str">
        <f t="shared" si="2"/>
        <v>...</v>
      </c>
      <c r="N58" s="335">
        <f>'2022'!J58</f>
        <v>0</v>
      </c>
      <c r="O58" s="335">
        <f>'2022'!J132</f>
        <v>48116.67</v>
      </c>
      <c r="P58" s="336">
        <f t="shared" ref="P58:P64" si="11">+N58-O58</f>
        <v>-48116.67</v>
      </c>
      <c r="Q58" s="337">
        <f t="shared" si="3"/>
        <v>-1</v>
      </c>
      <c r="R58" s="335">
        <f>'2021'!I58</f>
        <v>0</v>
      </c>
      <c r="S58" s="336">
        <f t="shared" ref="S58:S64" si="12">+N58-R58</f>
        <v>0</v>
      </c>
      <c r="T58" s="337" t="str">
        <f t="shared" si="5"/>
        <v>...</v>
      </c>
    </row>
    <row r="59" spans="1:23" ht="15.75" thickBot="1">
      <c r="A59" s="144">
        <v>1002</v>
      </c>
      <c r="B59" s="551" t="str">
        <f>+VLOOKUP($A59,Master!$D$29:$G$225,4,FALSE)</f>
        <v>Nedostajuća sredstva</v>
      </c>
      <c r="C59" s="552"/>
      <c r="D59" s="552"/>
      <c r="E59" s="552"/>
      <c r="F59" s="552"/>
      <c r="G59" s="319">
        <f>'2022'!S59</f>
        <v>-148147584.25999996</v>
      </c>
      <c r="H59" s="319">
        <f>SUM('2022'!G133:J133)</f>
        <v>-247525012.23150486</v>
      </c>
      <c r="I59" s="321">
        <f t="shared" si="9"/>
        <v>99377427.971504897</v>
      </c>
      <c r="J59" s="322">
        <f t="shared" si="1"/>
        <v>-0.40148438768102879</v>
      </c>
      <c r="K59" s="319">
        <f>SUM('2021'!G59:J59)</f>
        <v>-462583627.22000003</v>
      </c>
      <c r="L59" s="321">
        <f t="shared" si="10"/>
        <v>314436042.96000004</v>
      </c>
      <c r="M59" s="322">
        <f t="shared" si="2"/>
        <v>-0.67973880712050683</v>
      </c>
      <c r="N59" s="319">
        <f>'2022'!J59</f>
        <v>-71796998.769999951</v>
      </c>
      <c r="O59" s="319">
        <f>'2022'!J133</f>
        <v>-57986203.216634817</v>
      </c>
      <c r="P59" s="321">
        <f t="shared" si="11"/>
        <v>-13810795.553365134</v>
      </c>
      <c r="Q59" s="322">
        <f t="shared" si="3"/>
        <v>0.23817382044774327</v>
      </c>
      <c r="R59" s="319">
        <f>'2021'!I59</f>
        <v>-249036528.67000002</v>
      </c>
      <c r="S59" s="321">
        <f t="shared" si="12"/>
        <v>177239529.90000007</v>
      </c>
      <c r="T59" s="322">
        <f t="shared" si="5"/>
        <v>-0.71170093337938134</v>
      </c>
    </row>
    <row r="60" spans="1:23" ht="15.75" thickBot="1">
      <c r="A60" s="144">
        <v>1003</v>
      </c>
      <c r="B60" s="515" t="str">
        <f>+VLOOKUP($A60,Master!$D$29:$G$225,4,FALSE)</f>
        <v>Finansiranje</v>
      </c>
      <c r="C60" s="516"/>
      <c r="D60" s="516"/>
      <c r="E60" s="516"/>
      <c r="F60" s="516"/>
      <c r="G60" s="151">
        <f>'2022'!S60</f>
        <v>148147584.25999996</v>
      </c>
      <c r="H60" s="151">
        <f>SUM('2022'!G134:J134)</f>
        <v>247525012.23150486</v>
      </c>
      <c r="I60" s="320">
        <f t="shared" si="9"/>
        <v>-99377427.971504897</v>
      </c>
      <c r="J60" s="323">
        <f t="shared" si="1"/>
        <v>-0.40148438768102879</v>
      </c>
      <c r="K60" s="151">
        <f>SUM('2021'!G60:J60)</f>
        <v>462583627.22000003</v>
      </c>
      <c r="L60" s="320">
        <f t="shared" si="10"/>
        <v>-314436042.96000004</v>
      </c>
      <c r="M60" s="323">
        <f t="shared" si="2"/>
        <v>-0.67973880712050683</v>
      </c>
      <c r="N60" s="151">
        <f>'2022'!J60</f>
        <v>71796998.769999951</v>
      </c>
      <c r="O60" s="151">
        <f>'2022'!J134</f>
        <v>57986203.216634825</v>
      </c>
      <c r="P60" s="320">
        <f t="shared" si="11"/>
        <v>13810795.553365126</v>
      </c>
      <c r="Q60" s="323">
        <f t="shared" si="3"/>
        <v>0.23817382044774305</v>
      </c>
      <c r="R60" s="151">
        <f>'2021'!I60</f>
        <v>249036528.67000002</v>
      </c>
      <c r="S60" s="320">
        <f t="shared" si="12"/>
        <v>-177239529.90000007</v>
      </c>
      <c r="T60" s="323">
        <f t="shared" si="5"/>
        <v>-0.71170093337938134</v>
      </c>
    </row>
    <row r="61" spans="1:23">
      <c r="A61" s="144">
        <v>7511</v>
      </c>
      <c r="B61" s="549" t="str">
        <f>+VLOOKUP($A61,Master!$D$29:$G$225,4,FALSE)</f>
        <v>Pozajmice i krediti od domaćih izvora</v>
      </c>
      <c r="C61" s="550"/>
      <c r="D61" s="550"/>
      <c r="E61" s="550"/>
      <c r="F61" s="550"/>
      <c r="G61" s="483">
        <f>'2022'!S61</f>
        <v>0</v>
      </c>
      <c r="H61" s="483">
        <f>SUM('2022'!G135:J135)</f>
        <v>0</v>
      </c>
      <c r="I61" s="212">
        <f t="shared" si="9"/>
        <v>0</v>
      </c>
      <c r="J61" s="214" t="str">
        <f t="shared" si="1"/>
        <v>...</v>
      </c>
      <c r="K61" s="483">
        <f>SUM('2021'!G61:J61)</f>
        <v>0</v>
      </c>
      <c r="L61" s="212">
        <f t="shared" si="10"/>
        <v>0</v>
      </c>
      <c r="M61" s="214" t="str">
        <f t="shared" si="2"/>
        <v>...</v>
      </c>
      <c r="N61" s="483">
        <f>'2022'!J61</f>
        <v>0</v>
      </c>
      <c r="O61" s="483">
        <f>'2022'!J135</f>
        <v>0</v>
      </c>
      <c r="P61" s="212">
        <f t="shared" si="11"/>
        <v>0</v>
      </c>
      <c r="Q61" s="214" t="str">
        <f t="shared" si="3"/>
        <v>...</v>
      </c>
      <c r="R61" s="483">
        <f>'2021'!I61</f>
        <v>0</v>
      </c>
      <c r="S61" s="212">
        <f t="shared" si="12"/>
        <v>0</v>
      </c>
      <c r="T61" s="214" t="str">
        <f t="shared" si="5"/>
        <v>...</v>
      </c>
    </row>
    <row r="62" spans="1:23">
      <c r="A62" s="144">
        <v>7512</v>
      </c>
      <c r="B62" s="525" t="str">
        <f>+VLOOKUP($A62,Master!$D$29:$G$225,4,FALSE)</f>
        <v>Pozajmice i krediti od inostranih izvora</v>
      </c>
      <c r="C62" s="526"/>
      <c r="D62" s="526"/>
      <c r="E62" s="526"/>
      <c r="F62" s="526"/>
      <c r="G62" s="163">
        <f>'2022'!S62</f>
        <v>21002662.420000002</v>
      </c>
      <c r="H62" s="163">
        <f>SUM('2022'!G136:J136)</f>
        <v>46097617.887999997</v>
      </c>
      <c r="I62" s="212">
        <f t="shared" si="9"/>
        <v>-25094955.467999995</v>
      </c>
      <c r="J62" s="214">
        <f t="shared" si="1"/>
        <v>-0.54438725074626126</v>
      </c>
      <c r="K62" s="163">
        <f>SUM('2021'!G62:J62)</f>
        <v>29312371.630000003</v>
      </c>
      <c r="L62" s="212">
        <f t="shared" si="10"/>
        <v>-8309709.2100000009</v>
      </c>
      <c r="M62" s="214">
        <f t="shared" si="2"/>
        <v>-0.28348812286124803</v>
      </c>
      <c r="N62" s="163">
        <f>'2022'!J62</f>
        <v>1092332.6199999999</v>
      </c>
      <c r="O62" s="163">
        <f>'2022'!J136</f>
        <v>10164404.471999999</v>
      </c>
      <c r="P62" s="212">
        <f t="shared" si="11"/>
        <v>-9072071.852</v>
      </c>
      <c r="Q62" s="214">
        <f t="shared" si="3"/>
        <v>-0.89253353474775021</v>
      </c>
      <c r="R62" s="163">
        <f>'2021'!I62</f>
        <v>1856107.06</v>
      </c>
      <c r="S62" s="212">
        <f t="shared" si="12"/>
        <v>-763774.44000000018</v>
      </c>
      <c r="T62" s="214">
        <f t="shared" si="5"/>
        <v>-0.41149266465265222</v>
      </c>
    </row>
    <row r="63" spans="1:23">
      <c r="A63" s="144">
        <v>72</v>
      </c>
      <c r="B63" s="525" t="str">
        <f>+VLOOKUP($A63,Master!$D$29:$G$225,4,FALSE)</f>
        <v>Primici od prodaje imovine</v>
      </c>
      <c r="C63" s="526"/>
      <c r="D63" s="526"/>
      <c r="E63" s="526"/>
      <c r="F63" s="526"/>
      <c r="G63" s="163">
        <f>'2022'!S63</f>
        <v>1913759.03</v>
      </c>
      <c r="H63" s="163">
        <f>SUM('2022'!G137:J137)</f>
        <v>2000000</v>
      </c>
      <c r="I63" s="212">
        <f t="shared" si="9"/>
        <v>-86240.969999999972</v>
      </c>
      <c r="J63" s="214">
        <f t="shared" si="1"/>
        <v>-4.3120484999999986E-2</v>
      </c>
      <c r="K63" s="163">
        <f>SUM('2021'!G63:J63)</f>
        <v>155733.29999999999</v>
      </c>
      <c r="L63" s="212">
        <f t="shared" si="10"/>
        <v>1758025.73</v>
      </c>
      <c r="M63" s="214" t="str">
        <f t="shared" si="2"/>
        <v>...</v>
      </c>
      <c r="N63" s="163">
        <f>'2022'!J63</f>
        <v>766267.74</v>
      </c>
      <c r="O63" s="163">
        <f>'2022'!J137</f>
        <v>500000</v>
      </c>
      <c r="P63" s="212">
        <f t="shared" si="11"/>
        <v>266267.74</v>
      </c>
      <c r="Q63" s="214">
        <f t="shared" si="3"/>
        <v>0.53253547999999995</v>
      </c>
      <c r="R63" s="163">
        <f>'2021'!I63</f>
        <v>52164.39</v>
      </c>
      <c r="S63" s="212">
        <f t="shared" si="12"/>
        <v>714103.35</v>
      </c>
      <c r="T63" s="214" t="str">
        <f t="shared" si="5"/>
        <v>...</v>
      </c>
    </row>
    <row r="64" spans="1:23" ht="15.7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317">
        <f>'2022'!S64</f>
        <v>125231162.80999994</v>
      </c>
      <c r="H64" s="317">
        <f>SUM('2022'!G138:J138)</f>
        <v>199427394.34350491</v>
      </c>
      <c r="I64" s="226">
        <f t="shared" si="9"/>
        <v>-74196231.533504963</v>
      </c>
      <c r="J64" s="228">
        <f t="shared" si="1"/>
        <v>-0.37204633685232447</v>
      </c>
      <c r="K64" s="317">
        <f>SUM('2021'!G64:J64)</f>
        <v>433115522.29000002</v>
      </c>
      <c r="L64" s="226">
        <f t="shared" si="10"/>
        <v>-307884359.48000008</v>
      </c>
      <c r="M64" s="228">
        <f t="shared" si="2"/>
        <v>-0.71085967515579074</v>
      </c>
      <c r="N64" s="317">
        <f>'2022'!J64</f>
        <v>69938398.409999952</v>
      </c>
      <c r="O64" s="317">
        <f>'2022'!J138</f>
        <v>47321798.744634822</v>
      </c>
      <c r="P64" s="226">
        <f t="shared" si="11"/>
        <v>22616599.66536513</v>
      </c>
      <c r="Q64" s="228">
        <f t="shared" si="3"/>
        <v>0.47793195240553521</v>
      </c>
      <c r="R64" s="317">
        <f>'2021'!I64</f>
        <v>247128257.22000003</v>
      </c>
      <c r="S64" s="226">
        <f t="shared" si="12"/>
        <v>-177189858.81000006</v>
      </c>
      <c r="T64" s="228">
        <f t="shared" si="5"/>
        <v>-0.71699554232788942</v>
      </c>
    </row>
    <row r="65" spans="6:18">
      <c r="G65" s="290"/>
    </row>
    <row r="66" spans="6:18">
      <c r="G66" s="5"/>
    </row>
    <row r="67" spans="6:18">
      <c r="F67" s="290"/>
      <c r="G67" s="5"/>
      <c r="H67" s="290"/>
      <c r="N67" s="501"/>
    </row>
    <row r="68" spans="6:18">
      <c r="G68" s="5"/>
    </row>
    <row r="69" spans="6:18">
      <c r="G69" s="5"/>
      <c r="R69" s="345"/>
    </row>
    <row r="70" spans="6:18">
      <c r="G70" s="5"/>
    </row>
  </sheetData>
  <sheetProtection algorithmName="SHA-512" hashValue="Wer11HMJW+sZE4h+fC+rBeApAt6VzpjTgtIjrljza6hCdwResrZ6L63xj6Cf8nt91ug2BfY5cZyIMJc8uHz3ug==" saltValue="RT07ZCQcaPg3ycU+z2pA2A==" spinCount="100000" sheet="1" objects="1" scenarios="1" selectLockedCells="1" selectUnlockedCells="1"/>
  <mergeCells count="61"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</mergeCells>
  <pageMargins left="0.11811023622047245" right="0.11811023622047245" top="0.19685039370078741" bottom="0.19685039370078741" header="0.31496062992125984" footer="0.31496062992125984"/>
  <pageSetup paperSize="9" scale="63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46"/>
  <sheetViews>
    <sheetView zoomScale="85" zoomScaleNormal="85" workbookViewId="0">
      <pane ySplit="1" topLeftCell="A2" activePane="bottomLeft" state="frozen"/>
      <selection pane="bottomLeft" activeCell="J53" sqref="J5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7" width="12.28515625" style="258" bestFit="1" customWidth="1"/>
    <col min="8" max="9" width="10.7109375" style="258" customWidth="1"/>
    <col min="10" max="10" width="14.42578125" style="258" customWidth="1"/>
    <col min="11" max="11" width="10.7109375" style="258" customWidth="1"/>
    <col min="12" max="12" width="12.28515625" style="258" bestFit="1" customWidth="1"/>
    <col min="13" max="14" width="10.7109375" style="258" customWidth="1"/>
    <col min="15" max="16" width="12.28515625" style="258" bestFit="1" customWidth="1"/>
    <col min="17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500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500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500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828</v>
      </c>
      <c r="H6" s="234" t="s">
        <v>829</v>
      </c>
      <c r="I6" s="234" t="s">
        <v>830</v>
      </c>
      <c r="J6" s="234" t="s">
        <v>831</v>
      </c>
      <c r="K6" s="234" t="s">
        <v>832</v>
      </c>
      <c r="L6" s="234" t="s">
        <v>833</v>
      </c>
      <c r="M6" s="234" t="s">
        <v>834</v>
      </c>
      <c r="N6" s="234" t="s">
        <v>835</v>
      </c>
      <c r="O6" s="234" t="s">
        <v>836</v>
      </c>
      <c r="P6" s="234" t="s">
        <v>837</v>
      </c>
      <c r="Q6" s="234" t="s">
        <v>838</v>
      </c>
      <c r="R6" s="234" t="s">
        <v>839</v>
      </c>
      <c r="S6" s="233"/>
      <c r="T6" s="233"/>
    </row>
    <row r="7" spans="1:20" ht="15" customHeight="1" thickBot="1">
      <c r="A7" s="144"/>
      <c r="B7" s="555" t="str">
        <f>+Master!G251</f>
        <v>Ostvarenje budžeta</v>
      </c>
      <c r="C7" s="536"/>
      <c r="D7" s="536"/>
      <c r="E7" s="536"/>
      <c r="F7" s="536"/>
      <c r="G7" s="544">
        <v>2022</v>
      </c>
      <c r="H7" s="545"/>
      <c r="I7" s="545"/>
      <c r="J7" s="545"/>
      <c r="K7" s="545"/>
      <c r="L7" s="545"/>
      <c r="M7" s="545"/>
      <c r="N7" s="545"/>
      <c r="O7" s="545"/>
      <c r="P7" s="545"/>
      <c r="Q7" s="545"/>
      <c r="R7" s="548"/>
      <c r="S7" s="235" t="str">
        <f>+Master!G248</f>
        <v>BDP</v>
      </c>
      <c r="T7" s="236">
        <v>5306400000</v>
      </c>
    </row>
    <row r="8" spans="1:20" ht="16.5" customHeight="1">
      <c r="A8" s="144"/>
      <c r="B8" s="537"/>
      <c r="C8" s="538"/>
      <c r="D8" s="538"/>
      <c r="E8" s="538"/>
      <c r="F8" s="539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44" t="str">
        <f>+Master!G246</f>
        <v>Jan - Dec</v>
      </c>
      <c r="T8" s="548"/>
    </row>
    <row r="9" spans="1:20" ht="13.5" thickBot="1">
      <c r="A9" s="144"/>
      <c r="B9" s="540"/>
      <c r="C9" s="541"/>
      <c r="D9" s="541"/>
      <c r="E9" s="541"/>
      <c r="F9" s="542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03" t="str">
        <f>+VLOOKUP($A10,Master!$D$29:$G$225,4,FALSE)</f>
        <v>Prihodi budžeta</v>
      </c>
      <c r="C10" s="504"/>
      <c r="D10" s="504"/>
      <c r="E10" s="504"/>
      <c r="F10" s="504"/>
      <c r="G10" s="151">
        <f>+G11+G19+SUM(G24:G28)</f>
        <v>107803954.11</v>
      </c>
      <c r="H10" s="151">
        <f t="shared" ref="H10:R10" si="1">+H11+H19+SUM(H24:H28)</f>
        <v>124618414.24000001</v>
      </c>
      <c r="I10" s="151">
        <f t="shared" si="1"/>
        <v>184138202.87</v>
      </c>
      <c r="J10" s="151">
        <f t="shared" si="1"/>
        <v>181994151.28</v>
      </c>
      <c r="K10" s="151">
        <f t="shared" si="1"/>
        <v>0</v>
      </c>
      <c r="L10" s="151">
        <f t="shared" si="1"/>
        <v>0</v>
      </c>
      <c r="M10" s="151">
        <f t="shared" si="1"/>
        <v>0</v>
      </c>
      <c r="N10" s="151">
        <f t="shared" si="1"/>
        <v>0</v>
      </c>
      <c r="O10" s="151">
        <f t="shared" si="1"/>
        <v>0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239">
        <f>+SUM(G10:R10)</f>
        <v>598554722.5</v>
      </c>
      <c r="T10" s="462">
        <f>+S10/$T$7*100</f>
        <v>11.279864361902609</v>
      </c>
    </row>
    <row r="11" spans="1:20">
      <c r="A11" s="150">
        <v>711</v>
      </c>
      <c r="B11" s="505" t="str">
        <f>+VLOOKUP($A11,Master!$D$29:$G$225,4,FALSE)</f>
        <v>Porezi</v>
      </c>
      <c r="C11" s="506"/>
      <c r="D11" s="506"/>
      <c r="E11" s="506"/>
      <c r="F11" s="506"/>
      <c r="G11" s="157">
        <f t="shared" ref="G11:R11" si="2">+SUM(G12:G18)</f>
        <v>80559495.530000001</v>
      </c>
      <c r="H11" s="157">
        <f t="shared" si="2"/>
        <v>83215985.099999994</v>
      </c>
      <c r="I11" s="157">
        <f t="shared" si="2"/>
        <v>136363333.32000002</v>
      </c>
      <c r="J11" s="157">
        <f t="shared" si="2"/>
        <v>133978505.54000001</v>
      </c>
      <c r="K11" s="157">
        <f t="shared" si="2"/>
        <v>0</v>
      </c>
      <c r="L11" s="157">
        <f>+SUM(L12:L18)</f>
        <v>0</v>
      </c>
      <c r="M11" s="157">
        <f t="shared" si="2"/>
        <v>0</v>
      </c>
      <c r="N11" s="157">
        <f t="shared" si="2"/>
        <v>0</v>
      </c>
      <c r="O11" s="157">
        <f t="shared" si="2"/>
        <v>0</v>
      </c>
      <c r="P11" s="157">
        <f t="shared" si="2"/>
        <v>0</v>
      </c>
      <c r="Q11" s="157">
        <f t="shared" si="2"/>
        <v>0</v>
      </c>
      <c r="R11" s="240">
        <f t="shared" si="2"/>
        <v>0</v>
      </c>
      <c r="S11" s="241">
        <f>+SUM(G11:R11)</f>
        <v>434117319.49000007</v>
      </c>
      <c r="T11" s="463">
        <f t="shared" ref="T11:T64" si="3">+S11/$T$7*100</f>
        <v>8.1810138604326852</v>
      </c>
    </row>
    <row r="12" spans="1:20">
      <c r="A12" s="150">
        <v>7111</v>
      </c>
      <c r="B12" s="507" t="str">
        <f>+VLOOKUP($A12,Master!$D$29:$G$225,4,FALSE)</f>
        <v>Porez na dohodak fizičkih lica</v>
      </c>
      <c r="C12" s="508"/>
      <c r="D12" s="508"/>
      <c r="E12" s="508"/>
      <c r="F12" s="508"/>
      <c r="G12" s="163">
        <v>6139790.5700000003</v>
      </c>
      <c r="H12" s="163">
        <v>7672775.8099999996</v>
      </c>
      <c r="I12" s="163">
        <v>6664350.6399999997</v>
      </c>
      <c r="J12" s="163">
        <v>8050769.3899999997</v>
      </c>
      <c r="K12" s="163">
        <v>0</v>
      </c>
      <c r="L12" s="163">
        <v>0</v>
      </c>
      <c r="M12" s="163">
        <v>0</v>
      </c>
      <c r="N12" s="163">
        <v>0</v>
      </c>
      <c r="O12" s="163">
        <v>0</v>
      </c>
      <c r="P12" s="163">
        <v>0</v>
      </c>
      <c r="Q12" s="163">
        <v>0</v>
      </c>
      <c r="R12" s="163">
        <v>0</v>
      </c>
      <c r="S12" s="242">
        <f t="shared" ref="S12:S63" si="4">+SUM(G12:R12)</f>
        <v>28527686.41</v>
      </c>
      <c r="T12" s="464">
        <f t="shared" si="3"/>
        <v>0.53760904586913916</v>
      </c>
    </row>
    <row r="13" spans="1:20">
      <c r="A13" s="150">
        <v>7112</v>
      </c>
      <c r="B13" s="507" t="str">
        <f>+VLOOKUP($A13,Master!$D$29:$G$225,4,FALSE)</f>
        <v>Porez na dobit pravnih lica</v>
      </c>
      <c r="C13" s="508"/>
      <c r="D13" s="508"/>
      <c r="E13" s="508"/>
      <c r="F13" s="508"/>
      <c r="G13" s="163">
        <v>395935.5</v>
      </c>
      <c r="H13" s="163">
        <v>2173083.29</v>
      </c>
      <c r="I13" s="163">
        <v>38679260.32</v>
      </c>
      <c r="J13" s="163">
        <v>28771681.68</v>
      </c>
      <c r="K13" s="163">
        <v>0</v>
      </c>
      <c r="L13" s="163">
        <v>0</v>
      </c>
      <c r="M13" s="163">
        <v>0</v>
      </c>
      <c r="N13" s="163">
        <v>0</v>
      </c>
      <c r="O13" s="163">
        <v>0</v>
      </c>
      <c r="P13" s="163">
        <v>0</v>
      </c>
      <c r="Q13" s="163">
        <v>0</v>
      </c>
      <c r="R13" s="163">
        <v>0</v>
      </c>
      <c r="S13" s="242">
        <f t="shared" si="4"/>
        <v>70019960.789999992</v>
      </c>
      <c r="T13" s="464">
        <f t="shared" si="3"/>
        <v>1.3195379313658975</v>
      </c>
    </row>
    <row r="14" spans="1:20">
      <c r="A14" s="150">
        <v>7113</v>
      </c>
      <c r="B14" s="507" t="str">
        <f>+VLOOKUP($A14,Master!$D$29:$G$225,4,FALSE)</f>
        <v>Porez na promet nepokretnosti</v>
      </c>
      <c r="C14" s="508"/>
      <c r="D14" s="508"/>
      <c r="E14" s="508"/>
      <c r="F14" s="508"/>
      <c r="G14" s="163">
        <v>146340.34</v>
      </c>
      <c r="H14" s="163">
        <v>168193.65</v>
      </c>
      <c r="I14" s="163">
        <v>233459.66</v>
      </c>
      <c r="J14" s="163">
        <v>245580.28</v>
      </c>
      <c r="K14" s="163">
        <v>0</v>
      </c>
      <c r="L14" s="163">
        <v>0</v>
      </c>
      <c r="M14" s="163">
        <v>0</v>
      </c>
      <c r="N14" s="163">
        <v>0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793573.93</v>
      </c>
      <c r="T14" s="464">
        <f t="shared" si="3"/>
        <v>1.495503410975426E-2</v>
      </c>
    </row>
    <row r="15" spans="1:20">
      <c r="A15" s="150">
        <v>7114</v>
      </c>
      <c r="B15" s="507" t="str">
        <f>+VLOOKUP($A15,Master!$D$29:$G$225,4,FALSE)</f>
        <v>Porez na dodatu vrijednost</v>
      </c>
      <c r="C15" s="508"/>
      <c r="D15" s="508"/>
      <c r="E15" s="508"/>
      <c r="F15" s="508"/>
      <c r="G15" s="163">
        <v>50270008.859999999</v>
      </c>
      <c r="H15" s="163">
        <v>54121445.460000001</v>
      </c>
      <c r="I15" s="163">
        <v>67019753.909999996</v>
      </c>
      <c r="J15" s="163">
        <v>73487462.640000001</v>
      </c>
      <c r="K15" s="163">
        <v>0</v>
      </c>
      <c r="L15" s="163">
        <v>0</v>
      </c>
      <c r="M15" s="163">
        <v>0</v>
      </c>
      <c r="N15" s="163">
        <v>0</v>
      </c>
      <c r="O15" s="163">
        <v>0</v>
      </c>
      <c r="P15" s="163">
        <v>0</v>
      </c>
      <c r="Q15" s="163">
        <v>0</v>
      </c>
      <c r="R15" s="163">
        <v>0</v>
      </c>
      <c r="S15" s="242">
        <f t="shared" si="4"/>
        <v>244898670.87</v>
      </c>
      <c r="T15" s="464">
        <f t="shared" si="3"/>
        <v>4.6151566197421978</v>
      </c>
    </row>
    <row r="16" spans="1:20">
      <c r="A16" s="150">
        <v>7115</v>
      </c>
      <c r="B16" s="507" t="str">
        <f>+VLOOKUP($A16,Master!$D$29:$G$225,4,FALSE)</f>
        <v>Akcize</v>
      </c>
      <c r="C16" s="508"/>
      <c r="D16" s="508"/>
      <c r="E16" s="508"/>
      <c r="F16" s="508"/>
      <c r="G16" s="163">
        <v>21096875.199999999</v>
      </c>
      <c r="H16" s="163">
        <v>16062530.34</v>
      </c>
      <c r="I16" s="163">
        <v>19528829.140000001</v>
      </c>
      <c r="J16" s="163">
        <v>19259652.579999998</v>
      </c>
      <c r="K16" s="163">
        <v>0</v>
      </c>
      <c r="L16" s="163">
        <v>0</v>
      </c>
      <c r="M16" s="163">
        <v>0</v>
      </c>
      <c r="N16" s="163">
        <v>0</v>
      </c>
      <c r="O16" s="163">
        <v>0</v>
      </c>
      <c r="P16" s="163">
        <v>0</v>
      </c>
      <c r="Q16" s="163">
        <v>0</v>
      </c>
      <c r="R16" s="163">
        <v>0</v>
      </c>
      <c r="S16" s="242">
        <f t="shared" si="4"/>
        <v>75947887.25999999</v>
      </c>
      <c r="T16" s="464">
        <f t="shared" si="3"/>
        <v>1.4312507021709633</v>
      </c>
    </row>
    <row r="17" spans="1:23">
      <c r="A17" s="150">
        <v>7116</v>
      </c>
      <c r="B17" s="507" t="str">
        <f>+VLOOKUP($A17,Master!$D$29:$G$225,4,FALSE)</f>
        <v>Porez na međunarodnu trgovinu i transakcije</v>
      </c>
      <c r="C17" s="508"/>
      <c r="D17" s="508"/>
      <c r="E17" s="508"/>
      <c r="F17" s="508"/>
      <c r="G17" s="163">
        <v>1689510.83</v>
      </c>
      <c r="H17" s="163">
        <v>2149003.6</v>
      </c>
      <c r="I17" s="163">
        <v>3284454.25</v>
      </c>
      <c r="J17" s="163">
        <v>3111315.33</v>
      </c>
      <c r="K17" s="163">
        <v>0</v>
      </c>
      <c r="L17" s="163">
        <v>0</v>
      </c>
      <c r="M17" s="163">
        <v>0</v>
      </c>
      <c r="N17" s="163">
        <v>0</v>
      </c>
      <c r="O17" s="163">
        <v>0</v>
      </c>
      <c r="P17" s="163">
        <v>0</v>
      </c>
      <c r="Q17" s="163">
        <v>0</v>
      </c>
      <c r="R17" s="163">
        <v>0</v>
      </c>
      <c r="S17" s="242">
        <f t="shared" si="4"/>
        <v>10234284.01</v>
      </c>
      <c r="T17" s="464">
        <f t="shared" si="3"/>
        <v>0.19286680254032865</v>
      </c>
    </row>
    <row r="18" spans="1:23">
      <c r="A18" s="150">
        <v>7118</v>
      </c>
      <c r="B18" s="507" t="str">
        <f>+VLOOKUP($A18,Master!$D$29:$G$225,4,FALSE)</f>
        <v>Ostali državni porezi</v>
      </c>
      <c r="C18" s="508"/>
      <c r="D18" s="508"/>
      <c r="E18" s="508"/>
      <c r="F18" s="508"/>
      <c r="G18" s="163">
        <v>821034.23</v>
      </c>
      <c r="H18" s="163">
        <v>868952.95</v>
      </c>
      <c r="I18" s="163">
        <v>953225.4</v>
      </c>
      <c r="J18" s="163">
        <v>1052043.6399999999</v>
      </c>
      <c r="K18" s="163">
        <v>0</v>
      </c>
      <c r="L18" s="163">
        <v>0</v>
      </c>
      <c r="M18" s="163">
        <v>0</v>
      </c>
      <c r="N18" s="163">
        <v>0</v>
      </c>
      <c r="O18" s="163">
        <v>0</v>
      </c>
      <c r="P18" s="163">
        <v>0</v>
      </c>
      <c r="Q18" s="163">
        <v>0</v>
      </c>
      <c r="R18" s="163">
        <v>0</v>
      </c>
      <c r="S18" s="242">
        <f t="shared" si="4"/>
        <v>3695256.2199999997</v>
      </c>
      <c r="T18" s="464">
        <f t="shared" si="3"/>
        <v>6.9637724634403736E-2</v>
      </c>
    </row>
    <row r="19" spans="1:23">
      <c r="A19" s="150">
        <v>712</v>
      </c>
      <c r="B19" s="511" t="str">
        <f>+VLOOKUP($A19,Master!$D$29:$G$225,4,FALSE)</f>
        <v>Doprinosi</v>
      </c>
      <c r="C19" s="512"/>
      <c r="D19" s="512"/>
      <c r="E19" s="512"/>
      <c r="F19" s="512"/>
      <c r="G19" s="169">
        <f>SUM(G20:G23)</f>
        <v>11731802.159999998</v>
      </c>
      <c r="H19" s="169">
        <f t="shared" ref="H19:R19" si="5">SUM(H20:H23)</f>
        <v>34984293.990000002</v>
      </c>
      <c r="I19" s="169">
        <f t="shared" si="5"/>
        <v>37056759.600000001</v>
      </c>
      <c r="J19" s="169">
        <f t="shared" si="5"/>
        <v>37592490.479999997</v>
      </c>
      <c r="K19" s="169">
        <f t="shared" si="5"/>
        <v>0</v>
      </c>
      <c r="L19" s="169">
        <f t="shared" si="5"/>
        <v>0</v>
      </c>
      <c r="M19" s="169">
        <f t="shared" si="5"/>
        <v>0</v>
      </c>
      <c r="N19" s="169">
        <f t="shared" si="5"/>
        <v>0</v>
      </c>
      <c r="O19" s="169">
        <f t="shared" si="5"/>
        <v>0</v>
      </c>
      <c r="P19" s="169">
        <f t="shared" si="5"/>
        <v>0</v>
      </c>
      <c r="Q19" s="169">
        <f t="shared" si="5"/>
        <v>0</v>
      </c>
      <c r="R19" s="169">
        <f t="shared" si="5"/>
        <v>0</v>
      </c>
      <c r="S19" s="243">
        <f t="shared" si="4"/>
        <v>121365346.22999999</v>
      </c>
      <c r="T19" s="465">
        <f t="shared" si="3"/>
        <v>2.2871503510854816</v>
      </c>
    </row>
    <row r="20" spans="1:23">
      <c r="A20" s="150">
        <v>7121</v>
      </c>
      <c r="B20" s="507" t="str">
        <f>+VLOOKUP($A20,Master!$D$29:$G$225,4,FALSE)</f>
        <v>Doprinosi za penzijsko i invalidsko osiguranje</v>
      </c>
      <c r="C20" s="508"/>
      <c r="D20" s="508"/>
      <c r="E20" s="508"/>
      <c r="F20" s="508"/>
      <c r="G20" s="163">
        <v>7550452.8499999996</v>
      </c>
      <c r="H20" s="163">
        <v>24366605.109999999</v>
      </c>
      <c r="I20" s="163">
        <v>31891479.559999999</v>
      </c>
      <c r="J20" s="163">
        <v>32988975.75</v>
      </c>
      <c r="K20" s="163">
        <v>0</v>
      </c>
      <c r="L20" s="163">
        <v>0</v>
      </c>
      <c r="M20" s="163">
        <v>0</v>
      </c>
      <c r="N20" s="163">
        <v>0</v>
      </c>
      <c r="O20" s="163">
        <v>0</v>
      </c>
      <c r="P20" s="163">
        <v>0</v>
      </c>
      <c r="Q20" s="163">
        <v>0</v>
      </c>
      <c r="R20" s="163">
        <v>0</v>
      </c>
      <c r="S20" s="242">
        <f>+SUM(G20:R20)</f>
        <v>96797513.269999996</v>
      </c>
      <c r="T20" s="464">
        <f t="shared" si="3"/>
        <v>1.8241654091285993</v>
      </c>
    </row>
    <row r="21" spans="1:23">
      <c r="A21" s="150">
        <v>7122</v>
      </c>
      <c r="B21" s="507" t="str">
        <f>+VLOOKUP($A21,Master!$D$29:$G$225,4,FALSE)</f>
        <v>Doprinosi za zdravstveno osiguranje</v>
      </c>
      <c r="C21" s="508"/>
      <c r="D21" s="508"/>
      <c r="E21" s="508"/>
      <c r="F21" s="508"/>
      <c r="G21" s="163">
        <v>3618221.62</v>
      </c>
      <c r="H21" s="163">
        <v>8815681.4700000007</v>
      </c>
      <c r="I21" s="163">
        <v>2582574.44</v>
      </c>
      <c r="J21" s="163">
        <v>1899377.01</v>
      </c>
      <c r="K21" s="163">
        <v>0</v>
      </c>
      <c r="L21" s="163">
        <v>0</v>
      </c>
      <c r="M21" s="163">
        <v>0</v>
      </c>
      <c r="N21" s="163">
        <v>0</v>
      </c>
      <c r="O21" s="163">
        <v>0</v>
      </c>
      <c r="P21" s="163">
        <v>0</v>
      </c>
      <c r="Q21" s="163">
        <v>0</v>
      </c>
      <c r="R21" s="163">
        <v>0</v>
      </c>
      <c r="S21" s="242">
        <f t="shared" si="4"/>
        <v>16915854.539999999</v>
      </c>
      <c r="T21" s="464">
        <f t="shared" si="3"/>
        <v>0.31878212234283126</v>
      </c>
    </row>
    <row r="22" spans="1:23">
      <c r="A22" s="150">
        <v>7123</v>
      </c>
      <c r="B22" s="507" t="str">
        <f>+VLOOKUP($A22,Master!$D$29:$G$225,4,FALSE)</f>
        <v>Doprinosi za osiguranje od nezaposlenosti</v>
      </c>
      <c r="C22" s="508"/>
      <c r="D22" s="508"/>
      <c r="E22" s="508"/>
      <c r="F22" s="508"/>
      <c r="G22" s="163">
        <v>333527.59999999998</v>
      </c>
      <c r="H22" s="163">
        <v>1107968.99</v>
      </c>
      <c r="I22" s="163">
        <v>1459655.88</v>
      </c>
      <c r="J22" s="163">
        <v>1501790.24</v>
      </c>
      <c r="K22" s="163">
        <v>0</v>
      </c>
      <c r="L22" s="163">
        <v>0</v>
      </c>
      <c r="M22" s="163">
        <v>0</v>
      </c>
      <c r="N22" s="163">
        <v>0</v>
      </c>
      <c r="O22" s="163">
        <v>0</v>
      </c>
      <c r="P22" s="163">
        <v>0</v>
      </c>
      <c r="Q22" s="163">
        <v>0</v>
      </c>
      <c r="R22" s="163">
        <v>0</v>
      </c>
      <c r="S22" s="242">
        <f t="shared" si="4"/>
        <v>4402942.71</v>
      </c>
      <c r="T22" s="464">
        <f t="shared" si="3"/>
        <v>8.2974195499773862E-2</v>
      </c>
    </row>
    <row r="23" spans="1:23">
      <c r="A23" s="150">
        <v>7124</v>
      </c>
      <c r="B23" s="507" t="str">
        <f>+VLOOKUP($A23,Master!$D$29:$G$225,4,FALSE)</f>
        <v>Ostali doprinosi</v>
      </c>
      <c r="C23" s="508"/>
      <c r="D23" s="508"/>
      <c r="E23" s="508"/>
      <c r="F23" s="508"/>
      <c r="G23" s="163">
        <v>229600.09</v>
      </c>
      <c r="H23" s="163">
        <v>694038.42</v>
      </c>
      <c r="I23" s="163">
        <v>1123049.72</v>
      </c>
      <c r="J23" s="163">
        <v>1202347.48</v>
      </c>
      <c r="K23" s="163">
        <v>0</v>
      </c>
      <c r="L23" s="163">
        <v>0</v>
      </c>
      <c r="M23" s="163">
        <v>0</v>
      </c>
      <c r="N23" s="163">
        <v>0</v>
      </c>
      <c r="O23" s="163">
        <v>0</v>
      </c>
      <c r="P23" s="163">
        <v>0</v>
      </c>
      <c r="Q23" s="163">
        <v>0</v>
      </c>
      <c r="R23" s="163">
        <v>0</v>
      </c>
      <c r="S23" s="242">
        <f t="shared" si="4"/>
        <v>3249035.71</v>
      </c>
      <c r="T23" s="464">
        <f t="shared" si="3"/>
        <v>6.1228624114277097E-2</v>
      </c>
      <c r="W23" s="305"/>
    </row>
    <row r="24" spans="1:23">
      <c r="A24" s="150">
        <v>713</v>
      </c>
      <c r="B24" s="509" t="str">
        <f>+VLOOKUP($A24,Master!$D$29:$G$225,4,FALSE)</f>
        <v>Takse</v>
      </c>
      <c r="C24" s="510"/>
      <c r="D24" s="510"/>
      <c r="E24" s="510"/>
      <c r="F24" s="510"/>
      <c r="G24" s="175">
        <v>606952.54999999993</v>
      </c>
      <c r="H24" s="175">
        <v>773951.60000000009</v>
      </c>
      <c r="I24" s="175">
        <v>932834.7</v>
      </c>
      <c r="J24" s="175">
        <v>1014885.97</v>
      </c>
      <c r="K24" s="175">
        <v>0</v>
      </c>
      <c r="L24" s="175">
        <v>0</v>
      </c>
      <c r="M24" s="175">
        <v>0</v>
      </c>
      <c r="N24" s="175">
        <v>0</v>
      </c>
      <c r="O24" s="175">
        <v>0</v>
      </c>
      <c r="P24" s="175">
        <v>0</v>
      </c>
      <c r="Q24" s="175">
        <v>0</v>
      </c>
      <c r="R24" s="175">
        <v>0</v>
      </c>
      <c r="S24" s="243">
        <f t="shared" si="4"/>
        <v>3328624.8199999994</v>
      </c>
      <c r="T24" s="465">
        <f t="shared" si="3"/>
        <v>6.2728494271068885E-2</v>
      </c>
      <c r="W24" s="305"/>
    </row>
    <row r="25" spans="1:23">
      <c r="A25" s="150">
        <v>714</v>
      </c>
      <c r="B25" s="509" t="str">
        <f>+VLOOKUP($A25,Master!$D$29:$G$225,4,FALSE)</f>
        <v>Naknade</v>
      </c>
      <c r="C25" s="510"/>
      <c r="D25" s="510"/>
      <c r="E25" s="510"/>
      <c r="F25" s="510"/>
      <c r="G25" s="175">
        <v>12538803.32</v>
      </c>
      <c r="H25" s="175">
        <v>2358745.7999999998</v>
      </c>
      <c r="I25" s="175">
        <v>2432089.7200000002</v>
      </c>
      <c r="J25" s="175">
        <v>3083781.29</v>
      </c>
      <c r="K25" s="175">
        <v>0</v>
      </c>
      <c r="L25" s="175">
        <v>0</v>
      </c>
      <c r="M25" s="175">
        <v>0</v>
      </c>
      <c r="N25" s="175">
        <v>0</v>
      </c>
      <c r="O25" s="175">
        <v>0</v>
      </c>
      <c r="P25" s="175">
        <v>0</v>
      </c>
      <c r="Q25" s="175">
        <v>0</v>
      </c>
      <c r="R25" s="175">
        <v>0</v>
      </c>
      <c r="S25" s="243">
        <f t="shared" si="4"/>
        <v>20413420.129999999</v>
      </c>
      <c r="T25" s="465">
        <f t="shared" si="3"/>
        <v>0.3846943338233077</v>
      </c>
    </row>
    <row r="26" spans="1:23">
      <c r="A26" s="150">
        <v>715</v>
      </c>
      <c r="B26" s="509" t="str">
        <f>+VLOOKUP($A26,Master!$D$29:$G$225,4,FALSE)</f>
        <v>Ostali prihodi</v>
      </c>
      <c r="C26" s="510"/>
      <c r="D26" s="510"/>
      <c r="E26" s="510"/>
      <c r="F26" s="510"/>
      <c r="G26" s="175">
        <v>1297684</v>
      </c>
      <c r="H26" s="175">
        <v>1641264.9300000002</v>
      </c>
      <c r="I26" s="175">
        <v>1736220.8</v>
      </c>
      <c r="J26" s="175">
        <v>3432683.2699999996</v>
      </c>
      <c r="K26" s="175">
        <v>0</v>
      </c>
      <c r="L26" s="175">
        <v>0</v>
      </c>
      <c r="M26" s="175">
        <v>0</v>
      </c>
      <c r="N26" s="175">
        <v>0</v>
      </c>
      <c r="O26" s="175">
        <v>0</v>
      </c>
      <c r="P26" s="175">
        <v>0</v>
      </c>
      <c r="Q26" s="175">
        <v>0</v>
      </c>
      <c r="R26" s="175">
        <v>0</v>
      </c>
      <c r="S26" s="243">
        <f t="shared" si="4"/>
        <v>8107853</v>
      </c>
      <c r="T26" s="465">
        <f t="shared" si="3"/>
        <v>0.15279385270616613</v>
      </c>
    </row>
    <row r="27" spans="1:23">
      <c r="A27" s="150">
        <v>73</v>
      </c>
      <c r="B27" s="509" t="str">
        <f>+VLOOKUP($A27,Master!$D$29:$G$225,4,FALSE)</f>
        <v>Primici od otplate kredita i sredstva prenesena iz prethodne godine</v>
      </c>
      <c r="C27" s="510"/>
      <c r="D27" s="510"/>
      <c r="E27" s="510"/>
      <c r="F27" s="510"/>
      <c r="G27" s="175">
        <v>124509.95</v>
      </c>
      <c r="H27" s="175">
        <v>38275.089999999997</v>
      </c>
      <c r="I27" s="175">
        <v>621678.06999999995</v>
      </c>
      <c r="J27" s="175">
        <v>750452.36</v>
      </c>
      <c r="K27" s="175">
        <v>0</v>
      </c>
      <c r="L27" s="175">
        <v>0</v>
      </c>
      <c r="M27" s="175">
        <v>0</v>
      </c>
      <c r="N27" s="175">
        <v>0</v>
      </c>
      <c r="O27" s="175">
        <v>0</v>
      </c>
      <c r="P27" s="175">
        <v>0</v>
      </c>
      <c r="Q27" s="175">
        <v>0</v>
      </c>
      <c r="R27" s="175">
        <v>0</v>
      </c>
      <c r="S27" s="243">
        <f t="shared" si="4"/>
        <v>1534915.4699999997</v>
      </c>
      <c r="T27" s="465">
        <f t="shared" si="3"/>
        <v>2.892574004975124E-2</v>
      </c>
    </row>
    <row r="28" spans="1:23" ht="13.5" thickBot="1">
      <c r="A28" s="150">
        <v>74</v>
      </c>
      <c r="B28" s="513" t="str">
        <f>+VLOOKUP($A28,Master!$D$29:$G$225,4,FALSE)</f>
        <v>Donacije i transferi</v>
      </c>
      <c r="C28" s="514"/>
      <c r="D28" s="514"/>
      <c r="E28" s="514"/>
      <c r="F28" s="514"/>
      <c r="G28" s="175">
        <v>944706.6</v>
      </c>
      <c r="H28" s="175">
        <v>1605897.73</v>
      </c>
      <c r="I28" s="175">
        <v>4995286.66</v>
      </c>
      <c r="J28" s="175">
        <v>2141352.37</v>
      </c>
      <c r="K28" s="175">
        <v>0</v>
      </c>
      <c r="L28" s="175">
        <v>0</v>
      </c>
      <c r="M28" s="175">
        <v>0</v>
      </c>
      <c r="N28" s="175">
        <v>0</v>
      </c>
      <c r="O28" s="175">
        <v>0</v>
      </c>
      <c r="P28" s="175">
        <v>0</v>
      </c>
      <c r="Q28" s="175">
        <v>0</v>
      </c>
      <c r="R28" s="175">
        <v>0</v>
      </c>
      <c r="S28" s="243">
        <f t="shared" si="4"/>
        <v>9687243.3599999994</v>
      </c>
      <c r="T28" s="466">
        <f t="shared" si="3"/>
        <v>0.18255772953414742</v>
      </c>
    </row>
    <row r="29" spans="1:23" ht="13.5" thickBot="1">
      <c r="A29" s="150">
        <v>4</v>
      </c>
      <c r="B29" s="515" t="str">
        <f>+VLOOKUP($A29,Master!$D$29:$G$225,4,FALSE)</f>
        <v>Izdaci budžeta</v>
      </c>
      <c r="C29" s="516"/>
      <c r="D29" s="516"/>
      <c r="E29" s="516"/>
      <c r="F29" s="516"/>
      <c r="G29" s="151">
        <f>+G30+G40+G46+SUM(G47:G51)</f>
        <v>135525045.41</v>
      </c>
      <c r="H29" s="151">
        <f t="shared" ref="H29:R29" si="6">+H30+H40+H46+SUM(H47:H51)</f>
        <v>150836022.56</v>
      </c>
      <c r="I29" s="151">
        <f t="shared" si="6"/>
        <v>152238145.65000001</v>
      </c>
      <c r="J29" s="151">
        <f t="shared" si="6"/>
        <v>196316924.41999996</v>
      </c>
      <c r="K29" s="151">
        <f t="shared" si="6"/>
        <v>0</v>
      </c>
      <c r="L29" s="151">
        <f t="shared" si="6"/>
        <v>0</v>
      </c>
      <c r="M29" s="151">
        <f t="shared" si="6"/>
        <v>0</v>
      </c>
      <c r="N29" s="151">
        <f t="shared" si="6"/>
        <v>0</v>
      </c>
      <c r="O29" s="151">
        <f t="shared" si="6"/>
        <v>0</v>
      </c>
      <c r="P29" s="151">
        <f t="shared" si="6"/>
        <v>0</v>
      </c>
      <c r="Q29" s="151">
        <f t="shared" si="6"/>
        <v>0</v>
      </c>
      <c r="R29" s="151">
        <f t="shared" si="6"/>
        <v>0</v>
      </c>
      <c r="S29" s="245">
        <f t="shared" si="4"/>
        <v>634916138.03999996</v>
      </c>
      <c r="T29" s="467">
        <f t="shared" si="3"/>
        <v>11.965101350067842</v>
      </c>
    </row>
    <row r="30" spans="1:23">
      <c r="A30" s="150">
        <v>41</v>
      </c>
      <c r="B30" s="519" t="str">
        <f>+VLOOKUP($A30,Master!$D$29:$G$225,4,FALSE)</f>
        <v>Tekući izdaci</v>
      </c>
      <c r="C30" s="520"/>
      <c r="D30" s="520"/>
      <c r="E30" s="520"/>
      <c r="F30" s="520"/>
      <c r="G30" s="187">
        <f t="shared" ref="G30:R30" si="7">+SUM(G31:G39)</f>
        <v>50898622.359999999</v>
      </c>
      <c r="H30" s="187">
        <f t="shared" si="7"/>
        <v>61675949.800000004</v>
      </c>
      <c r="I30" s="187">
        <f t="shared" si="7"/>
        <v>59814606.179999992</v>
      </c>
      <c r="J30" s="187">
        <f t="shared" si="7"/>
        <v>96816834.039999992</v>
      </c>
      <c r="K30" s="187">
        <f t="shared" si="7"/>
        <v>0</v>
      </c>
      <c r="L30" s="187">
        <f t="shared" si="7"/>
        <v>0</v>
      </c>
      <c r="M30" s="187">
        <f t="shared" si="7"/>
        <v>0</v>
      </c>
      <c r="N30" s="187">
        <f t="shared" si="7"/>
        <v>0</v>
      </c>
      <c r="O30" s="187">
        <f t="shared" si="7"/>
        <v>0</v>
      </c>
      <c r="P30" s="187">
        <f t="shared" si="7"/>
        <v>0</v>
      </c>
      <c r="Q30" s="187">
        <f t="shared" si="7"/>
        <v>0</v>
      </c>
      <c r="R30" s="246">
        <f t="shared" si="7"/>
        <v>0</v>
      </c>
      <c r="S30" s="424">
        <f t="shared" si="4"/>
        <v>269206012.38</v>
      </c>
      <c r="T30" s="463">
        <f t="shared" si="3"/>
        <v>5.0732325565355039</v>
      </c>
      <c r="U30" s="242"/>
    </row>
    <row r="31" spans="1:23">
      <c r="A31" s="150">
        <v>411</v>
      </c>
      <c r="B31" s="507" t="str">
        <f>+VLOOKUP($A31,Master!$D$29:$G$225,4,FALSE)</f>
        <v>Bruto zarade i doprinosi na teret poslodavca</v>
      </c>
      <c r="C31" s="508"/>
      <c r="D31" s="508"/>
      <c r="E31" s="508"/>
      <c r="F31" s="508"/>
      <c r="G31" s="163">
        <v>44240125.009999998</v>
      </c>
      <c r="H31" s="163">
        <v>44552192.68</v>
      </c>
      <c r="I31" s="163">
        <v>40375934.009999998</v>
      </c>
      <c r="J31" s="163">
        <v>46977114.019999973</v>
      </c>
      <c r="K31" s="163">
        <v>0</v>
      </c>
      <c r="L31" s="163">
        <v>0</v>
      </c>
      <c r="M31" s="163">
        <v>0</v>
      </c>
      <c r="N31" s="163">
        <v>0</v>
      </c>
      <c r="O31" s="163">
        <v>0</v>
      </c>
      <c r="P31" s="163">
        <v>0</v>
      </c>
      <c r="Q31" s="163">
        <v>0</v>
      </c>
      <c r="R31" s="163">
        <v>0</v>
      </c>
      <c r="S31" s="242">
        <f t="shared" si="4"/>
        <v>176145365.71999997</v>
      </c>
      <c r="T31" s="464">
        <f t="shared" si="3"/>
        <v>3.3194890268355191</v>
      </c>
      <c r="U31" s="242"/>
    </row>
    <row r="32" spans="1:23">
      <c r="A32" s="150">
        <v>412</v>
      </c>
      <c r="B32" s="507" t="str">
        <f>+VLOOKUP($A32,Master!$D$29:$G$225,4,FALSE)</f>
        <v>Ostala lična primanja</v>
      </c>
      <c r="C32" s="508"/>
      <c r="D32" s="508"/>
      <c r="E32" s="508"/>
      <c r="F32" s="508"/>
      <c r="G32" s="163">
        <v>137001.32999999999</v>
      </c>
      <c r="H32" s="163">
        <v>1212395.8600000001</v>
      </c>
      <c r="I32" s="163">
        <v>946225.55</v>
      </c>
      <c r="J32" s="163">
        <v>1448549.91</v>
      </c>
      <c r="K32" s="163">
        <v>0</v>
      </c>
      <c r="L32" s="163">
        <v>0</v>
      </c>
      <c r="M32" s="163">
        <v>0</v>
      </c>
      <c r="N32" s="163">
        <v>0</v>
      </c>
      <c r="O32" s="163">
        <v>0</v>
      </c>
      <c r="P32" s="163">
        <v>0</v>
      </c>
      <c r="Q32" s="163">
        <v>0</v>
      </c>
      <c r="R32" s="163">
        <v>0</v>
      </c>
      <c r="S32" s="242">
        <f t="shared" si="4"/>
        <v>3744172.6500000004</v>
      </c>
      <c r="T32" s="464">
        <f t="shared" si="3"/>
        <v>7.0559562980551785E-2</v>
      </c>
      <c r="U32" s="457"/>
    </row>
    <row r="33" spans="1:21">
      <c r="A33" s="150">
        <v>413</v>
      </c>
      <c r="B33" s="507" t="str">
        <f>+VLOOKUP($A33,Master!$D$29:$G$225,4,FALSE)</f>
        <v>Rashodi za materijal</v>
      </c>
      <c r="C33" s="508"/>
      <c r="D33" s="508"/>
      <c r="E33" s="508"/>
      <c r="F33" s="508"/>
      <c r="G33" s="163">
        <v>140825.03</v>
      </c>
      <c r="H33" s="163">
        <v>3489117.82</v>
      </c>
      <c r="I33" s="163">
        <v>2628375.67</v>
      </c>
      <c r="J33" s="163">
        <v>2038640.9</v>
      </c>
      <c r="K33" s="163">
        <v>0</v>
      </c>
      <c r="L33" s="163">
        <v>0</v>
      </c>
      <c r="M33" s="163">
        <v>0</v>
      </c>
      <c r="N33" s="163">
        <v>0</v>
      </c>
      <c r="O33" s="163">
        <v>0</v>
      </c>
      <c r="P33" s="163">
        <v>0</v>
      </c>
      <c r="Q33" s="163">
        <v>0</v>
      </c>
      <c r="R33" s="163">
        <v>0</v>
      </c>
      <c r="S33" s="242">
        <f t="shared" si="4"/>
        <v>8296959.4199999999</v>
      </c>
      <c r="T33" s="464">
        <f t="shared" si="3"/>
        <v>0.15635759497964721</v>
      </c>
      <c r="U33" s="457"/>
    </row>
    <row r="34" spans="1:21" s="361" customFormat="1">
      <c r="A34" s="360">
        <v>414</v>
      </c>
      <c r="B34" s="556" t="str">
        <f>+VLOOKUP($A34,Master!$D$29:$G$225,4,FALSE)</f>
        <v>Rashodi za usluge</v>
      </c>
      <c r="C34" s="557"/>
      <c r="D34" s="557"/>
      <c r="E34" s="557"/>
      <c r="F34" s="557"/>
      <c r="G34" s="163">
        <v>1088181.29</v>
      </c>
      <c r="H34" s="163">
        <v>2912682.95</v>
      </c>
      <c r="I34" s="163">
        <v>4471821.08</v>
      </c>
      <c r="J34" s="163">
        <v>6153105</v>
      </c>
      <c r="K34" s="163">
        <v>0</v>
      </c>
      <c r="L34" s="163">
        <v>0</v>
      </c>
      <c r="M34" s="163">
        <v>0</v>
      </c>
      <c r="N34" s="163">
        <v>0</v>
      </c>
      <c r="O34" s="163">
        <v>0</v>
      </c>
      <c r="P34" s="163">
        <v>0</v>
      </c>
      <c r="Q34" s="163">
        <v>0</v>
      </c>
      <c r="R34" s="163">
        <v>0</v>
      </c>
      <c r="S34" s="242">
        <f t="shared" si="4"/>
        <v>14625790.32</v>
      </c>
      <c r="T34" s="464">
        <f t="shared" si="3"/>
        <v>0.2756254771596563</v>
      </c>
      <c r="U34" s="457"/>
    </row>
    <row r="35" spans="1:21">
      <c r="A35" s="150">
        <v>415</v>
      </c>
      <c r="B35" s="507" t="str">
        <f>+VLOOKUP($A35,Master!$D$29:$G$225,4,FALSE)</f>
        <v>Rashodi za tekuće održavanje</v>
      </c>
      <c r="C35" s="508"/>
      <c r="D35" s="508"/>
      <c r="E35" s="508"/>
      <c r="F35" s="508"/>
      <c r="G35" s="163">
        <v>51153.02</v>
      </c>
      <c r="H35" s="163">
        <v>1786959.03</v>
      </c>
      <c r="I35" s="163">
        <v>1812618.69</v>
      </c>
      <c r="J35" s="163">
        <v>1718005.5900000003</v>
      </c>
      <c r="K35" s="163">
        <v>0</v>
      </c>
      <c r="L35" s="163">
        <v>0</v>
      </c>
      <c r="M35" s="163">
        <v>0</v>
      </c>
      <c r="N35" s="163">
        <v>0</v>
      </c>
      <c r="O35" s="163">
        <v>0</v>
      </c>
      <c r="P35" s="163">
        <v>0</v>
      </c>
      <c r="Q35" s="163">
        <v>0</v>
      </c>
      <c r="R35" s="163">
        <v>0</v>
      </c>
      <c r="S35" s="242">
        <f t="shared" si="4"/>
        <v>5368736.3300000001</v>
      </c>
      <c r="T35" s="464">
        <f t="shared" si="3"/>
        <v>0.10117473861751847</v>
      </c>
      <c r="U35" s="457"/>
    </row>
    <row r="36" spans="1:21">
      <c r="A36" s="150">
        <v>416</v>
      </c>
      <c r="B36" s="507" t="str">
        <f>+VLOOKUP($A36,Master!$D$29:$G$225,4,FALSE)</f>
        <v>Kamate</v>
      </c>
      <c r="C36" s="508"/>
      <c r="D36" s="508"/>
      <c r="E36" s="508"/>
      <c r="F36" s="508"/>
      <c r="G36" s="163">
        <v>3854762.25</v>
      </c>
      <c r="H36" s="163">
        <v>1270344.19</v>
      </c>
      <c r="I36" s="163">
        <v>949082.56</v>
      </c>
      <c r="J36" s="163">
        <v>27195621.07</v>
      </c>
      <c r="K36" s="163">
        <v>0</v>
      </c>
      <c r="L36" s="163">
        <v>0</v>
      </c>
      <c r="M36" s="163">
        <v>0</v>
      </c>
      <c r="N36" s="163">
        <v>0</v>
      </c>
      <c r="O36" s="163">
        <v>0</v>
      </c>
      <c r="P36" s="163">
        <v>0</v>
      </c>
      <c r="Q36" s="163">
        <v>0</v>
      </c>
      <c r="R36" s="163">
        <v>0</v>
      </c>
      <c r="S36" s="242">
        <f>+SUM(G36:R36)</f>
        <v>33269810.07</v>
      </c>
      <c r="T36" s="464">
        <f t="shared" si="3"/>
        <v>0.6269751633876075</v>
      </c>
      <c r="U36" s="457"/>
    </row>
    <row r="37" spans="1:21">
      <c r="A37" s="150">
        <v>417</v>
      </c>
      <c r="B37" s="507" t="str">
        <f>+VLOOKUP($A37,Master!$D$29:$G$225,4,FALSE)</f>
        <v>Renta</v>
      </c>
      <c r="C37" s="508"/>
      <c r="D37" s="508"/>
      <c r="E37" s="508"/>
      <c r="F37" s="508"/>
      <c r="G37" s="163">
        <v>222069.04</v>
      </c>
      <c r="H37" s="163">
        <v>743329.49</v>
      </c>
      <c r="I37" s="163">
        <v>821318.4</v>
      </c>
      <c r="J37" s="163">
        <v>1247632.42</v>
      </c>
      <c r="K37" s="163">
        <v>0</v>
      </c>
      <c r="L37" s="163">
        <v>0</v>
      </c>
      <c r="M37" s="163">
        <v>0</v>
      </c>
      <c r="N37" s="163">
        <v>0</v>
      </c>
      <c r="O37" s="163">
        <v>0</v>
      </c>
      <c r="P37" s="163">
        <v>0</v>
      </c>
      <c r="Q37" s="163">
        <v>0</v>
      </c>
      <c r="R37" s="163">
        <v>0</v>
      </c>
      <c r="S37" s="242">
        <f t="shared" si="4"/>
        <v>3034349.35</v>
      </c>
      <c r="T37" s="464">
        <f t="shared" si="3"/>
        <v>5.7182823571536263E-2</v>
      </c>
      <c r="U37" s="457"/>
    </row>
    <row r="38" spans="1:21">
      <c r="A38" s="150">
        <v>418</v>
      </c>
      <c r="B38" s="507" t="str">
        <f>+VLOOKUP($A38,Master!$D$29:$G$225,4,FALSE)</f>
        <v>Subvencije</v>
      </c>
      <c r="C38" s="508"/>
      <c r="D38" s="508"/>
      <c r="E38" s="508"/>
      <c r="F38" s="508"/>
      <c r="G38" s="163">
        <v>511006.04</v>
      </c>
      <c r="H38" s="163">
        <v>2686343.5</v>
      </c>
      <c r="I38" s="163">
        <v>4730535.5999999996</v>
      </c>
      <c r="J38" s="163">
        <v>6972851.8400000008</v>
      </c>
      <c r="K38" s="163">
        <v>0</v>
      </c>
      <c r="L38" s="163">
        <v>0</v>
      </c>
      <c r="M38" s="163">
        <v>0</v>
      </c>
      <c r="N38" s="163">
        <v>0</v>
      </c>
      <c r="O38" s="163">
        <v>0</v>
      </c>
      <c r="P38" s="163">
        <v>0</v>
      </c>
      <c r="Q38" s="163">
        <v>0</v>
      </c>
      <c r="R38" s="163">
        <v>0</v>
      </c>
      <c r="S38" s="242">
        <f t="shared" si="4"/>
        <v>14900736.98</v>
      </c>
      <c r="T38" s="464">
        <f t="shared" si="3"/>
        <v>0.28080689318558721</v>
      </c>
      <c r="U38" s="457"/>
    </row>
    <row r="39" spans="1:21" s="361" customFormat="1">
      <c r="A39" s="360">
        <v>419</v>
      </c>
      <c r="B39" s="556" t="str">
        <f>+VLOOKUP($A39,Master!$D$29:$G$225,4,FALSE)</f>
        <v>Ostali izdaci</v>
      </c>
      <c r="C39" s="557"/>
      <c r="D39" s="557"/>
      <c r="E39" s="557"/>
      <c r="F39" s="557"/>
      <c r="G39" s="163">
        <v>653499.35</v>
      </c>
      <c r="H39" s="163">
        <v>3022584.28</v>
      </c>
      <c r="I39" s="163">
        <v>3078694.62</v>
      </c>
      <c r="J39" s="163">
        <v>3065313.290000001</v>
      </c>
      <c r="K39" s="163">
        <v>0</v>
      </c>
      <c r="L39" s="163">
        <v>0</v>
      </c>
      <c r="M39" s="163">
        <v>0</v>
      </c>
      <c r="N39" s="163">
        <v>0</v>
      </c>
      <c r="O39" s="163">
        <v>0</v>
      </c>
      <c r="P39" s="163">
        <v>0</v>
      </c>
      <c r="Q39" s="163">
        <v>0</v>
      </c>
      <c r="R39" s="163">
        <v>0</v>
      </c>
      <c r="S39" s="242">
        <f t="shared" si="4"/>
        <v>9820091.540000001</v>
      </c>
      <c r="T39" s="464">
        <f t="shared" si="3"/>
        <v>0.18506127581788032</v>
      </c>
      <c r="U39" s="457"/>
    </row>
    <row r="40" spans="1:21">
      <c r="A40" s="150">
        <v>42</v>
      </c>
      <c r="B40" s="523" t="str">
        <f>+VLOOKUP($A40,Master!$D$29:$G$225,4,FALSE)</f>
        <v>Transferi za socijalnu zaštitu</v>
      </c>
      <c r="C40" s="524"/>
      <c r="D40" s="524"/>
      <c r="E40" s="524"/>
      <c r="F40" s="524"/>
      <c r="G40" s="193">
        <f>+SUM(G41:G45)</f>
        <v>43461857.619999997</v>
      </c>
      <c r="H40" s="193">
        <f t="shared" ref="H40:R40" si="8">+SUM(H41:H45)</f>
        <v>49030666.979999997</v>
      </c>
      <c r="I40" s="193">
        <f t="shared" si="8"/>
        <v>50290726.350000001</v>
      </c>
      <c r="J40" s="193">
        <f t="shared" si="8"/>
        <v>49190467.409999959</v>
      </c>
      <c r="K40" s="193">
        <f t="shared" si="8"/>
        <v>0</v>
      </c>
      <c r="L40" s="193">
        <f t="shared" si="8"/>
        <v>0</v>
      </c>
      <c r="M40" s="193">
        <f t="shared" si="8"/>
        <v>0</v>
      </c>
      <c r="N40" s="193">
        <f t="shared" si="8"/>
        <v>0</v>
      </c>
      <c r="O40" s="193">
        <f t="shared" si="8"/>
        <v>0</v>
      </c>
      <c r="P40" s="193">
        <f t="shared" si="8"/>
        <v>0</v>
      </c>
      <c r="Q40" s="193">
        <f t="shared" si="8"/>
        <v>0</v>
      </c>
      <c r="R40" s="247">
        <f t="shared" si="8"/>
        <v>0</v>
      </c>
      <c r="S40" s="489">
        <f t="shared" si="4"/>
        <v>191973718.35999995</v>
      </c>
      <c r="T40" s="490">
        <f t="shared" si="3"/>
        <v>3.617776993064977</v>
      </c>
      <c r="U40" s="242"/>
    </row>
    <row r="41" spans="1:21">
      <c r="A41" s="150">
        <v>421</v>
      </c>
      <c r="B41" s="507" t="str">
        <f>+VLOOKUP($A41,Master!$D$29:$G$225,4,FALSE)</f>
        <v>Prava iz oblasti socijalne zaštite</v>
      </c>
      <c r="C41" s="508"/>
      <c r="D41" s="508"/>
      <c r="E41" s="508"/>
      <c r="F41" s="508"/>
      <c r="G41" s="163">
        <v>8200110.4000000004</v>
      </c>
      <c r="H41" s="163">
        <v>8172331.5999999996</v>
      </c>
      <c r="I41" s="163">
        <v>8605052.6899999995</v>
      </c>
      <c r="J41" s="163">
        <v>8606006.9800000004</v>
      </c>
      <c r="K41" s="163">
        <v>0</v>
      </c>
      <c r="L41" s="163">
        <v>0</v>
      </c>
      <c r="M41" s="163">
        <v>0</v>
      </c>
      <c r="N41" s="163">
        <v>0</v>
      </c>
      <c r="O41" s="163">
        <v>0</v>
      </c>
      <c r="P41" s="163">
        <v>0</v>
      </c>
      <c r="Q41" s="163">
        <v>0</v>
      </c>
      <c r="R41" s="163">
        <v>0</v>
      </c>
      <c r="S41" s="242">
        <f t="shared" si="4"/>
        <v>33583501.670000002</v>
      </c>
      <c r="T41" s="464">
        <f t="shared" si="3"/>
        <v>0.63288673432082021</v>
      </c>
      <c r="U41" s="457"/>
    </row>
    <row r="42" spans="1:21">
      <c r="A42" s="150">
        <v>422</v>
      </c>
      <c r="B42" s="507" t="str">
        <f>+VLOOKUP($A42,Master!$D$29:$G$225,4,FALSE)</f>
        <v>Sredstva za tehnološke viškove</v>
      </c>
      <c r="C42" s="508"/>
      <c r="D42" s="508"/>
      <c r="E42" s="508"/>
      <c r="F42" s="508"/>
      <c r="G42" s="163">
        <v>0</v>
      </c>
      <c r="H42" s="163">
        <v>2498429.92</v>
      </c>
      <c r="I42" s="163">
        <v>2440778.17</v>
      </c>
      <c r="J42" s="163">
        <v>2410229.4499999997</v>
      </c>
      <c r="K42" s="163">
        <v>0</v>
      </c>
      <c r="L42" s="163">
        <v>0</v>
      </c>
      <c r="M42" s="163">
        <v>0</v>
      </c>
      <c r="N42" s="163">
        <v>0</v>
      </c>
      <c r="O42" s="163">
        <v>0</v>
      </c>
      <c r="P42" s="163">
        <v>0</v>
      </c>
      <c r="Q42" s="163">
        <v>0</v>
      </c>
      <c r="R42" s="163">
        <v>0</v>
      </c>
      <c r="S42" s="242">
        <f t="shared" si="4"/>
        <v>7349437.5399999991</v>
      </c>
      <c r="T42" s="464">
        <f t="shared" si="3"/>
        <v>0.13850138587366198</v>
      </c>
      <c r="U42" s="457"/>
    </row>
    <row r="43" spans="1:21">
      <c r="A43" s="150">
        <v>423</v>
      </c>
      <c r="B43" s="507" t="str">
        <f>+VLOOKUP($A43,Master!$D$29:$G$225,4,FALSE)</f>
        <v>Prava iz oblasti penzijskog i invalidskog osiguranja</v>
      </c>
      <c r="C43" s="508"/>
      <c r="D43" s="508"/>
      <c r="E43" s="508"/>
      <c r="F43" s="508"/>
      <c r="G43" s="163">
        <v>35149513.420000002</v>
      </c>
      <c r="H43" s="163">
        <v>36354430.689999998</v>
      </c>
      <c r="I43" s="163">
        <v>36069832.590000004</v>
      </c>
      <c r="J43" s="502">
        <v>36181040.329999961</v>
      </c>
      <c r="K43" s="163">
        <v>0</v>
      </c>
      <c r="L43" s="163">
        <v>0</v>
      </c>
      <c r="M43" s="163">
        <v>0</v>
      </c>
      <c r="N43" s="163">
        <v>0</v>
      </c>
      <c r="O43" s="163">
        <v>0</v>
      </c>
      <c r="P43" s="163">
        <v>0</v>
      </c>
      <c r="Q43" s="163">
        <v>0</v>
      </c>
      <c r="R43" s="163">
        <v>0</v>
      </c>
      <c r="S43" s="242">
        <f t="shared" si="4"/>
        <v>143754817.02999997</v>
      </c>
      <c r="T43" s="464">
        <f t="shared" si="3"/>
        <v>2.7090836919568817</v>
      </c>
      <c r="U43" s="457"/>
    </row>
    <row r="44" spans="1:21">
      <c r="A44" s="150">
        <v>424</v>
      </c>
      <c r="B44" s="507" t="str">
        <f>+VLOOKUP($A44,Master!$D$29:$G$225,4,FALSE)</f>
        <v>Ostala prava iz oblasti zdravstvene zaštite</v>
      </c>
      <c r="C44" s="508"/>
      <c r="D44" s="508"/>
      <c r="E44" s="508"/>
      <c r="F44" s="508"/>
      <c r="G44" s="163">
        <v>103430</v>
      </c>
      <c r="H44" s="163">
        <v>1069904.71</v>
      </c>
      <c r="I44" s="163">
        <v>1609138.94</v>
      </c>
      <c r="J44" s="163">
        <v>1402883.74</v>
      </c>
      <c r="K44" s="163">
        <v>0</v>
      </c>
      <c r="L44" s="163">
        <v>0</v>
      </c>
      <c r="M44" s="163">
        <v>0</v>
      </c>
      <c r="N44" s="163">
        <v>0</v>
      </c>
      <c r="O44" s="163">
        <v>0</v>
      </c>
      <c r="P44" s="163">
        <v>0</v>
      </c>
      <c r="Q44" s="163">
        <v>0</v>
      </c>
      <c r="R44" s="163">
        <v>0</v>
      </c>
      <c r="S44" s="242">
        <f t="shared" si="4"/>
        <v>4185357.3899999997</v>
      </c>
      <c r="T44" s="464">
        <f t="shared" si="3"/>
        <v>7.8873763568521021E-2</v>
      </c>
      <c r="U44" s="457"/>
    </row>
    <row r="45" spans="1:21" s="361" customFormat="1">
      <c r="A45" s="360">
        <v>425</v>
      </c>
      <c r="B45" s="558" t="str">
        <f>+VLOOKUP($A45,Master!$D$29:$G$225,4,FALSE)</f>
        <v>Ostala prava iz zdravstvenog osiguranja</v>
      </c>
      <c r="C45" s="559"/>
      <c r="D45" s="559"/>
      <c r="E45" s="559"/>
      <c r="F45" s="559"/>
      <c r="G45" s="163">
        <v>8803.7999999999993</v>
      </c>
      <c r="H45" s="163">
        <v>935570.06</v>
      </c>
      <c r="I45" s="163">
        <v>1565923.96</v>
      </c>
      <c r="J45" s="163">
        <v>590306.91</v>
      </c>
      <c r="K45" s="163">
        <v>0</v>
      </c>
      <c r="L45" s="163">
        <v>0</v>
      </c>
      <c r="M45" s="163">
        <v>0</v>
      </c>
      <c r="N45" s="163">
        <v>0</v>
      </c>
      <c r="O45" s="163">
        <v>0</v>
      </c>
      <c r="P45" s="163">
        <v>0</v>
      </c>
      <c r="Q45" s="163">
        <v>0</v>
      </c>
      <c r="R45" s="163">
        <v>0</v>
      </c>
      <c r="S45" s="242">
        <f t="shared" si="4"/>
        <v>3100604.7300000004</v>
      </c>
      <c r="T45" s="464">
        <f t="shared" si="3"/>
        <v>5.8431417345092732E-2</v>
      </c>
      <c r="U45" s="457"/>
    </row>
    <row r="46" spans="1:21">
      <c r="A46" s="150">
        <v>43</v>
      </c>
      <c r="B46" s="521" t="str">
        <f>+VLOOKUP($A46,Master!$D$29:$G$225,4,FALSE)</f>
        <v xml:space="preserve">Transferi institucijama, pojedincima, nevladinom i javnom sektoru </v>
      </c>
      <c r="C46" s="522"/>
      <c r="D46" s="522"/>
      <c r="E46" s="522"/>
      <c r="F46" s="522"/>
      <c r="G46" s="175">
        <v>7351440.8700000001</v>
      </c>
      <c r="H46" s="175">
        <v>23788257.170000002</v>
      </c>
      <c r="I46" s="175">
        <v>30707914.969999999</v>
      </c>
      <c r="J46" s="175">
        <v>28731832.689999998</v>
      </c>
      <c r="K46" s="175">
        <v>0</v>
      </c>
      <c r="L46" s="175">
        <v>0</v>
      </c>
      <c r="M46" s="175">
        <v>0</v>
      </c>
      <c r="N46" s="175">
        <v>0</v>
      </c>
      <c r="O46" s="175">
        <v>0</v>
      </c>
      <c r="P46" s="175">
        <v>0</v>
      </c>
      <c r="Q46" s="175">
        <v>0</v>
      </c>
      <c r="R46" s="175">
        <v>0</v>
      </c>
      <c r="S46" s="243">
        <f t="shared" si="4"/>
        <v>90579445.700000003</v>
      </c>
      <c r="T46" s="465">
        <f t="shared" si="3"/>
        <v>1.7069848805216343</v>
      </c>
      <c r="U46" s="481"/>
    </row>
    <row r="47" spans="1:21">
      <c r="A47" s="150">
        <v>44</v>
      </c>
      <c r="B47" s="521" t="str">
        <f>+VLOOKUP($A47,Master!$D$29:$G$225,4,FALSE)</f>
        <v>Kapitalni izdaci</v>
      </c>
      <c r="C47" s="522"/>
      <c r="D47" s="522"/>
      <c r="E47" s="522"/>
      <c r="F47" s="522"/>
      <c r="G47" s="175">
        <v>16016474.34</v>
      </c>
      <c r="H47" s="175">
        <v>11650538.710000001</v>
      </c>
      <c r="I47" s="175">
        <v>7995861.7599999998</v>
      </c>
      <c r="J47" s="175">
        <v>19162268.539999999</v>
      </c>
      <c r="K47" s="175">
        <v>0</v>
      </c>
      <c r="L47" s="175">
        <v>0</v>
      </c>
      <c r="M47" s="175">
        <v>0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243">
        <f t="shared" si="4"/>
        <v>54825143.350000001</v>
      </c>
      <c r="T47" s="465">
        <f t="shared" si="3"/>
        <v>1.0331890424770089</v>
      </c>
      <c r="U47" s="481"/>
    </row>
    <row r="48" spans="1:21">
      <c r="A48" s="150">
        <v>451</v>
      </c>
      <c r="B48" s="560" t="str">
        <f>+VLOOKUP($A48,Master!$D$29:$G$225,4,FALSE)</f>
        <v>Pozajmice i krediti</v>
      </c>
      <c r="C48" s="561"/>
      <c r="D48" s="561"/>
      <c r="E48" s="561"/>
      <c r="F48" s="561"/>
      <c r="G48" s="163">
        <v>0</v>
      </c>
      <c r="H48" s="163">
        <v>248510</v>
      </c>
      <c r="I48" s="163">
        <v>1730</v>
      </c>
      <c r="J48" s="163">
        <v>302436</v>
      </c>
      <c r="K48" s="163">
        <v>0</v>
      </c>
      <c r="L48" s="163">
        <v>0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  <c r="S48" s="242">
        <f t="shared" si="4"/>
        <v>552676</v>
      </c>
      <c r="T48" s="464">
        <f t="shared" si="3"/>
        <v>1.0415272124227349E-2</v>
      </c>
      <c r="U48" s="481"/>
    </row>
    <row r="49" spans="1:21" s="361" customFormat="1">
      <c r="A49" s="360">
        <v>47</v>
      </c>
      <c r="B49" s="565" t="str">
        <f>+VLOOKUP($A49,Master!$D$29:$G$225,4,FALSE)</f>
        <v>Rezerve</v>
      </c>
      <c r="C49" s="566"/>
      <c r="D49" s="566"/>
      <c r="E49" s="566"/>
      <c r="F49" s="566"/>
      <c r="G49" s="163">
        <v>265800</v>
      </c>
      <c r="H49" s="163">
        <v>495710</v>
      </c>
      <c r="I49" s="163">
        <v>1101664.26</v>
      </c>
      <c r="J49" s="163">
        <v>401200</v>
      </c>
      <c r="K49" s="163">
        <v>0</v>
      </c>
      <c r="L49" s="163">
        <v>0</v>
      </c>
      <c r="M49" s="163">
        <v>0</v>
      </c>
      <c r="N49" s="163">
        <v>0</v>
      </c>
      <c r="O49" s="163">
        <v>0</v>
      </c>
      <c r="P49" s="163">
        <v>0</v>
      </c>
      <c r="Q49" s="163">
        <v>0</v>
      </c>
      <c r="R49" s="163">
        <v>0</v>
      </c>
      <c r="S49" s="242">
        <f t="shared" si="4"/>
        <v>2264374.2599999998</v>
      </c>
      <c r="T49" s="464">
        <f t="shared" si="3"/>
        <v>4.2672513568521031E-2</v>
      </c>
      <c r="U49" s="481"/>
    </row>
    <row r="50" spans="1:21" ht="13.5" thickBot="1">
      <c r="A50" s="150">
        <v>462</v>
      </c>
      <c r="B50" s="527" t="str">
        <f>+VLOOKUP($A50,Master!$D$29:$G$225,4,FALSE)</f>
        <v>Otplata garancija</v>
      </c>
      <c r="C50" s="528"/>
      <c r="D50" s="528"/>
      <c r="E50" s="528"/>
      <c r="F50" s="528"/>
      <c r="G50" s="163">
        <v>0</v>
      </c>
      <c r="H50" s="163">
        <v>0</v>
      </c>
      <c r="I50" s="163">
        <v>0</v>
      </c>
      <c r="J50" s="163">
        <v>500000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500000</v>
      </c>
      <c r="T50" s="464">
        <f t="shared" si="3"/>
        <v>9.4225840494497216E-3</v>
      </c>
      <c r="U50" s="481"/>
    </row>
    <row r="51" spans="1:21" ht="13.5" thickBot="1">
      <c r="A51" s="144">
        <v>4630</v>
      </c>
      <c r="B51" s="567" t="str">
        <f>+VLOOKUP($A51,Master!$D$29:$G$225,4,TRUE)</f>
        <v>Otplata obaveza iz prethodnog perioda</v>
      </c>
      <c r="C51" s="568"/>
      <c r="D51" s="568"/>
      <c r="E51" s="568"/>
      <c r="F51" s="568"/>
      <c r="G51" s="458">
        <v>17530850.219999999</v>
      </c>
      <c r="H51" s="458">
        <v>3946389.9</v>
      </c>
      <c r="I51" s="458">
        <v>2325642.13</v>
      </c>
      <c r="J51" s="458">
        <v>1211885.74</v>
      </c>
      <c r="K51" s="458">
        <v>0</v>
      </c>
      <c r="L51" s="458">
        <v>0</v>
      </c>
      <c r="M51" s="458">
        <v>0</v>
      </c>
      <c r="N51" s="458">
        <v>0</v>
      </c>
      <c r="O51" s="458">
        <v>0</v>
      </c>
      <c r="P51" s="458">
        <v>0</v>
      </c>
      <c r="Q51" s="458">
        <v>0</v>
      </c>
      <c r="R51" s="458">
        <v>0</v>
      </c>
      <c r="S51" s="425">
        <f>+SUM(G51:R51)</f>
        <v>25014767.989999995</v>
      </c>
      <c r="T51" s="468">
        <f t="shared" si="3"/>
        <v>0.47140750772651879</v>
      </c>
      <c r="U51" s="481"/>
    </row>
    <row r="52" spans="1:21" ht="13.5" thickBot="1">
      <c r="A52" s="70">
        <v>1005</v>
      </c>
      <c r="B52" s="569" t="str">
        <f>+VLOOKUP($A52,Master!$D$29:$G$227,4,FALSE)</f>
        <v>Neto povećanje obaveza</v>
      </c>
      <c r="C52" s="570"/>
      <c r="D52" s="570"/>
      <c r="E52" s="570"/>
      <c r="F52" s="570"/>
      <c r="G52" s="95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163">
        <v>0</v>
      </c>
      <c r="S52" s="115">
        <f>+SUM(G52:R52)</f>
        <v>0</v>
      </c>
      <c r="T52" s="469">
        <f t="shared" si="3"/>
        <v>0</v>
      </c>
      <c r="U52" s="482"/>
    </row>
    <row r="53" spans="1:21" ht="13.5" thickBot="1">
      <c r="A53" s="144">
        <v>1000</v>
      </c>
      <c r="B53" s="529" t="str">
        <f>+VLOOKUP($A53,Master!$D$29:$G$225,4,FALSE)</f>
        <v>Suficit / deficit</v>
      </c>
      <c r="C53" s="530"/>
      <c r="D53" s="530"/>
      <c r="E53" s="530"/>
      <c r="F53" s="530"/>
      <c r="G53" s="151">
        <f t="shared" ref="G53:R53" si="9">+G10-G29</f>
        <v>-27721091.299999997</v>
      </c>
      <c r="H53" s="151">
        <f t="shared" si="9"/>
        <v>-26217608.319999993</v>
      </c>
      <c r="I53" s="151">
        <f t="shared" si="9"/>
        <v>31900057.219999999</v>
      </c>
      <c r="J53" s="151">
        <f t="shared" si="9"/>
        <v>-14322773.139999956</v>
      </c>
      <c r="K53" s="151">
        <f t="shared" si="9"/>
        <v>0</v>
      </c>
      <c r="L53" s="151">
        <f t="shared" si="9"/>
        <v>0</v>
      </c>
      <c r="M53" s="151">
        <f t="shared" si="9"/>
        <v>0</v>
      </c>
      <c r="N53" s="151">
        <f t="shared" si="9"/>
        <v>0</v>
      </c>
      <c r="O53" s="151">
        <f t="shared" si="9"/>
        <v>0</v>
      </c>
      <c r="P53" s="151">
        <f t="shared" si="9"/>
        <v>0</v>
      </c>
      <c r="Q53" s="151">
        <f t="shared" si="9"/>
        <v>0</v>
      </c>
      <c r="R53" s="151">
        <f t="shared" si="9"/>
        <v>0</v>
      </c>
      <c r="S53" s="248">
        <f t="shared" si="4"/>
        <v>-36361415.539999947</v>
      </c>
      <c r="T53" s="470">
        <f t="shared" si="3"/>
        <v>-0.68523698816523337</v>
      </c>
    </row>
    <row r="54" spans="1:21" ht="13.5" thickBot="1">
      <c r="A54" s="144">
        <v>1001</v>
      </c>
      <c r="B54" s="531" t="str">
        <f>+VLOOKUP($A54,Master!$D$29:$G$225,4,FALSE)</f>
        <v>Primarni suficit/deficit</v>
      </c>
      <c r="C54" s="532"/>
      <c r="D54" s="532"/>
      <c r="E54" s="532"/>
      <c r="F54" s="532"/>
      <c r="G54" s="205">
        <f t="shared" ref="G54:R54" si="10">+G53+G36</f>
        <v>-23866329.049999997</v>
      </c>
      <c r="H54" s="205">
        <f t="shared" si="10"/>
        <v>-24947264.129999992</v>
      </c>
      <c r="I54" s="205">
        <f t="shared" si="10"/>
        <v>32849139.779999997</v>
      </c>
      <c r="J54" s="205">
        <f t="shared" si="10"/>
        <v>12872847.930000044</v>
      </c>
      <c r="K54" s="205">
        <f t="shared" si="10"/>
        <v>0</v>
      </c>
      <c r="L54" s="205">
        <f t="shared" si="10"/>
        <v>0</v>
      </c>
      <c r="M54" s="205">
        <f t="shared" si="10"/>
        <v>0</v>
      </c>
      <c r="N54" s="205">
        <f t="shared" si="10"/>
        <v>0</v>
      </c>
      <c r="O54" s="205">
        <f t="shared" si="10"/>
        <v>0</v>
      </c>
      <c r="P54" s="205">
        <f t="shared" si="10"/>
        <v>0</v>
      </c>
      <c r="Q54" s="205">
        <f t="shared" si="10"/>
        <v>0</v>
      </c>
      <c r="R54" s="205">
        <f t="shared" si="10"/>
        <v>0</v>
      </c>
      <c r="S54" s="248">
        <f t="shared" si="4"/>
        <v>-3091605.4699999504</v>
      </c>
      <c r="T54" s="470">
        <f t="shared" si="3"/>
        <v>-5.8261824777626078E-2</v>
      </c>
    </row>
    <row r="55" spans="1:21">
      <c r="A55" s="144">
        <v>46</v>
      </c>
      <c r="B55" s="553" t="str">
        <f>+VLOOKUP($A55,Master!$D$29:$G$225,4,FALSE)</f>
        <v>Otplata dugova</v>
      </c>
      <c r="C55" s="554"/>
      <c r="D55" s="554"/>
      <c r="E55" s="554"/>
      <c r="F55" s="554"/>
      <c r="G55" s="193">
        <f t="shared" ref="G55:R55" si="11">+SUM(G56:G57)</f>
        <v>28431258.969999999</v>
      </c>
      <c r="H55" s="193">
        <f t="shared" si="11"/>
        <v>14209001.130000001</v>
      </c>
      <c r="I55" s="193">
        <f t="shared" si="11"/>
        <v>11671682.99</v>
      </c>
      <c r="J55" s="175">
        <f t="shared" si="11"/>
        <v>57474225.629999995</v>
      </c>
      <c r="K55" s="193">
        <f t="shared" si="11"/>
        <v>0</v>
      </c>
      <c r="L55" s="193">
        <f t="shared" si="11"/>
        <v>0</v>
      </c>
      <c r="M55" s="193">
        <f t="shared" si="11"/>
        <v>0</v>
      </c>
      <c r="N55" s="193">
        <f t="shared" si="11"/>
        <v>0</v>
      </c>
      <c r="O55" s="193">
        <f t="shared" si="11"/>
        <v>0</v>
      </c>
      <c r="P55" s="193">
        <f t="shared" si="11"/>
        <v>0</v>
      </c>
      <c r="Q55" s="193">
        <f t="shared" si="11"/>
        <v>0</v>
      </c>
      <c r="R55" s="193">
        <f t="shared" si="11"/>
        <v>0</v>
      </c>
      <c r="S55" s="249">
        <f t="shared" si="4"/>
        <v>111786168.72</v>
      </c>
      <c r="T55" s="471">
        <f t="shared" si="3"/>
        <v>2.1066291406603344</v>
      </c>
    </row>
    <row r="56" spans="1:21">
      <c r="A56" s="144">
        <v>4611</v>
      </c>
      <c r="B56" s="549" t="str">
        <f>+VLOOKUP($A56,Master!$D$29:$G$225,4,FALSE)</f>
        <v>Otplata hartija od vrijednosti i kredita rezidentima</v>
      </c>
      <c r="C56" s="550"/>
      <c r="D56" s="550"/>
      <c r="E56" s="550"/>
      <c r="F56" s="550"/>
      <c r="G56" s="211">
        <v>2390495.08</v>
      </c>
      <c r="H56" s="211">
        <v>3087670.22</v>
      </c>
      <c r="I56" s="211">
        <v>2560106.65</v>
      </c>
      <c r="J56" s="211">
        <v>4658647.9099999992</v>
      </c>
      <c r="K56" s="211">
        <v>0</v>
      </c>
      <c r="L56" s="211">
        <v>0</v>
      </c>
      <c r="M56" s="211">
        <v>0</v>
      </c>
      <c r="N56" s="211">
        <v>0</v>
      </c>
      <c r="O56" s="211">
        <v>0</v>
      </c>
      <c r="P56" s="211">
        <v>0</v>
      </c>
      <c r="Q56" s="211">
        <v>0</v>
      </c>
      <c r="R56" s="211">
        <v>0</v>
      </c>
      <c r="S56" s="250">
        <f t="shared" si="4"/>
        <v>12696919.859999999</v>
      </c>
      <c r="T56" s="472">
        <f t="shared" si="3"/>
        <v>0.23927558909995475</v>
      </c>
    </row>
    <row r="57" spans="1:21" ht="13.5" thickBot="1">
      <c r="A57" s="144">
        <v>4612</v>
      </c>
      <c r="B57" s="525" t="str">
        <f>+VLOOKUP($A57,Master!$D$29:$G$225,4,FALSE)</f>
        <v>Otplata hartija od vrijednosti i kredita nerezidentima</v>
      </c>
      <c r="C57" s="526"/>
      <c r="D57" s="526"/>
      <c r="E57" s="526"/>
      <c r="F57" s="526"/>
      <c r="G57" s="211">
        <v>26040763.890000001</v>
      </c>
      <c r="H57" s="211">
        <v>11121330.91</v>
      </c>
      <c r="I57" s="211">
        <v>9111576.3399999999</v>
      </c>
      <c r="J57" s="211">
        <v>52815577.719999999</v>
      </c>
      <c r="K57" s="211">
        <v>0</v>
      </c>
      <c r="L57" s="211">
        <v>0</v>
      </c>
      <c r="M57" s="211">
        <v>0</v>
      </c>
      <c r="N57" s="211">
        <v>0</v>
      </c>
      <c r="O57" s="211">
        <v>0</v>
      </c>
      <c r="P57" s="211">
        <v>0</v>
      </c>
      <c r="Q57" s="211">
        <v>0</v>
      </c>
      <c r="R57" s="211">
        <v>0</v>
      </c>
      <c r="S57" s="250">
        <f t="shared" si="4"/>
        <v>99089248.859999999</v>
      </c>
      <c r="T57" s="472">
        <f t="shared" si="3"/>
        <v>1.8673535515603801</v>
      </c>
    </row>
    <row r="58" spans="1:21" ht="13.5" thickBot="1">
      <c r="A58" s="144">
        <v>4418</v>
      </c>
      <c r="B58" s="517" t="str">
        <f>+VLOOKUP($A58,Master!$D$29:$G$225,4,FALSE)</f>
        <v>Izdaci za kupovinu hartija od vrijednosti</v>
      </c>
      <c r="C58" s="518"/>
      <c r="D58" s="518"/>
      <c r="E58" s="518"/>
      <c r="F58" s="518"/>
      <c r="G58" s="460">
        <v>0</v>
      </c>
      <c r="H58" s="460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0</v>
      </c>
      <c r="P58" s="460">
        <v>0</v>
      </c>
      <c r="Q58" s="460">
        <v>0</v>
      </c>
      <c r="R58" s="460">
        <v>0</v>
      </c>
      <c r="S58" s="249">
        <f>SUM(G58:R58)</f>
        <v>0</v>
      </c>
      <c r="T58" s="473">
        <f t="shared" si="3"/>
        <v>0</v>
      </c>
    </row>
    <row r="59" spans="1:21" ht="13.5" thickBot="1">
      <c r="A59" s="144">
        <v>1002</v>
      </c>
      <c r="B59" s="551" t="str">
        <f>+VLOOKUP($A59,Master!$D$29:$G$225,4,FALSE)</f>
        <v>Nedostajuća sredstva</v>
      </c>
      <c r="C59" s="552"/>
      <c r="D59" s="552"/>
      <c r="E59" s="552"/>
      <c r="F59" s="552"/>
      <c r="G59" s="217">
        <f>+G53-G55-G58</f>
        <v>-56152350.269999996</v>
      </c>
      <c r="H59" s="217">
        <f t="shared" ref="H59:R59" si="12">+H53-H55-H58</f>
        <v>-40426609.449999996</v>
      </c>
      <c r="I59" s="217">
        <f t="shared" si="12"/>
        <v>20228374.229999997</v>
      </c>
      <c r="J59" s="217">
        <f t="shared" si="12"/>
        <v>-71796998.769999951</v>
      </c>
      <c r="K59" s="217">
        <f t="shared" si="12"/>
        <v>0</v>
      </c>
      <c r="L59" s="217">
        <f t="shared" si="12"/>
        <v>0</v>
      </c>
      <c r="M59" s="217">
        <f t="shared" si="12"/>
        <v>0</v>
      </c>
      <c r="N59" s="217">
        <f t="shared" si="12"/>
        <v>0</v>
      </c>
      <c r="O59" s="217">
        <f t="shared" si="12"/>
        <v>0</v>
      </c>
      <c r="P59" s="217">
        <f t="shared" si="12"/>
        <v>0</v>
      </c>
      <c r="Q59" s="217">
        <f t="shared" si="12"/>
        <v>0</v>
      </c>
      <c r="R59" s="217">
        <f t="shared" si="12"/>
        <v>0</v>
      </c>
      <c r="S59" s="251">
        <f t="shared" si="4"/>
        <v>-148147584.25999996</v>
      </c>
      <c r="T59" s="474">
        <f t="shared" si="3"/>
        <v>-2.7918661288255686</v>
      </c>
    </row>
    <row r="60" spans="1:21" ht="13.5" thickBot="1">
      <c r="A60" s="144">
        <v>1003</v>
      </c>
      <c r="B60" s="515" t="str">
        <f>+VLOOKUP($A60,Master!$D$29:$G$225,4,FALSE)</f>
        <v>Finansiranje</v>
      </c>
      <c r="C60" s="516"/>
      <c r="D60" s="516"/>
      <c r="E60" s="516"/>
      <c r="F60" s="516"/>
      <c r="G60" s="151">
        <f>+SUM(G61:G64)</f>
        <v>56152350.269999996</v>
      </c>
      <c r="H60" s="151">
        <f t="shared" ref="H60:R60" si="13">+SUM(H61:H64)</f>
        <v>40426609.449999996</v>
      </c>
      <c r="I60" s="151">
        <f t="shared" si="13"/>
        <v>-20228374.229999997</v>
      </c>
      <c r="J60" s="151">
        <f t="shared" si="13"/>
        <v>71796998.769999951</v>
      </c>
      <c r="K60" s="151">
        <f t="shared" si="13"/>
        <v>0</v>
      </c>
      <c r="L60" s="151">
        <f t="shared" si="13"/>
        <v>0</v>
      </c>
      <c r="M60" s="151">
        <f t="shared" si="13"/>
        <v>0</v>
      </c>
      <c r="N60" s="151">
        <f t="shared" si="13"/>
        <v>0</v>
      </c>
      <c r="O60" s="151">
        <f t="shared" si="13"/>
        <v>0</v>
      </c>
      <c r="P60" s="151">
        <f t="shared" si="13"/>
        <v>0</v>
      </c>
      <c r="Q60" s="151">
        <f t="shared" si="13"/>
        <v>0</v>
      </c>
      <c r="R60" s="151">
        <f t="shared" si="13"/>
        <v>0</v>
      </c>
      <c r="S60" s="252">
        <f t="shared" si="4"/>
        <v>148147584.25999996</v>
      </c>
      <c r="T60" s="475">
        <f t="shared" si="3"/>
        <v>2.7918661288255686</v>
      </c>
    </row>
    <row r="61" spans="1:21">
      <c r="A61" s="144">
        <v>7511</v>
      </c>
      <c r="B61" s="549" t="str">
        <f>+VLOOKUP($A61,Master!$D$29:$G$225,4,FALSE)</f>
        <v>Pozajmice i krediti od domaćih izvora</v>
      </c>
      <c r="C61" s="550"/>
      <c r="D61" s="550"/>
      <c r="E61" s="550"/>
      <c r="F61" s="550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211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2">
        <f t="shared" si="3"/>
        <v>0</v>
      </c>
    </row>
    <row r="62" spans="1:21">
      <c r="A62" s="144">
        <v>7512</v>
      </c>
      <c r="B62" s="525" t="str">
        <f>+VLOOKUP($A62,Master!$D$29:$G$225,4,FALSE)</f>
        <v>Pozajmice i krediti od inostranih izvora</v>
      </c>
      <c r="C62" s="526"/>
      <c r="D62" s="526"/>
      <c r="E62" s="526"/>
      <c r="F62" s="526"/>
      <c r="G62" s="211">
        <v>12789994.92</v>
      </c>
      <c r="H62" s="211">
        <v>6381871.5999999996</v>
      </c>
      <c r="I62" s="211">
        <v>738463.28</v>
      </c>
      <c r="J62" s="211">
        <v>1092332.6199999999</v>
      </c>
      <c r="K62" s="211">
        <v>0</v>
      </c>
      <c r="L62" s="211">
        <v>0</v>
      </c>
      <c r="M62" s="211">
        <v>0</v>
      </c>
      <c r="N62" s="211">
        <v>0</v>
      </c>
      <c r="O62" s="211">
        <v>0</v>
      </c>
      <c r="P62" s="211">
        <v>0</v>
      </c>
      <c r="Q62" s="211">
        <v>0</v>
      </c>
      <c r="R62" s="211">
        <v>0</v>
      </c>
      <c r="S62" s="250">
        <f t="shared" si="4"/>
        <v>21002662.420000002</v>
      </c>
      <c r="T62" s="472">
        <f t="shared" si="3"/>
        <v>0.39579870382933818</v>
      </c>
    </row>
    <row r="63" spans="1:21">
      <c r="A63" s="144">
        <v>72</v>
      </c>
      <c r="B63" s="525" t="str">
        <f>+VLOOKUP($A63,Master!$D$29:$G$225,4,FALSE)</f>
        <v>Primici od prodaje imovine</v>
      </c>
      <c r="C63" s="526"/>
      <c r="D63" s="526"/>
      <c r="E63" s="526"/>
      <c r="F63" s="526"/>
      <c r="G63" s="211">
        <v>693159.59</v>
      </c>
      <c r="H63" s="211">
        <v>70539.22</v>
      </c>
      <c r="I63" s="211">
        <v>383792.48</v>
      </c>
      <c r="J63" s="211">
        <v>766267.74</v>
      </c>
      <c r="K63" s="211">
        <v>0</v>
      </c>
      <c r="L63" s="211">
        <v>0</v>
      </c>
      <c r="M63" s="211">
        <v>0</v>
      </c>
      <c r="N63" s="211">
        <v>0</v>
      </c>
      <c r="O63" s="211">
        <v>0</v>
      </c>
      <c r="P63" s="211">
        <v>0</v>
      </c>
      <c r="Q63" s="211">
        <v>0</v>
      </c>
      <c r="R63" s="211">
        <v>0</v>
      </c>
      <c r="S63" s="250">
        <f t="shared" si="4"/>
        <v>1913759.03</v>
      </c>
      <c r="T63" s="472">
        <f t="shared" si="3"/>
        <v>3.6065110621136744E-2</v>
      </c>
    </row>
    <row r="64" spans="1:21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42669195.759999998</v>
      </c>
      <c r="H64" s="225">
        <f t="shared" ref="H64:R64" si="14">-H59-SUM(H61:H63)</f>
        <v>33974198.629999995</v>
      </c>
      <c r="I64" s="225">
        <f t="shared" si="14"/>
        <v>-21350629.989999998</v>
      </c>
      <c r="J64" s="225">
        <f t="shared" si="14"/>
        <v>69938398.409999952</v>
      </c>
      <c r="K64" s="225">
        <f t="shared" si="14"/>
        <v>0</v>
      </c>
      <c r="L64" s="225">
        <f t="shared" si="14"/>
        <v>0</v>
      </c>
      <c r="M64" s="225">
        <f t="shared" si="14"/>
        <v>0</v>
      </c>
      <c r="N64" s="225">
        <f t="shared" si="14"/>
        <v>0</v>
      </c>
      <c r="O64" s="225">
        <f t="shared" si="14"/>
        <v>0</v>
      </c>
      <c r="P64" s="225">
        <f t="shared" si="14"/>
        <v>0</v>
      </c>
      <c r="Q64" s="225">
        <f t="shared" si="14"/>
        <v>0</v>
      </c>
      <c r="R64" s="225">
        <f t="shared" si="14"/>
        <v>0</v>
      </c>
      <c r="S64" s="253">
        <f>+SUM(G64:R64)</f>
        <v>125231162.80999994</v>
      </c>
      <c r="T64" s="476">
        <f t="shared" si="3"/>
        <v>2.3600023143750932</v>
      </c>
    </row>
    <row r="65" spans="7:21">
      <c r="R65" s="312"/>
    </row>
    <row r="67" spans="7:21">
      <c r="G67" s="311"/>
    </row>
    <row r="74" spans="7:21">
      <c r="U74" s="257"/>
    </row>
    <row r="79" spans="7:21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21" ht="13.5" thickBot="1">
      <c r="G80" s="68" t="str">
        <f t="shared" ref="G80:R80" si="15">+CONCATENATE(G6,"p")</f>
        <v>2022-01p</v>
      </c>
      <c r="H80" s="68" t="str">
        <f t="shared" si="15"/>
        <v>2022-02p</v>
      </c>
      <c r="I80" s="68" t="str">
        <f t="shared" si="15"/>
        <v>2022-03p</v>
      </c>
      <c r="J80" s="68" t="str">
        <f t="shared" si="15"/>
        <v>2022-04p</v>
      </c>
      <c r="K80" s="68" t="str">
        <f t="shared" si="15"/>
        <v>2022-05p</v>
      </c>
      <c r="L80" s="68" t="str">
        <f t="shared" si="15"/>
        <v>2022-06p</v>
      </c>
      <c r="M80" s="68" t="str">
        <f t="shared" si="15"/>
        <v>2022-07p</v>
      </c>
      <c r="N80" s="68" t="str">
        <f t="shared" si="15"/>
        <v>2022-08p</v>
      </c>
      <c r="O80" s="68" t="str">
        <f t="shared" si="15"/>
        <v>2022-09p</v>
      </c>
      <c r="P80" s="68" t="str">
        <f t="shared" si="15"/>
        <v>2022-10p</v>
      </c>
      <c r="Q80" s="68" t="str">
        <f t="shared" si="15"/>
        <v>2022-11p</v>
      </c>
      <c r="R80" s="68" t="str">
        <f t="shared" si="15"/>
        <v>2022-12p</v>
      </c>
    </row>
    <row r="81" spans="1:21" ht="15.75" customHeight="1" thickBot="1">
      <c r="B81" s="577" t="str">
        <f>+Master!G252</f>
        <v>Plan ostvarenja budžeta</v>
      </c>
      <c r="C81" s="578"/>
      <c r="D81" s="578"/>
      <c r="E81" s="578"/>
      <c r="F81" s="578"/>
      <c r="G81" s="562">
        <v>2022</v>
      </c>
      <c r="H81" s="563"/>
      <c r="I81" s="563"/>
      <c r="J81" s="563"/>
      <c r="K81" s="563"/>
      <c r="L81" s="563"/>
      <c r="M81" s="563"/>
      <c r="N81" s="563"/>
      <c r="O81" s="563"/>
      <c r="P81" s="563"/>
      <c r="Q81" s="563"/>
      <c r="R81" s="564"/>
      <c r="S81" s="107" t="str">
        <f>+S7</f>
        <v>BDP</v>
      </c>
      <c r="T81" s="108">
        <v>5306400000</v>
      </c>
    </row>
    <row r="82" spans="1:21" ht="15.75" customHeight="1">
      <c r="B82" s="579"/>
      <c r="C82" s="580"/>
      <c r="D82" s="580"/>
      <c r="E82" s="580"/>
      <c r="F82" s="581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562" t="str">
        <f>+Master!G246</f>
        <v>Jan - Dec</v>
      </c>
      <c r="T82" s="564">
        <f>+T8</f>
        <v>0</v>
      </c>
    </row>
    <row r="83" spans="1:21" ht="13.5" thickBot="1">
      <c r="B83" s="582"/>
      <c r="C83" s="583"/>
      <c r="D83" s="583"/>
      <c r="E83" s="583"/>
      <c r="F83" s="584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38" si="17">+CONCATENATE(A10,"p")</f>
        <v>7p</v>
      </c>
      <c r="B84" s="571" t="str">
        <f>+VLOOKUP(LEFT($A84,LEN(A84)-1)*1,Master!$D$29:$G$225,4,FALSE)</f>
        <v>Prihodi budžeta</v>
      </c>
      <c r="C84" s="572"/>
      <c r="D84" s="572"/>
      <c r="E84" s="572"/>
      <c r="F84" s="572"/>
      <c r="G84" s="93">
        <f t="shared" ref="G84:R84" si="18">+G85+G93+SUM(G98:G102)</f>
        <v>103883592.73418278</v>
      </c>
      <c r="H84" s="93">
        <f t="shared" si="18"/>
        <v>112389437.34253797</v>
      </c>
      <c r="I84" s="93">
        <f t="shared" si="18"/>
        <v>149823320.09605211</v>
      </c>
      <c r="J84" s="93">
        <f t="shared" si="18"/>
        <v>161889007.68791279</v>
      </c>
      <c r="K84" s="93">
        <f t="shared" si="18"/>
        <v>140633489.37786841</v>
      </c>
      <c r="L84" s="93">
        <f t="shared" si="18"/>
        <v>163567969.03586718</v>
      </c>
      <c r="M84" s="93">
        <f t="shared" si="18"/>
        <v>189013439.82863885</v>
      </c>
      <c r="N84" s="93">
        <f t="shared" si="18"/>
        <v>195169347.71786064</v>
      </c>
      <c r="O84" s="93">
        <f t="shared" si="18"/>
        <v>173319933.4629713</v>
      </c>
      <c r="P84" s="93">
        <f t="shared" si="18"/>
        <v>168315875.7953729</v>
      </c>
      <c r="Q84" s="93">
        <f t="shared" si="18"/>
        <v>160954690.16744265</v>
      </c>
      <c r="R84" s="93">
        <f t="shared" si="18"/>
        <v>215797515.85336715</v>
      </c>
      <c r="S84" s="453">
        <f>+SUM(G84:R84)</f>
        <v>1934757619.1000748</v>
      </c>
      <c r="T84" s="477">
        <f>+S84/$T$81*100</f>
        <v>36.460832562567369</v>
      </c>
      <c r="U84" s="257"/>
    </row>
    <row r="85" spans="1:21">
      <c r="A85" s="116" t="str">
        <f t="shared" si="17"/>
        <v>711p</v>
      </c>
      <c r="B85" s="573" t="str">
        <f>+VLOOKUP(LEFT($A85,LEN(A85)-1)*1,Master!$D$29:$G$225,4,FALSE)</f>
        <v>Porezi</v>
      </c>
      <c r="C85" s="574"/>
      <c r="D85" s="574"/>
      <c r="E85" s="574"/>
      <c r="F85" s="574"/>
      <c r="G85" s="79">
        <f t="shared" ref="G85:R85" si="19">+SUM(G86:G92)</f>
        <v>76986192.301309064</v>
      </c>
      <c r="H85" s="79">
        <f t="shared" si="19"/>
        <v>68739316.006660998</v>
      </c>
      <c r="I85" s="79">
        <f t="shared" si="19"/>
        <v>105701262.46110664</v>
      </c>
      <c r="J85" s="79">
        <f t="shared" si="19"/>
        <v>109215070.37754746</v>
      </c>
      <c r="K85" s="79">
        <f t="shared" si="19"/>
        <v>93834576.699615017</v>
      </c>
      <c r="L85" s="79">
        <f t="shared" si="19"/>
        <v>108847757.90236668</v>
      </c>
      <c r="M85" s="79">
        <f t="shared" si="19"/>
        <v>125840403.83781756</v>
      </c>
      <c r="N85" s="79">
        <f t="shared" si="19"/>
        <v>134576943.18371007</v>
      </c>
      <c r="O85" s="79">
        <f t="shared" si="19"/>
        <v>121706415.21215931</v>
      </c>
      <c r="P85" s="79">
        <f t="shared" si="19"/>
        <v>112627812.98825803</v>
      </c>
      <c r="Q85" s="79">
        <f t="shared" si="19"/>
        <v>103171800.18523188</v>
      </c>
      <c r="R85" s="80">
        <f t="shared" si="19"/>
        <v>116102139.13114922</v>
      </c>
      <c r="S85" s="111">
        <f t="shared" ref="S85:S138" si="20">+SUM(G85:R85)</f>
        <v>1277349690.286932</v>
      </c>
      <c r="T85" s="463">
        <f t="shared" ref="T85:T138" si="21">+S85/$T$81*100</f>
        <v>24.071869634534373</v>
      </c>
      <c r="U85" s="257"/>
    </row>
    <row r="86" spans="1:21">
      <c r="A86" s="116" t="str">
        <f t="shared" si="17"/>
        <v>7111p</v>
      </c>
      <c r="B86" s="575" t="str">
        <f>+VLOOKUP(LEFT($A86,LEN(A86)-1)*1,Master!$D$29:$G$228,4,FALSE)</f>
        <v>Porez na dohodak fizičkih lica</v>
      </c>
      <c r="C86" s="576"/>
      <c r="D86" s="576"/>
      <c r="E86" s="576"/>
      <c r="F86" s="576"/>
      <c r="G86" s="87">
        <v>6036977.0769869126</v>
      </c>
      <c r="H86" s="87">
        <v>8911478.3177045882</v>
      </c>
      <c r="I86" s="87">
        <v>8610008.171962196</v>
      </c>
      <c r="J86" s="87">
        <v>12249334.247183047</v>
      </c>
      <c r="K86" s="87">
        <v>11719700.466837784</v>
      </c>
      <c r="L86" s="87">
        <v>11838864.683369705</v>
      </c>
      <c r="M86" s="87">
        <v>12658416.85178042</v>
      </c>
      <c r="N86" s="87">
        <v>12153377.839137483</v>
      </c>
      <c r="O86" s="87">
        <v>12015172.827783465</v>
      </c>
      <c r="P86" s="87">
        <v>12484353.918082759</v>
      </c>
      <c r="Q86" s="87">
        <v>11687568.278631231</v>
      </c>
      <c r="R86" s="87">
        <v>19924639.630337406</v>
      </c>
      <c r="S86" s="112">
        <f t="shared" si="20"/>
        <v>140289892.30979699</v>
      </c>
      <c r="T86" s="464">
        <f t="shared" si="21"/>
        <v>2.6437866031546244</v>
      </c>
    </row>
    <row r="87" spans="1:21">
      <c r="A87" s="116" t="str">
        <f t="shared" si="17"/>
        <v>7112p</v>
      </c>
      <c r="B87" s="575" t="str">
        <f>+VLOOKUP(LEFT($A87,LEN(A87)-1)*1,Master!$D$29:$G$228,4,FALSE)</f>
        <v>Porez na dobit pravnih lica</v>
      </c>
      <c r="C87" s="576"/>
      <c r="D87" s="576"/>
      <c r="E87" s="576"/>
      <c r="F87" s="576"/>
      <c r="G87" s="87">
        <v>386172.45118166273</v>
      </c>
      <c r="H87" s="87">
        <v>2338219.2077789549</v>
      </c>
      <c r="I87" s="87">
        <v>28996013.122200411</v>
      </c>
      <c r="J87" s="87">
        <v>22814989.281143885</v>
      </c>
      <c r="K87" s="87">
        <v>5197060.1926962147</v>
      </c>
      <c r="L87" s="87">
        <v>4933009.0913874442</v>
      </c>
      <c r="M87" s="87">
        <v>5265465.4182412103</v>
      </c>
      <c r="N87" s="87">
        <v>4155051.2661085152</v>
      </c>
      <c r="O87" s="87">
        <v>2892088.1311011645</v>
      </c>
      <c r="P87" s="87">
        <v>1042099.4749570616</v>
      </c>
      <c r="Q87" s="87">
        <v>1268040.6826842749</v>
      </c>
      <c r="R87" s="87">
        <v>4996140.2242778074</v>
      </c>
      <c r="S87" s="112">
        <f t="shared" si="20"/>
        <v>84284348.543758601</v>
      </c>
      <c r="T87" s="464">
        <f t="shared" si="21"/>
        <v>1.5883527164133611</v>
      </c>
    </row>
    <row r="88" spans="1:21">
      <c r="A88" s="116" t="str">
        <f t="shared" si="17"/>
        <v>7113p</v>
      </c>
      <c r="B88" s="575" t="str">
        <f>+VLOOKUP(LEFT($A88,LEN(A88)-1)*1,Master!$D$29:$G$228,4,FALSE)</f>
        <v>Porez na promet nepokretnosti</v>
      </c>
      <c r="C88" s="576"/>
      <c r="D88" s="576"/>
      <c r="E88" s="576"/>
      <c r="F88" s="576"/>
      <c r="G88" s="87">
        <v>137599.11671066686</v>
      </c>
      <c r="H88" s="87">
        <v>139962.95471971622</v>
      </c>
      <c r="I88" s="87">
        <v>160800.54964910698</v>
      </c>
      <c r="J88" s="87">
        <v>168679.89751277707</v>
      </c>
      <c r="K88" s="87">
        <v>151756.38063291303</v>
      </c>
      <c r="L88" s="87">
        <v>130623.85679923798</v>
      </c>
      <c r="M88" s="87">
        <v>126029.78316750137</v>
      </c>
      <c r="N88" s="87">
        <v>142307.1388536517</v>
      </c>
      <c r="O88" s="87">
        <v>108672.06715796523</v>
      </c>
      <c r="P88" s="87">
        <v>143661.48518472709</v>
      </c>
      <c r="Q88" s="87">
        <v>142630.12109384249</v>
      </c>
      <c r="R88" s="87">
        <v>128842.67579023782</v>
      </c>
      <c r="S88" s="112">
        <f t="shared" si="20"/>
        <v>1681566.0272723434</v>
      </c>
      <c r="T88" s="464">
        <f t="shared" si="21"/>
        <v>3.1689394453345836E-2</v>
      </c>
    </row>
    <row r="89" spans="1:21">
      <c r="A89" s="116" t="str">
        <f t="shared" si="17"/>
        <v>7114p</v>
      </c>
      <c r="B89" s="575" t="str">
        <f>+VLOOKUP(LEFT($A89,LEN(A89)-1)*1,Master!$D$29:$G$228,4,FALSE)</f>
        <v>Porez na dodatu vrijednost</v>
      </c>
      <c r="C89" s="576"/>
      <c r="D89" s="576"/>
      <c r="E89" s="576"/>
      <c r="F89" s="576"/>
      <c r="G89" s="87">
        <v>48997810.15816012</v>
      </c>
      <c r="H89" s="87">
        <v>40002470.340359561</v>
      </c>
      <c r="I89" s="87">
        <v>50004466.090834908</v>
      </c>
      <c r="J89" s="87">
        <v>53003514.578586213</v>
      </c>
      <c r="K89" s="87">
        <v>53019436.722509921</v>
      </c>
      <c r="L89" s="87">
        <v>65702977.290997334</v>
      </c>
      <c r="M89" s="87">
        <v>76000116.474118784</v>
      </c>
      <c r="N89" s="87">
        <v>80017450.661895335</v>
      </c>
      <c r="O89" s="87">
        <v>70695564.988729894</v>
      </c>
      <c r="P89" s="87">
        <v>69519387.136670247</v>
      </c>
      <c r="Q89" s="87">
        <v>62764600.786352843</v>
      </c>
      <c r="R89" s="87">
        <v>64112577.546304867</v>
      </c>
      <c r="S89" s="112">
        <f t="shared" si="20"/>
        <v>733840372.77552009</v>
      </c>
      <c r="T89" s="464">
        <f t="shared" si="21"/>
        <v>13.829345182713707</v>
      </c>
    </row>
    <row r="90" spans="1:21">
      <c r="A90" s="116" t="str">
        <f t="shared" si="17"/>
        <v>7115p</v>
      </c>
      <c r="B90" s="575" t="str">
        <f>+VLOOKUP(LEFT($A90,LEN(A90)-1)*1,Master!$D$29:$G$228,4,FALSE)</f>
        <v>Akcize</v>
      </c>
      <c r="C90" s="576"/>
      <c r="D90" s="576"/>
      <c r="E90" s="576"/>
      <c r="F90" s="576"/>
      <c r="G90" s="87">
        <v>19022248.857979022</v>
      </c>
      <c r="H90" s="87">
        <v>14888833.871354572</v>
      </c>
      <c r="I90" s="87">
        <v>14529557.862004982</v>
      </c>
      <c r="J90" s="87">
        <v>17361043.168040603</v>
      </c>
      <c r="K90" s="87">
        <v>20215865.486963261</v>
      </c>
      <c r="L90" s="87">
        <v>22457232.88613506</v>
      </c>
      <c r="M90" s="87">
        <v>27691704.400892012</v>
      </c>
      <c r="N90" s="87">
        <v>32942521.963602662</v>
      </c>
      <c r="O90" s="87">
        <v>31301086.260136649</v>
      </c>
      <c r="P90" s="87">
        <v>24896741.211742759</v>
      </c>
      <c r="Q90" s="87">
        <v>23199515.912827551</v>
      </c>
      <c r="R90" s="87">
        <v>22494227.663672887</v>
      </c>
      <c r="S90" s="112">
        <f t="shared" si="20"/>
        <v>271000579.54535198</v>
      </c>
      <c r="T90" s="464">
        <f t="shared" si="21"/>
        <v>5.1070514764313275</v>
      </c>
    </row>
    <row r="91" spans="1:21">
      <c r="A91" s="116" t="str">
        <f t="shared" si="17"/>
        <v>7116p</v>
      </c>
      <c r="B91" s="575" t="str">
        <f>+VLOOKUP(LEFT($A91,LEN(A91)-1)*1,Master!$D$29:$G$228,4,FALSE)</f>
        <v>Porez na međunarodnu trgovinu i transakcije</v>
      </c>
      <c r="C91" s="576"/>
      <c r="D91" s="576"/>
      <c r="E91" s="576"/>
      <c r="F91" s="576"/>
      <c r="G91" s="87">
        <v>1581959.901535122</v>
      </c>
      <c r="H91" s="87">
        <v>1703130.706570718</v>
      </c>
      <c r="I91" s="87">
        <v>2460685.1155701326</v>
      </c>
      <c r="J91" s="87">
        <v>2633161.7547204318</v>
      </c>
      <c r="K91" s="87">
        <v>2602607.8746786527</v>
      </c>
      <c r="L91" s="87">
        <v>2684994.2017241237</v>
      </c>
      <c r="M91" s="87">
        <v>3011596.6669215872</v>
      </c>
      <c r="N91" s="87">
        <v>3100234.0208783555</v>
      </c>
      <c r="O91" s="87">
        <v>2655237.4002162451</v>
      </c>
      <c r="P91" s="87">
        <v>2592394.5025440347</v>
      </c>
      <c r="Q91" s="87">
        <v>2104701.7503375057</v>
      </c>
      <c r="R91" s="87">
        <v>2536747.8171281349</v>
      </c>
      <c r="S91" s="112">
        <f t="shared" si="20"/>
        <v>29667451.712825045</v>
      </c>
      <c r="T91" s="464">
        <f t="shared" si="21"/>
        <v>0.55908811459417007</v>
      </c>
    </row>
    <row r="92" spans="1:21">
      <c r="A92" s="116" t="str">
        <f t="shared" si="17"/>
        <v>7118p</v>
      </c>
      <c r="B92" s="575" t="str">
        <f>+VLOOKUP(LEFT($A92,LEN(A92)-1)*1,Master!$D$29:$G$228,4,FALSE)</f>
        <v>Ostali državni porezi</v>
      </c>
      <c r="C92" s="576"/>
      <c r="D92" s="576"/>
      <c r="E92" s="576"/>
      <c r="F92" s="576"/>
      <c r="G92" s="87">
        <v>823424.73875555594</v>
      </c>
      <c r="H92" s="87">
        <v>755220.60817287723</v>
      </c>
      <c r="I92" s="87">
        <v>939731.54888491821</v>
      </c>
      <c r="J92" s="87">
        <v>984347.45036050549</v>
      </c>
      <c r="K92" s="87">
        <v>928149.5752962752</v>
      </c>
      <c r="L92" s="87">
        <v>1100055.8919537803</v>
      </c>
      <c r="M92" s="87">
        <v>1087074.2426960634</v>
      </c>
      <c r="N92" s="87">
        <v>2066000.2932340601</v>
      </c>
      <c r="O92" s="87">
        <v>2038593.5370339223</v>
      </c>
      <c r="P92" s="87">
        <v>1949175.2590764421</v>
      </c>
      <c r="Q92" s="87">
        <v>2004742.6533046227</v>
      </c>
      <c r="R92" s="87">
        <v>1908963.573637875</v>
      </c>
      <c r="S92" s="112">
        <f t="shared" si="20"/>
        <v>16585479.3724069</v>
      </c>
      <c r="T92" s="464">
        <f t="shared" si="21"/>
        <v>0.31255614677383725</v>
      </c>
    </row>
    <row r="93" spans="1:21">
      <c r="A93" s="116" t="str">
        <f t="shared" si="17"/>
        <v>712p</v>
      </c>
      <c r="B93" s="587" t="str">
        <f>+VLOOKUP(LEFT($A93,LEN(A93)-1)*1,Master!$D$29:$G$228,4,FALSE)</f>
        <v>Doprinosi</v>
      </c>
      <c r="C93" s="588"/>
      <c r="D93" s="588"/>
      <c r="E93" s="588"/>
      <c r="F93" s="588"/>
      <c r="G93" s="81">
        <f>+SUM(G94:G97)</f>
        <v>14739033.95730887</v>
      </c>
      <c r="H93" s="81">
        <f t="shared" ref="H93:R93" si="22">+SUM(H94:H97)</f>
        <v>35577399.162559882</v>
      </c>
      <c r="I93" s="480">
        <f t="shared" si="22"/>
        <v>35206496.551826648</v>
      </c>
      <c r="J93" s="81">
        <f t="shared" si="22"/>
        <v>42715012.505468771</v>
      </c>
      <c r="K93" s="81">
        <f t="shared" si="22"/>
        <v>35349770.216303565</v>
      </c>
      <c r="L93" s="81">
        <f t="shared" si="22"/>
        <v>40049430.910925195</v>
      </c>
      <c r="M93" s="81">
        <f t="shared" si="22"/>
        <v>42753293.821960472</v>
      </c>
      <c r="N93" s="81">
        <f t="shared" si="22"/>
        <v>40593513.231235966</v>
      </c>
      <c r="O93" s="81">
        <f t="shared" si="22"/>
        <v>39471393.883434452</v>
      </c>
      <c r="P93" s="81">
        <f t="shared" si="22"/>
        <v>42070524.854843825</v>
      </c>
      <c r="Q93" s="81">
        <f t="shared" si="22"/>
        <v>40155069.118088707</v>
      </c>
      <c r="R93" s="82">
        <f t="shared" si="22"/>
        <v>76385991.571237266</v>
      </c>
      <c r="S93" s="113">
        <f t="shared" si="20"/>
        <v>485066929.78519362</v>
      </c>
      <c r="T93" s="465">
        <f t="shared" si="21"/>
        <v>9.1411678310190254</v>
      </c>
    </row>
    <row r="94" spans="1:21">
      <c r="A94" s="116" t="str">
        <f t="shared" si="17"/>
        <v>7121p</v>
      </c>
      <c r="B94" s="575" t="str">
        <f>+VLOOKUP(LEFT($A94,LEN(A94)-1)*1,Master!$D$29:$G$228,4,FALSE)</f>
        <v>Doprinosi za penzijsko i invalidsko osiguranje</v>
      </c>
      <c r="C94" s="576"/>
      <c r="D94" s="576"/>
      <c r="E94" s="576"/>
      <c r="F94" s="576"/>
      <c r="G94" s="87">
        <v>9495171.1621009018</v>
      </c>
      <c r="H94" s="87">
        <v>31694621.356915068</v>
      </c>
      <c r="I94" s="87">
        <v>30831127.527752884</v>
      </c>
      <c r="J94" s="87">
        <v>38211450.90576046</v>
      </c>
      <c r="K94" s="87">
        <v>31487172.281432074</v>
      </c>
      <c r="L94" s="87">
        <v>35607882.632401399</v>
      </c>
      <c r="M94" s="87">
        <v>38126882.692857176</v>
      </c>
      <c r="N94" s="87">
        <v>36064695.044786133</v>
      </c>
      <c r="O94" s="87">
        <v>35048794.935994439</v>
      </c>
      <c r="P94" s="87">
        <v>37410500.030440003</v>
      </c>
      <c r="Q94" s="87">
        <v>35705275.759551719</v>
      </c>
      <c r="R94" s="87">
        <v>69140609.601068795</v>
      </c>
      <c r="S94" s="112">
        <f t="shared" si="20"/>
        <v>428824183.93106103</v>
      </c>
      <c r="T94" s="464">
        <f t="shared" si="21"/>
        <v>8.0812638310542173</v>
      </c>
    </row>
    <row r="95" spans="1:21">
      <c r="A95" s="116" t="str">
        <f t="shared" si="17"/>
        <v>7122p</v>
      </c>
      <c r="B95" s="575" t="str">
        <f>+VLOOKUP(LEFT($A95,LEN(A95)-1)*1,Master!$D$29:$G$228,4,FALSE)</f>
        <v>Doprinosi za zdravstveno osiguranje</v>
      </c>
      <c r="C95" s="576"/>
      <c r="D95" s="576"/>
      <c r="E95" s="576"/>
      <c r="F95" s="576"/>
      <c r="G95" s="87">
        <v>4217156.505590898</v>
      </c>
      <c r="H95" s="87">
        <v>1387272.7272727001</v>
      </c>
      <c r="I95" s="87">
        <v>1387272.7272727001</v>
      </c>
      <c r="J95" s="87">
        <v>1387272.7272727001</v>
      </c>
      <c r="K95" s="87">
        <v>1387272.7272727001</v>
      </c>
      <c r="L95" s="87">
        <v>1387272.7272727001</v>
      </c>
      <c r="M95" s="87">
        <v>1387272.7272727001</v>
      </c>
      <c r="N95" s="87">
        <v>1387272.7272727001</v>
      </c>
      <c r="O95" s="87">
        <v>1387272.7272727001</v>
      </c>
      <c r="P95" s="87">
        <v>1387272.7272727001</v>
      </c>
      <c r="Q95" s="87">
        <v>1387272.7272727001</v>
      </c>
      <c r="R95" s="87">
        <v>1387272.7272727001</v>
      </c>
      <c r="S95" s="112">
        <f t="shared" si="20"/>
        <v>19477156.505590603</v>
      </c>
      <c r="T95" s="464">
        <f t="shared" si="21"/>
        <v>0.36705028843642773</v>
      </c>
    </row>
    <row r="96" spans="1:21">
      <c r="A96" s="116" t="str">
        <f t="shared" si="17"/>
        <v>7123p</v>
      </c>
      <c r="B96" s="575" t="str">
        <f>+VLOOKUP(LEFT($A96,LEN(A96)-1)*1,Master!$D$29:$G$228,4,FALSE)</f>
        <v>Doprinosi za osiguranje od nezaposlenosti</v>
      </c>
      <c r="C96" s="576"/>
      <c r="D96" s="576"/>
      <c r="E96" s="576"/>
      <c r="F96" s="576"/>
      <c r="G96" s="87">
        <v>603768.4288435023</v>
      </c>
      <c r="H96" s="87">
        <v>1343353.7326137528</v>
      </c>
      <c r="I96" s="87">
        <v>1641125.2437121717</v>
      </c>
      <c r="J96" s="87">
        <v>1626153.9845466164</v>
      </c>
      <c r="K96" s="87">
        <v>1467152.5454538772</v>
      </c>
      <c r="L96" s="87">
        <v>1755326.7677572384</v>
      </c>
      <c r="M96" s="87">
        <v>1879060.7612420167</v>
      </c>
      <c r="N96" s="87">
        <v>1839647.957332494</v>
      </c>
      <c r="O96" s="87">
        <v>1731484.6640204804</v>
      </c>
      <c r="P96" s="87">
        <v>1821603.5457183875</v>
      </c>
      <c r="Q96" s="87">
        <v>1718684.5581534628</v>
      </c>
      <c r="R96" s="87">
        <v>3226187.9480236997</v>
      </c>
      <c r="S96" s="112">
        <f t="shared" si="20"/>
        <v>20653550.1374177</v>
      </c>
      <c r="T96" s="464">
        <f t="shared" si="21"/>
        <v>0.38921962417868422</v>
      </c>
    </row>
    <row r="97" spans="1:23">
      <c r="A97" s="116" t="str">
        <f t="shared" si="17"/>
        <v>7124p</v>
      </c>
      <c r="B97" s="575" t="str">
        <f>+VLOOKUP(LEFT($A97,LEN(A97)-1)*1,Master!$D$29:$G$228,4,FALSE)</f>
        <v>Ostali doprinosi</v>
      </c>
      <c r="C97" s="576"/>
      <c r="D97" s="576"/>
      <c r="E97" s="576"/>
      <c r="F97" s="576"/>
      <c r="G97" s="87">
        <v>422937.86077356793</v>
      </c>
      <c r="H97" s="87">
        <v>1152151.3457583643</v>
      </c>
      <c r="I97" s="87">
        <v>1346971.0530888957</v>
      </c>
      <c r="J97" s="87">
        <v>1490134.8878889994</v>
      </c>
      <c r="K97" s="87">
        <v>1008172.6621449152</v>
      </c>
      <c r="L97" s="87">
        <v>1298948.7834938644</v>
      </c>
      <c r="M97" s="87">
        <v>1360077.6405885809</v>
      </c>
      <c r="N97" s="87">
        <v>1301897.5018446438</v>
      </c>
      <c r="O97" s="87">
        <v>1303841.5561468413</v>
      </c>
      <c r="P97" s="87">
        <v>1451148.5514127368</v>
      </c>
      <c r="Q97" s="87">
        <v>1343836.0731108226</v>
      </c>
      <c r="R97" s="87">
        <v>2631921.2948720674</v>
      </c>
      <c r="S97" s="112">
        <f t="shared" si="20"/>
        <v>16112039.211124301</v>
      </c>
      <c r="T97" s="464">
        <f t="shared" si="21"/>
        <v>0.3036340873496966</v>
      </c>
    </row>
    <row r="98" spans="1:23">
      <c r="A98" s="116" t="str">
        <f t="shared" si="17"/>
        <v>713p</v>
      </c>
      <c r="B98" s="585" t="str">
        <f>+VLOOKUP(LEFT($A98,LEN(A98)-1)*1,Master!$D$29:$G$228,4,FALSE)</f>
        <v>Takse</v>
      </c>
      <c r="C98" s="586"/>
      <c r="D98" s="586"/>
      <c r="E98" s="586"/>
      <c r="F98" s="586"/>
      <c r="G98" s="83">
        <v>716959.63744480617</v>
      </c>
      <c r="H98" s="83">
        <v>875830.28943826968</v>
      </c>
      <c r="I98" s="83">
        <v>898134.53683155368</v>
      </c>
      <c r="J98" s="83">
        <v>888310.9651939217</v>
      </c>
      <c r="K98" s="83">
        <v>1030366.1861709147</v>
      </c>
      <c r="L98" s="83">
        <v>1185843.6965174251</v>
      </c>
      <c r="M98" s="83">
        <v>1667639.8869234594</v>
      </c>
      <c r="N98" s="83">
        <v>1578448.2866900889</v>
      </c>
      <c r="O98" s="83">
        <v>1380373.0567911586</v>
      </c>
      <c r="P98" s="83">
        <v>1169305.3807242704</v>
      </c>
      <c r="Q98" s="83">
        <v>852590.84694761061</v>
      </c>
      <c r="R98" s="83">
        <v>1132750.4323350992</v>
      </c>
      <c r="S98" s="113">
        <f t="shared" si="20"/>
        <v>13376553.202008577</v>
      </c>
      <c r="T98" s="465">
        <f t="shared" si="21"/>
        <v>0.25208339367572324</v>
      </c>
    </row>
    <row r="99" spans="1:23">
      <c r="A99" s="116" t="str">
        <f t="shared" si="17"/>
        <v>714p</v>
      </c>
      <c r="B99" s="585" t="str">
        <f>+VLOOKUP(LEFT($A99,LEN(A99)-1)*1,Master!$D$29:$G$228,4,FALSE)</f>
        <v>Naknade</v>
      </c>
      <c r="C99" s="586"/>
      <c r="D99" s="586"/>
      <c r="E99" s="586"/>
      <c r="F99" s="586"/>
      <c r="G99" s="83">
        <v>9700438.6639014706</v>
      </c>
      <c r="H99" s="83">
        <v>2922897.1970708221</v>
      </c>
      <c r="I99" s="83">
        <v>3332017.5114569198</v>
      </c>
      <c r="J99" s="83">
        <v>4136191.0704011233</v>
      </c>
      <c r="K99" s="83">
        <v>3074367.946991629</v>
      </c>
      <c r="L99" s="83">
        <v>5739309.4993893243</v>
      </c>
      <c r="M99" s="83">
        <v>6472254.6831636187</v>
      </c>
      <c r="N99" s="83">
        <v>5700766.1375209093</v>
      </c>
      <c r="O99" s="83">
        <v>5838639.4240750894</v>
      </c>
      <c r="P99" s="83">
        <v>6404757.6661479613</v>
      </c>
      <c r="Q99" s="83">
        <v>5747893.6025398392</v>
      </c>
      <c r="R99" s="83">
        <v>7633324.3507150738</v>
      </c>
      <c r="S99" s="113">
        <f t="shared" si="20"/>
        <v>66702857.753373779</v>
      </c>
      <c r="T99" s="465">
        <f t="shared" si="21"/>
        <v>1.2570265670393068</v>
      </c>
    </row>
    <row r="100" spans="1:23">
      <c r="A100" s="116" t="str">
        <f t="shared" si="17"/>
        <v>715p</v>
      </c>
      <c r="B100" s="585" t="str">
        <f>+VLOOKUP(LEFT($A100,LEN(A100)-1)*1,Master!$D$29:$G$228,4,FALSE)</f>
        <v>Ostali prihodi</v>
      </c>
      <c r="C100" s="586"/>
      <c r="D100" s="586"/>
      <c r="E100" s="586"/>
      <c r="F100" s="586"/>
      <c r="G100" s="83">
        <v>1331781.4619610589</v>
      </c>
      <c r="H100" s="83">
        <v>1901272.8094459367</v>
      </c>
      <c r="I100" s="83">
        <v>2575064.836907316</v>
      </c>
      <c r="J100" s="83">
        <v>2112330.3067699438</v>
      </c>
      <c r="K100" s="83">
        <v>3659838.2733385107</v>
      </c>
      <c r="L100" s="83">
        <v>3097932.5006113267</v>
      </c>
      <c r="M100" s="83">
        <v>8852221.2517254446</v>
      </c>
      <c r="N100" s="83">
        <v>8102620.0768102016</v>
      </c>
      <c r="O100" s="83">
        <v>1810690.2451614358</v>
      </c>
      <c r="P100" s="83">
        <v>2046468.0200236528</v>
      </c>
      <c r="Q100" s="83">
        <v>1800926.1426908849</v>
      </c>
      <c r="R100" s="83">
        <v>3354130.5189856696</v>
      </c>
      <c r="S100" s="113">
        <f t="shared" si="20"/>
        <v>40645276.444431379</v>
      </c>
      <c r="T100" s="465">
        <f t="shared" si="21"/>
        <v>0.76596706702154715</v>
      </c>
    </row>
    <row r="101" spans="1:23">
      <c r="A101" s="116" t="str">
        <f t="shared" si="17"/>
        <v>73p</v>
      </c>
      <c r="B101" s="585" t="str">
        <f>+VLOOKUP(LEFT($A101,LEN(A101)-1)*1,Master!$D$29:$G$228,4,FALSE)</f>
        <v>Primici od otplate kredita i sredstva prenesena iz prethodne godine</v>
      </c>
      <c r="C101" s="586"/>
      <c r="D101" s="586"/>
      <c r="E101" s="586"/>
      <c r="F101" s="586"/>
      <c r="G101" s="83">
        <v>83096.852737975787</v>
      </c>
      <c r="H101" s="83">
        <v>454586.60399148142</v>
      </c>
      <c r="I101" s="83">
        <v>309002.47729931993</v>
      </c>
      <c r="J101" s="83">
        <v>419622.28002297197</v>
      </c>
      <c r="K101" s="83">
        <v>971629.20596685004</v>
      </c>
      <c r="L101" s="83">
        <v>1560498.8700287652</v>
      </c>
      <c r="M101" s="83">
        <v>161785.36767540569</v>
      </c>
      <c r="N101" s="83">
        <v>1556954.075826132</v>
      </c>
      <c r="O101" s="83">
        <v>220617.05383413273</v>
      </c>
      <c r="P101" s="83">
        <v>268269.85752094636</v>
      </c>
      <c r="Q101" s="83">
        <v>1736495.5315598873</v>
      </c>
      <c r="R101" s="83">
        <v>2005346.4516715538</v>
      </c>
      <c r="S101" s="113">
        <f t="shared" si="20"/>
        <v>9747904.6281354222</v>
      </c>
      <c r="T101" s="465">
        <f t="shared" si="21"/>
        <v>0.1837009013292519</v>
      </c>
    </row>
    <row r="102" spans="1:23" ht="13.5" thickBot="1">
      <c r="A102" s="116" t="str">
        <f t="shared" si="17"/>
        <v>74p</v>
      </c>
      <c r="B102" s="589" t="str">
        <f>+VLOOKUP(LEFT($A102,LEN(A102)-1)*1,Master!$D$29:$G$228,4,FALSE)</f>
        <v>Donacije i transferi</v>
      </c>
      <c r="C102" s="590"/>
      <c r="D102" s="590"/>
      <c r="E102" s="590"/>
      <c r="F102" s="590"/>
      <c r="G102" s="83">
        <v>326089.85951951938</v>
      </c>
      <c r="H102" s="83">
        <v>1918135.2733705833</v>
      </c>
      <c r="I102" s="83">
        <v>1801341.7206237079</v>
      </c>
      <c r="J102" s="83">
        <v>2402470.1825086102</v>
      </c>
      <c r="K102" s="83">
        <v>2712940.849481931</v>
      </c>
      <c r="L102" s="83">
        <v>3087195.6560284691</v>
      </c>
      <c r="M102" s="83">
        <v>3265840.9793729056</v>
      </c>
      <c r="N102" s="83">
        <v>3060102.7260672809</v>
      </c>
      <c r="O102" s="83">
        <v>2891804.587515723</v>
      </c>
      <c r="P102" s="83">
        <v>3728737.0278541967</v>
      </c>
      <c r="Q102" s="83">
        <v>7489914.7403838299</v>
      </c>
      <c r="R102" s="83">
        <v>9183833.3972732462</v>
      </c>
      <c r="S102" s="114">
        <f t="shared" si="20"/>
        <v>41868407</v>
      </c>
      <c r="T102" s="466">
        <f t="shared" si="21"/>
        <v>0.78901716794813803</v>
      </c>
    </row>
    <row r="103" spans="1:23" ht="13.5" thickBot="1">
      <c r="A103" s="116" t="str">
        <f t="shared" si="17"/>
        <v>4p</v>
      </c>
      <c r="B103" s="591" t="str">
        <f>+VLOOKUP(LEFT($A103,LEN(A103)-1)*1,Master!$D$29:$G$228,4,FALSE)</f>
        <v>Izdaci budžeta</v>
      </c>
      <c r="C103" s="592"/>
      <c r="D103" s="592"/>
      <c r="E103" s="592"/>
      <c r="F103" s="592"/>
      <c r="G103" s="93">
        <f t="shared" ref="G103:R103" si="23">+G104+G114+G120+SUM(G121:G125)</f>
        <v>177831446.59654763</v>
      </c>
      <c r="H103" s="93">
        <f t="shared" si="23"/>
        <v>159637648.93654764</v>
      </c>
      <c r="I103" s="93">
        <f t="shared" si="23"/>
        <v>165757927.57454765</v>
      </c>
      <c r="J103" s="93">
        <f t="shared" si="23"/>
        <v>181656276.27454761</v>
      </c>
      <c r="K103" s="93">
        <f t="shared" si="23"/>
        <v>176553533.49454764</v>
      </c>
      <c r="L103" s="93">
        <f t="shared" si="23"/>
        <v>176451567.45454761</v>
      </c>
      <c r="M103" s="93">
        <f t="shared" si="23"/>
        <v>175218266.98454764</v>
      </c>
      <c r="N103" s="93">
        <f t="shared" si="23"/>
        <v>168803890.89883336</v>
      </c>
      <c r="O103" s="93">
        <f t="shared" si="23"/>
        <v>183880560.57883337</v>
      </c>
      <c r="P103" s="93">
        <f t="shared" si="23"/>
        <v>204140909.79883331</v>
      </c>
      <c r="Q103" s="93">
        <f t="shared" si="23"/>
        <v>199230681.58883333</v>
      </c>
      <c r="R103" s="93">
        <f t="shared" si="23"/>
        <v>233607135.19883329</v>
      </c>
      <c r="S103" s="451">
        <f>+SUM(G103:R103)</f>
        <v>2202769845.3800001</v>
      </c>
      <c r="T103" s="478">
        <f t="shared" si="21"/>
        <v>41.511568019372838</v>
      </c>
      <c r="U103" s="257"/>
      <c r="V103" s="291"/>
    </row>
    <row r="104" spans="1:23">
      <c r="A104" s="116" t="str">
        <f t="shared" si="17"/>
        <v>41p</v>
      </c>
      <c r="B104" s="593" t="str">
        <f>+VLOOKUP(LEFT($A104,LEN(A104)-1)*1,Master!$D$29:$G$228,4,FALSE)</f>
        <v>Tekući izdaci</v>
      </c>
      <c r="C104" s="594"/>
      <c r="D104" s="594"/>
      <c r="E104" s="594"/>
      <c r="F104" s="594"/>
      <c r="G104" s="85">
        <f t="shared" ref="G104:R104" si="24">+SUM(G105:G113)</f>
        <v>62550652.746666655</v>
      </c>
      <c r="H104" s="85">
        <f t="shared" si="24"/>
        <v>64156007.386666663</v>
      </c>
      <c r="I104" s="85">
        <f t="shared" si="24"/>
        <v>63034205.774666667</v>
      </c>
      <c r="J104" s="85">
        <f t="shared" si="24"/>
        <v>84860701.324666679</v>
      </c>
      <c r="K104" s="85">
        <f t="shared" si="24"/>
        <v>68218729.554666668</v>
      </c>
      <c r="L104" s="85">
        <f t="shared" si="24"/>
        <v>67573285.934666663</v>
      </c>
      <c r="M104" s="85">
        <f t="shared" si="24"/>
        <v>77752915.334666669</v>
      </c>
      <c r="N104" s="85">
        <f t="shared" si="24"/>
        <v>64588135.274666667</v>
      </c>
      <c r="O104" s="85">
        <f t="shared" si="24"/>
        <v>73749748.834666669</v>
      </c>
      <c r="P104" s="85">
        <f t="shared" si="24"/>
        <v>94904927.814666644</v>
      </c>
      <c r="Q104" s="85">
        <f t="shared" si="24"/>
        <v>86693469.254666656</v>
      </c>
      <c r="R104" s="86">
        <f t="shared" si="24"/>
        <v>111297123.47466663</v>
      </c>
      <c r="S104" s="111">
        <f t="shared" si="20"/>
        <v>919379902.71000004</v>
      </c>
      <c r="T104" s="463">
        <f t="shared" si="21"/>
        <v>17.325868813319765</v>
      </c>
      <c r="U104" s="311"/>
      <c r="V104" s="291"/>
      <c r="W104" s="291"/>
    </row>
    <row r="105" spans="1:23">
      <c r="A105" s="116" t="str">
        <f t="shared" si="17"/>
        <v>411p</v>
      </c>
      <c r="B105" s="575" t="str">
        <f>+VLOOKUP(LEFT($A105,LEN(A105)-1)*1,Master!$D$29:$G$228,4,FALSE)</f>
        <v>Bruto zarade i doprinosi na teret poslodavca</v>
      </c>
      <c r="C105" s="576"/>
      <c r="D105" s="576"/>
      <c r="E105" s="576"/>
      <c r="F105" s="576"/>
      <c r="G105" s="87">
        <v>42116720.066666663</v>
      </c>
      <c r="H105" s="87">
        <v>45499255.106666669</v>
      </c>
      <c r="I105" s="87">
        <v>45488297.416666664</v>
      </c>
      <c r="J105" s="87">
        <v>45488827.916666664</v>
      </c>
      <c r="K105" s="87">
        <v>45489920.406666666</v>
      </c>
      <c r="L105" s="87">
        <v>45490305.276666664</v>
      </c>
      <c r="M105" s="87">
        <v>45491132.876666665</v>
      </c>
      <c r="N105" s="87">
        <v>45491395.996666662</v>
      </c>
      <c r="O105" s="87">
        <v>45493143.776666671</v>
      </c>
      <c r="P105" s="87">
        <v>45484722.336666659</v>
      </c>
      <c r="Q105" s="87">
        <v>45482593.13666667</v>
      </c>
      <c r="R105" s="87">
        <v>48884659.376666658</v>
      </c>
      <c r="S105" s="112">
        <f t="shared" si="20"/>
        <v>545900973.68999994</v>
      </c>
      <c r="T105" s="464">
        <f t="shared" si="21"/>
        <v>10.28759561454093</v>
      </c>
    </row>
    <row r="106" spans="1:23">
      <c r="A106" s="116" t="str">
        <f t="shared" si="17"/>
        <v>412p</v>
      </c>
      <c r="B106" s="575" t="str">
        <f>+VLOOKUP(LEFT($A106,LEN(A106)-1)*1,Master!$D$29:$G$228,4,FALSE)</f>
        <v>Ostala lična primanja</v>
      </c>
      <c r="C106" s="576"/>
      <c r="D106" s="576"/>
      <c r="E106" s="576"/>
      <c r="F106" s="576"/>
      <c r="G106" s="87">
        <v>1113156.94</v>
      </c>
      <c r="H106" s="87">
        <v>1189148.69</v>
      </c>
      <c r="I106" s="87">
        <v>1150630.3799999999</v>
      </c>
      <c r="J106" s="87">
        <v>1115859.3500000001</v>
      </c>
      <c r="K106" s="87">
        <v>1113157.98</v>
      </c>
      <c r="L106" s="87">
        <v>1112991.68</v>
      </c>
      <c r="M106" s="87">
        <v>1113353.42</v>
      </c>
      <c r="N106" s="87">
        <v>1112760.3500000001</v>
      </c>
      <c r="O106" s="87">
        <v>1144213.94</v>
      </c>
      <c r="P106" s="87">
        <v>1112009.69</v>
      </c>
      <c r="Q106" s="87">
        <v>1111152.95</v>
      </c>
      <c r="R106" s="87">
        <v>1104831.2399999995</v>
      </c>
      <c r="S106" s="112">
        <f t="shared" si="20"/>
        <v>13493266.609999998</v>
      </c>
      <c r="T106" s="464">
        <f t="shared" si="21"/>
        <v>0.25428287746871697</v>
      </c>
    </row>
    <row r="107" spans="1:23">
      <c r="A107" s="116" t="str">
        <f t="shared" si="17"/>
        <v>413p</v>
      </c>
      <c r="B107" s="575" t="str">
        <f>+VLOOKUP(LEFT($A107,LEN(A107)-1)*1,Master!$D$29:$G$228,4,FALSE)</f>
        <v>Rashodi za materijal</v>
      </c>
      <c r="C107" s="576"/>
      <c r="D107" s="576"/>
      <c r="E107" s="576"/>
      <c r="F107" s="576"/>
      <c r="G107" s="87">
        <v>2009465.7299999995</v>
      </c>
      <c r="H107" s="87">
        <v>2874795.7299999991</v>
      </c>
      <c r="I107" s="87">
        <v>1986301.3299999996</v>
      </c>
      <c r="J107" s="87">
        <v>1956746.52</v>
      </c>
      <c r="K107" s="87">
        <v>1959377.06</v>
      </c>
      <c r="L107" s="87">
        <v>1959339.96</v>
      </c>
      <c r="M107" s="87">
        <v>4223114</v>
      </c>
      <c r="N107" s="87">
        <v>2325347.7000000002</v>
      </c>
      <c r="O107" s="87">
        <v>4227180.45</v>
      </c>
      <c r="P107" s="87">
        <v>5830846.0499999989</v>
      </c>
      <c r="Q107" s="87">
        <v>5816682.6699999999</v>
      </c>
      <c r="R107" s="87">
        <v>5818746.4899999993</v>
      </c>
      <c r="S107" s="112">
        <f t="shared" si="20"/>
        <v>40987943.689999998</v>
      </c>
      <c r="T107" s="464">
        <f t="shared" si="21"/>
        <v>0.77242468886627469</v>
      </c>
    </row>
    <row r="108" spans="1:23">
      <c r="A108" s="116" t="str">
        <f t="shared" si="17"/>
        <v>414p</v>
      </c>
      <c r="B108" s="575" t="str">
        <f>+VLOOKUP(LEFT($A108,LEN(A108)-1)*1,Master!$D$29:$G$228,4,FALSE)</f>
        <v>Rashodi za usluge</v>
      </c>
      <c r="C108" s="576"/>
      <c r="D108" s="576"/>
      <c r="E108" s="576"/>
      <c r="F108" s="576"/>
      <c r="G108" s="87">
        <v>3521944.0499999989</v>
      </c>
      <c r="H108" s="87">
        <v>3202572.2000000016</v>
      </c>
      <c r="I108" s="87">
        <v>3202153.21</v>
      </c>
      <c r="J108" s="87">
        <v>3981055.8700000015</v>
      </c>
      <c r="K108" s="87">
        <v>3966204.5600000015</v>
      </c>
      <c r="L108" s="87">
        <v>4355673.6900000004</v>
      </c>
      <c r="M108" s="87">
        <v>7092836.1399999987</v>
      </c>
      <c r="N108" s="87">
        <v>4331849.03</v>
      </c>
      <c r="O108" s="87">
        <v>6165776.4499999974</v>
      </c>
      <c r="P108" s="87">
        <v>7804737.9599999953</v>
      </c>
      <c r="Q108" s="87">
        <v>7600289.8199999947</v>
      </c>
      <c r="R108" s="87">
        <v>8102383.2499999963</v>
      </c>
      <c r="S108" s="112">
        <f t="shared" si="20"/>
        <v>63327476.229999989</v>
      </c>
      <c r="T108" s="464">
        <f t="shared" si="21"/>
        <v>1.1934169348334085</v>
      </c>
    </row>
    <row r="109" spans="1:23">
      <c r="A109" s="116" t="str">
        <f t="shared" si="17"/>
        <v>415p</v>
      </c>
      <c r="B109" s="575" t="str">
        <f>+VLOOKUP(LEFT($A109,LEN(A109)-1)*1,Master!$D$29:$G$228,4,FALSE)</f>
        <v>Rashodi za tekuće održavanje</v>
      </c>
      <c r="C109" s="576"/>
      <c r="D109" s="576"/>
      <c r="E109" s="576"/>
      <c r="F109" s="576"/>
      <c r="G109" s="87">
        <v>1482084.5400000005</v>
      </c>
      <c r="H109" s="87">
        <v>1461485.3000000003</v>
      </c>
      <c r="I109" s="87">
        <v>1646265.1700000002</v>
      </c>
      <c r="J109" s="87">
        <v>1750230.6700000004</v>
      </c>
      <c r="K109" s="87">
        <v>1756101.9100000004</v>
      </c>
      <c r="L109" s="87">
        <v>1756101.9100000004</v>
      </c>
      <c r="M109" s="87">
        <v>2627886.0200000009</v>
      </c>
      <c r="N109" s="87">
        <v>1747230.6700000004</v>
      </c>
      <c r="O109" s="87">
        <v>2627886.0200000009</v>
      </c>
      <c r="P109" s="87">
        <v>3499649.6000000006</v>
      </c>
      <c r="Q109" s="87">
        <v>3488586.12</v>
      </c>
      <c r="R109" s="87">
        <v>4278426.8899999997</v>
      </c>
      <c r="S109" s="112">
        <f t="shared" si="20"/>
        <v>28121934.820000008</v>
      </c>
      <c r="T109" s="464">
        <f t="shared" si="21"/>
        <v>0.52996258894919357</v>
      </c>
    </row>
    <row r="110" spans="1:23">
      <c r="A110" s="116" t="str">
        <f t="shared" si="17"/>
        <v>416p</v>
      </c>
      <c r="B110" s="575" t="str">
        <f>+VLOOKUP(LEFT($A110,LEN(A110)-1)*1,Master!$D$29:$G$228,4,FALSE)</f>
        <v>Kamate</v>
      </c>
      <c r="C110" s="576"/>
      <c r="D110" s="576"/>
      <c r="E110" s="576"/>
      <c r="F110" s="576"/>
      <c r="G110" s="87">
        <v>4229041.6800000006</v>
      </c>
      <c r="H110" s="87">
        <v>1039259.3500000003</v>
      </c>
      <c r="I110" s="87">
        <v>1331158.92</v>
      </c>
      <c r="J110" s="87">
        <v>22646995.380000003</v>
      </c>
      <c r="K110" s="87">
        <v>6067854.2499999991</v>
      </c>
      <c r="L110" s="87">
        <v>5081336.79</v>
      </c>
      <c r="M110" s="87">
        <v>4060077.8100000005</v>
      </c>
      <c r="N110" s="87">
        <v>1150681.1799999997</v>
      </c>
      <c r="O110" s="87">
        <v>1101986.1700000002</v>
      </c>
      <c r="P110" s="87">
        <v>13628170.610000001</v>
      </c>
      <c r="Q110" s="87">
        <v>5965119.169999999</v>
      </c>
      <c r="R110" s="87">
        <v>26242568.399999999</v>
      </c>
      <c r="S110" s="112">
        <f t="shared" si="20"/>
        <v>92544249.710000008</v>
      </c>
      <c r="T110" s="464">
        <f t="shared" si="21"/>
        <v>1.7440119423714762</v>
      </c>
    </row>
    <row r="111" spans="1:23">
      <c r="A111" s="116" t="str">
        <f t="shared" si="17"/>
        <v>417p</v>
      </c>
      <c r="B111" s="575" t="str">
        <f>+VLOOKUP(LEFT($A111,LEN(A111)-1)*1,Master!$D$29:$G$228,4,FALSE)</f>
        <v>Renta</v>
      </c>
      <c r="C111" s="576"/>
      <c r="D111" s="576"/>
      <c r="E111" s="576"/>
      <c r="F111" s="576"/>
      <c r="G111" s="87">
        <v>1114759.2699999998</v>
      </c>
      <c r="H111" s="87">
        <v>962655.17999999982</v>
      </c>
      <c r="I111" s="87">
        <v>962640.17999999982</v>
      </c>
      <c r="J111" s="87">
        <v>962640.17999999982</v>
      </c>
      <c r="K111" s="87">
        <v>962625.18999999983</v>
      </c>
      <c r="L111" s="87">
        <v>962625.17999999982</v>
      </c>
      <c r="M111" s="87">
        <v>962625.18999999983</v>
      </c>
      <c r="N111" s="87">
        <v>962625.17999999982</v>
      </c>
      <c r="O111" s="87">
        <v>962625.17999999982</v>
      </c>
      <c r="P111" s="87">
        <v>961836.57999999984</v>
      </c>
      <c r="Q111" s="87">
        <v>789373.07</v>
      </c>
      <c r="R111" s="87">
        <v>789374.13</v>
      </c>
      <c r="S111" s="112">
        <f t="shared" si="20"/>
        <v>11356404.51</v>
      </c>
      <c r="T111" s="464">
        <f t="shared" si="21"/>
        <v>0.21401335199004975</v>
      </c>
    </row>
    <row r="112" spans="1:23">
      <c r="A112" s="116" t="str">
        <f t="shared" si="17"/>
        <v>418p</v>
      </c>
      <c r="B112" s="575" t="str">
        <f>+VLOOKUP(LEFT($A112,LEN(A112)-1)*1,Master!$D$29:$G$228,4,FALSE)</f>
        <v>Subvencije</v>
      </c>
      <c r="C112" s="576"/>
      <c r="D112" s="576"/>
      <c r="E112" s="576"/>
      <c r="F112" s="576"/>
      <c r="G112" s="87">
        <v>3647138.83</v>
      </c>
      <c r="H112" s="87">
        <v>3917138.83</v>
      </c>
      <c r="I112" s="87">
        <v>3632138.83</v>
      </c>
      <c r="J112" s="87">
        <v>3632138.83</v>
      </c>
      <c r="K112" s="87">
        <v>3444638.83</v>
      </c>
      <c r="L112" s="87">
        <v>3444638.83</v>
      </c>
      <c r="M112" s="87">
        <v>6055944.3200000003</v>
      </c>
      <c r="N112" s="87">
        <v>3444638.83</v>
      </c>
      <c r="O112" s="87">
        <v>6055944.3200000003</v>
      </c>
      <c r="P112" s="87">
        <v>8667249.7999999989</v>
      </c>
      <c r="Q112" s="87">
        <v>8667249.7999999989</v>
      </c>
      <c r="R112" s="87">
        <v>8667249.9299999978</v>
      </c>
      <c r="S112" s="112">
        <f t="shared" si="20"/>
        <v>63276109.979999989</v>
      </c>
      <c r="T112" s="464">
        <f t="shared" si="21"/>
        <v>1.1924489292175484</v>
      </c>
    </row>
    <row r="113" spans="1:22">
      <c r="A113" s="116" t="str">
        <f t="shared" si="17"/>
        <v>419p</v>
      </c>
      <c r="B113" s="575" t="str">
        <f>+VLOOKUP(LEFT($A113,LEN(A113)-1)*1,Master!$D$29:$G$228,4,FALSE)</f>
        <v>Ostali izdaci</v>
      </c>
      <c r="C113" s="576"/>
      <c r="D113" s="576"/>
      <c r="E113" s="576"/>
      <c r="F113" s="576"/>
      <c r="G113" s="87">
        <v>3316341.6399999992</v>
      </c>
      <c r="H113" s="87">
        <v>4009697</v>
      </c>
      <c r="I113" s="87">
        <v>3634620.3380000009</v>
      </c>
      <c r="J113" s="87">
        <v>3326206.6079999981</v>
      </c>
      <c r="K113" s="87">
        <v>3458849.3679999984</v>
      </c>
      <c r="L113" s="87">
        <v>3410272.6179999989</v>
      </c>
      <c r="M113" s="87">
        <v>6125945.5580000011</v>
      </c>
      <c r="N113" s="87">
        <v>4021606.3380000009</v>
      </c>
      <c r="O113" s="87">
        <v>5970992.5280000009</v>
      </c>
      <c r="P113" s="87">
        <v>7915705.1879999992</v>
      </c>
      <c r="Q113" s="87">
        <v>7772422.5180000002</v>
      </c>
      <c r="R113" s="87">
        <v>7408883.7679999992</v>
      </c>
      <c r="S113" s="112">
        <f t="shared" si="20"/>
        <v>60371543.469999999</v>
      </c>
      <c r="T113" s="464">
        <f t="shared" si="21"/>
        <v>1.137711885082165</v>
      </c>
    </row>
    <row r="114" spans="1:22">
      <c r="A114" s="116" t="str">
        <f t="shared" si="17"/>
        <v>42p</v>
      </c>
      <c r="B114" s="599" t="str">
        <f>+VLOOKUP(LEFT($A114,LEN(A114)-1)*1,Master!$D$29:$G$228,4,FALSE)</f>
        <v>Transferi za socijalnu zaštitu</v>
      </c>
      <c r="C114" s="600"/>
      <c r="D114" s="600"/>
      <c r="E114" s="600"/>
      <c r="F114" s="600"/>
      <c r="G114" s="84">
        <f t="shared" ref="G114:R114" si="25">+SUM(G115:G119)</f>
        <v>51655501.199880958</v>
      </c>
      <c r="H114" s="84">
        <f t="shared" si="25"/>
        <v>50843848.149880961</v>
      </c>
      <c r="I114" s="84">
        <f t="shared" si="25"/>
        <v>52476514.839880966</v>
      </c>
      <c r="J114" s="84">
        <f t="shared" si="25"/>
        <v>51481848.149880961</v>
      </c>
      <c r="K114" s="84">
        <f t="shared" si="25"/>
        <v>55008848.149880961</v>
      </c>
      <c r="L114" s="84">
        <f t="shared" si="25"/>
        <v>55102848.149880961</v>
      </c>
      <c r="M114" s="84">
        <f t="shared" si="25"/>
        <v>54796848.149880961</v>
      </c>
      <c r="N114" s="84">
        <f t="shared" si="25"/>
        <v>55319453.584166676</v>
      </c>
      <c r="O114" s="84">
        <f t="shared" si="25"/>
        <v>54859133.86416667</v>
      </c>
      <c r="P114" s="84">
        <f t="shared" si="25"/>
        <v>55191133.86416667</v>
      </c>
      <c r="Q114" s="84">
        <f t="shared" si="25"/>
        <v>56919133.86416667</v>
      </c>
      <c r="R114" s="84">
        <f t="shared" si="25"/>
        <v>58092982.564166665</v>
      </c>
      <c r="S114" s="113">
        <f t="shared" si="20"/>
        <v>651748094.52999997</v>
      </c>
      <c r="T114" s="465">
        <f t="shared" si="21"/>
        <v>12.282302399555252</v>
      </c>
    </row>
    <row r="115" spans="1:22">
      <c r="A115" s="116" t="str">
        <f t="shared" si="17"/>
        <v>421p</v>
      </c>
      <c r="B115" s="575" t="str">
        <f>+VLOOKUP(LEFT($A115,LEN(A115)-1)*1,Master!$D$29:$G$228,4,FALSE)</f>
        <v>Prava iz oblasti socijalne zaštite</v>
      </c>
      <c r="C115" s="576"/>
      <c r="D115" s="576"/>
      <c r="E115" s="576"/>
      <c r="F115" s="576"/>
      <c r="G115" s="87">
        <v>9199047.6323809531</v>
      </c>
      <c r="H115" s="87">
        <v>9199047.6323809531</v>
      </c>
      <c r="I115" s="87">
        <v>9199047.6323809531</v>
      </c>
      <c r="J115" s="87">
        <v>9199047.6323809531</v>
      </c>
      <c r="K115" s="87">
        <v>12324047.632380953</v>
      </c>
      <c r="L115" s="87">
        <v>12324047.632380953</v>
      </c>
      <c r="M115" s="87">
        <v>12324047.632380953</v>
      </c>
      <c r="N115" s="87">
        <v>11938333.346666668</v>
      </c>
      <c r="O115" s="87">
        <v>11938333.346666668</v>
      </c>
      <c r="P115" s="87">
        <v>11938333.346666668</v>
      </c>
      <c r="Q115" s="87">
        <v>14138333.346666666</v>
      </c>
      <c r="R115" s="87">
        <v>14138333.186666667</v>
      </c>
      <c r="S115" s="112">
        <f t="shared" si="20"/>
        <v>137860000</v>
      </c>
      <c r="T115" s="464">
        <f t="shared" si="21"/>
        <v>2.5979948741142773</v>
      </c>
    </row>
    <row r="116" spans="1:22">
      <c r="A116" s="116" t="str">
        <f t="shared" si="17"/>
        <v>422p</v>
      </c>
      <c r="B116" s="575" t="str">
        <f>+VLOOKUP(LEFT($A116,LEN(A116)-1)*1,Master!$D$29:$G$228,4,FALSE)</f>
        <v>Sredstva za tehnološke viškove</v>
      </c>
      <c r="C116" s="576"/>
      <c r="D116" s="576"/>
      <c r="E116" s="576"/>
      <c r="F116" s="576"/>
      <c r="G116" s="87">
        <v>2893986.39</v>
      </c>
      <c r="H116" s="87">
        <v>2291666.67</v>
      </c>
      <c r="I116" s="87">
        <v>2291666.67</v>
      </c>
      <c r="J116" s="87">
        <v>2291666.67</v>
      </c>
      <c r="K116" s="87">
        <v>2291666.67</v>
      </c>
      <c r="L116" s="87">
        <v>2291666.67</v>
      </c>
      <c r="M116" s="87">
        <v>2291666.67</v>
      </c>
      <c r="N116" s="87">
        <v>2893986.39</v>
      </c>
      <c r="O116" s="87">
        <v>2291666.67</v>
      </c>
      <c r="P116" s="87">
        <v>2291666.67</v>
      </c>
      <c r="Q116" s="87">
        <v>2291666.67</v>
      </c>
      <c r="R116" s="87">
        <v>2425515.4899999998</v>
      </c>
      <c r="S116" s="112">
        <f t="shared" si="20"/>
        <v>28838488.300000001</v>
      </c>
      <c r="T116" s="464">
        <f t="shared" si="21"/>
        <v>0.5434661597316448</v>
      </c>
    </row>
    <row r="117" spans="1:22">
      <c r="A117" s="116" t="str">
        <f t="shared" si="17"/>
        <v>423p</v>
      </c>
      <c r="B117" s="575" t="str">
        <f>+VLOOKUP(LEFT($A117,LEN(A117)-1)*1,Master!$D$29:$G$228,4,FALSE)</f>
        <v>Prava iz oblasti penzijskog i invalidskog osiguranja</v>
      </c>
      <c r="C117" s="576"/>
      <c r="D117" s="576"/>
      <c r="E117" s="576"/>
      <c r="F117" s="576"/>
      <c r="G117" s="87">
        <v>38029133.847500004</v>
      </c>
      <c r="H117" s="87">
        <v>38029133.847500004</v>
      </c>
      <c r="I117" s="87">
        <v>38029133.847500004</v>
      </c>
      <c r="J117" s="87">
        <v>38029133.847500004</v>
      </c>
      <c r="K117" s="87">
        <v>38029133.847500004</v>
      </c>
      <c r="L117" s="87">
        <v>38029133.847500004</v>
      </c>
      <c r="M117" s="87">
        <v>38029133.847500004</v>
      </c>
      <c r="N117" s="87">
        <v>38029133.847500004</v>
      </c>
      <c r="O117" s="87">
        <v>38029133.847500004</v>
      </c>
      <c r="P117" s="87">
        <v>38929133.847500004</v>
      </c>
      <c r="Q117" s="87">
        <v>38929133.847500004</v>
      </c>
      <c r="R117" s="87">
        <v>38929133.907499999</v>
      </c>
      <c r="S117" s="112">
        <f t="shared" si="20"/>
        <v>459049606.23000014</v>
      </c>
      <c r="T117" s="464">
        <f t="shared" si="21"/>
        <v>8.6508669951379478</v>
      </c>
    </row>
    <row r="118" spans="1:22">
      <c r="A118" s="116" t="str">
        <f t="shared" si="17"/>
        <v>424p</v>
      </c>
      <c r="B118" s="575" t="str">
        <f>+VLOOKUP(LEFT($A118,LEN(A118)-1)*1,Master!$D$29:$G$228,4,FALSE)</f>
        <v>Ostala prava iz oblasti zdravstvene zaštite</v>
      </c>
      <c r="C118" s="576"/>
      <c r="D118" s="576"/>
      <c r="E118" s="576"/>
      <c r="F118" s="576"/>
      <c r="G118" s="87">
        <v>943333.33</v>
      </c>
      <c r="H118" s="87">
        <v>852000</v>
      </c>
      <c r="I118" s="87">
        <v>1186666.67</v>
      </c>
      <c r="J118" s="87">
        <v>1136000</v>
      </c>
      <c r="K118" s="87">
        <v>1420000</v>
      </c>
      <c r="L118" s="87">
        <v>1278000</v>
      </c>
      <c r="M118" s="87">
        <v>1562000</v>
      </c>
      <c r="N118" s="87">
        <v>1278000</v>
      </c>
      <c r="O118" s="87">
        <v>1420000</v>
      </c>
      <c r="P118" s="87">
        <v>852000</v>
      </c>
      <c r="Q118" s="87">
        <v>852000</v>
      </c>
      <c r="R118" s="87">
        <v>1420000</v>
      </c>
      <c r="S118" s="112">
        <f t="shared" si="20"/>
        <v>14200000</v>
      </c>
      <c r="T118" s="464">
        <f t="shared" si="21"/>
        <v>0.26760138700437208</v>
      </c>
    </row>
    <row r="119" spans="1:22">
      <c r="A119" s="116" t="str">
        <f t="shared" si="17"/>
        <v>425p</v>
      </c>
      <c r="B119" s="575" t="str">
        <f>+VLOOKUP(LEFT($A119,LEN(A119)-1)*1,Master!$D$29:$G$228,4,FALSE)</f>
        <v>Ostala prava iz zdravstvenog osiguranja</v>
      </c>
      <c r="C119" s="576"/>
      <c r="D119" s="576"/>
      <c r="E119" s="576"/>
      <c r="F119" s="576"/>
      <c r="G119" s="87">
        <v>590000</v>
      </c>
      <c r="H119" s="87">
        <v>472000</v>
      </c>
      <c r="I119" s="87">
        <v>1770000.02</v>
      </c>
      <c r="J119" s="87">
        <v>826000</v>
      </c>
      <c r="K119" s="87">
        <v>944000</v>
      </c>
      <c r="L119" s="87">
        <v>1180000</v>
      </c>
      <c r="M119" s="87">
        <v>590000</v>
      </c>
      <c r="N119" s="87">
        <v>1180000</v>
      </c>
      <c r="O119" s="87">
        <v>1180000</v>
      </c>
      <c r="P119" s="87">
        <v>1180000</v>
      </c>
      <c r="Q119" s="87">
        <v>708000</v>
      </c>
      <c r="R119" s="87">
        <v>1179999.98</v>
      </c>
      <c r="S119" s="112">
        <f t="shared" si="20"/>
        <v>11800000</v>
      </c>
      <c r="T119" s="464">
        <f t="shared" si="21"/>
        <v>0.2223729835670134</v>
      </c>
    </row>
    <row r="120" spans="1:22">
      <c r="A120" s="116" t="str">
        <f t="shared" si="17"/>
        <v>43p</v>
      </c>
      <c r="B120" s="595" t="str">
        <f>+VLOOKUP(LEFT($A120,LEN(A120)-1)*1,Master!$D$29:$G$228,4,FALSE)</f>
        <v xml:space="preserve">Transferi institucijama, pojedincima, nevladinom i javnom sektoru </v>
      </c>
      <c r="C120" s="596"/>
      <c r="D120" s="596"/>
      <c r="E120" s="596"/>
      <c r="F120" s="596"/>
      <c r="G120" s="83">
        <v>22444871.560000002</v>
      </c>
      <c r="H120" s="83">
        <v>23941685.57</v>
      </c>
      <c r="I120" s="83">
        <v>26995988.960000001</v>
      </c>
      <c r="J120" s="83">
        <v>20625695.450000003</v>
      </c>
      <c r="K120" s="83">
        <v>20912992.140000004</v>
      </c>
      <c r="L120" s="83">
        <v>21015003.09</v>
      </c>
      <c r="M120" s="83">
        <v>20912172.160000004</v>
      </c>
      <c r="N120" s="83">
        <v>22653446.830000002</v>
      </c>
      <c r="O120" s="83">
        <v>24411188.830000002</v>
      </c>
      <c r="P120" s="83">
        <v>21012710.830000002</v>
      </c>
      <c r="Q120" s="83">
        <v>20910855.890000001</v>
      </c>
      <c r="R120" s="83">
        <v>20257657.990000002</v>
      </c>
      <c r="S120" s="113">
        <f>+SUM(G120:R120)</f>
        <v>266094269.30000007</v>
      </c>
      <c r="T120" s="465">
        <f t="shared" si="21"/>
        <v>5.0145912351123183</v>
      </c>
    </row>
    <row r="121" spans="1:22">
      <c r="A121" s="116" t="str">
        <f t="shared" si="17"/>
        <v>44p</v>
      </c>
      <c r="B121" s="595" t="str">
        <f>+VLOOKUP(LEFT($A121,LEN(A121)-1)*1,Master!$D$29:$G$228,4,FALSE)</f>
        <v>Kapitalni izdaci</v>
      </c>
      <c r="C121" s="596"/>
      <c r="D121" s="596"/>
      <c r="E121" s="596"/>
      <c r="F121" s="596"/>
      <c r="G121" s="83">
        <v>19668608.670000002</v>
      </c>
      <c r="H121" s="83">
        <v>15424249.750000004</v>
      </c>
      <c r="I121" s="83">
        <v>18221026.579999998</v>
      </c>
      <c r="J121" s="83">
        <v>19416173.270000003</v>
      </c>
      <c r="K121" s="83">
        <v>27382772.230000004</v>
      </c>
      <c r="L121" s="83">
        <v>27488572.200000007</v>
      </c>
      <c r="M121" s="83">
        <v>20098257.600000001</v>
      </c>
      <c r="N121" s="83">
        <v>17598879.450000007</v>
      </c>
      <c r="O121" s="83">
        <v>22458179.949999999</v>
      </c>
      <c r="P121" s="83">
        <v>24388161.529999994</v>
      </c>
      <c r="Q121" s="83">
        <v>22932795.809999995</v>
      </c>
      <c r="R121" s="83">
        <v>25199038.249999996</v>
      </c>
      <c r="S121" s="113">
        <f>+SUM(G121:R121)</f>
        <v>260276715.29000002</v>
      </c>
      <c r="T121" s="465">
        <f t="shared" si="21"/>
        <v>4.9049584518694411</v>
      </c>
    </row>
    <row r="122" spans="1:22">
      <c r="A122" s="116" t="str">
        <f t="shared" si="17"/>
        <v>451p</v>
      </c>
      <c r="B122" s="597" t="str">
        <f>+VLOOKUP(LEFT($A122,LEN(A122)-1)*1,Master!$D$29:$G$228,4,FALSE)</f>
        <v>Pozajmice i krediti</v>
      </c>
      <c r="C122" s="598"/>
      <c r="D122" s="598"/>
      <c r="E122" s="598"/>
      <c r="F122" s="598"/>
      <c r="G122" s="87">
        <v>2000.08</v>
      </c>
      <c r="H122" s="87">
        <v>243666.74</v>
      </c>
      <c r="I122" s="87">
        <v>2000.08</v>
      </c>
      <c r="J122" s="87">
        <v>243666.74</v>
      </c>
      <c r="K122" s="87">
        <v>2000.08</v>
      </c>
      <c r="L122" s="87">
        <v>243666.74</v>
      </c>
      <c r="M122" s="87">
        <v>2000.08</v>
      </c>
      <c r="N122" s="87">
        <v>243666.74</v>
      </c>
      <c r="O122" s="87">
        <v>2000.08</v>
      </c>
      <c r="P122" s="87">
        <v>243666.74</v>
      </c>
      <c r="Q122" s="87">
        <v>2000.08</v>
      </c>
      <c r="R122" s="87">
        <v>243666.82</v>
      </c>
      <c r="S122" s="112">
        <f t="shared" si="20"/>
        <v>1474001</v>
      </c>
      <c r="T122" s="464">
        <f t="shared" si="21"/>
        <v>2.7777796622945876E-2</v>
      </c>
    </row>
    <row r="123" spans="1:22">
      <c r="A123" s="116" t="str">
        <f t="shared" si="17"/>
        <v>47p</v>
      </c>
      <c r="B123" s="597" t="str">
        <f>+VLOOKUP(LEFT($A123,LEN(A123)-1)*1,Master!$D$29:$G$228,4,FALSE)</f>
        <v>Rezerve</v>
      </c>
      <c r="C123" s="598"/>
      <c r="D123" s="598"/>
      <c r="E123" s="598"/>
      <c r="F123" s="598"/>
      <c r="G123" s="87">
        <v>3372117.68</v>
      </c>
      <c r="H123" s="87">
        <v>3372117.68</v>
      </c>
      <c r="I123" s="87">
        <v>3372117.68</v>
      </c>
      <c r="J123" s="87">
        <v>3372117.68</v>
      </c>
      <c r="K123" s="87">
        <v>3372117.68</v>
      </c>
      <c r="L123" s="87">
        <v>3372117.68</v>
      </c>
      <c r="M123" s="87">
        <v>0</v>
      </c>
      <c r="N123" s="87">
        <v>6744235.3600000003</v>
      </c>
      <c r="O123" s="87">
        <v>6744235.3600000003</v>
      </c>
      <c r="P123" s="87">
        <v>6744235.3600000003</v>
      </c>
      <c r="Q123" s="87">
        <v>10116353.029999999</v>
      </c>
      <c r="R123" s="87">
        <v>16860588.399999999</v>
      </c>
      <c r="S123" s="112">
        <f t="shared" si="20"/>
        <v>67442353.590000004</v>
      </c>
      <c r="T123" s="464">
        <f t="shared" si="21"/>
        <v>1.2709624903889642</v>
      </c>
    </row>
    <row r="124" spans="1:22">
      <c r="A124" s="116" t="str">
        <f t="shared" si="17"/>
        <v>462p</v>
      </c>
      <c r="B124" s="597" t="str">
        <f>+VLOOKUP(LEFT($A124,LEN(A124)-1)*1,Master!$D$29:$G$228,4,FALSE)</f>
        <v>Otplata garancija</v>
      </c>
      <c r="C124" s="598"/>
      <c r="D124" s="598"/>
      <c r="E124" s="598"/>
      <c r="F124" s="598"/>
      <c r="G124" s="87">
        <v>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0</v>
      </c>
      <c r="T124" s="464">
        <f t="shared" si="21"/>
        <v>0</v>
      </c>
    </row>
    <row r="125" spans="1:22">
      <c r="A125" s="117" t="str">
        <f t="shared" si="17"/>
        <v>4630p</v>
      </c>
      <c r="B125" s="597" t="str">
        <f>+VLOOKUP(LEFT($A125,LEN(A125)-1)*1,Master!$D$29:$G$228,4,FALSE)</f>
        <v>Otplata obaveza iz prethodnog perioda</v>
      </c>
      <c r="C125" s="598"/>
      <c r="D125" s="598"/>
      <c r="E125" s="598"/>
      <c r="F125" s="598"/>
      <c r="G125" s="87">
        <v>18137694.66</v>
      </c>
      <c r="H125" s="87">
        <v>1656073.6600000036</v>
      </c>
      <c r="I125" s="87">
        <v>1656073.6600000036</v>
      </c>
      <c r="J125" s="87">
        <v>1656073.6600000036</v>
      </c>
      <c r="K125" s="87">
        <v>1656073.6600000036</v>
      </c>
      <c r="L125" s="87">
        <v>1656073.6600000036</v>
      </c>
      <c r="M125" s="87">
        <v>1656073.6600000036</v>
      </c>
      <c r="N125" s="87">
        <v>1656073.6600000036</v>
      </c>
      <c r="O125" s="87">
        <v>1656073.6600000036</v>
      </c>
      <c r="P125" s="87">
        <v>1656073.6600000036</v>
      </c>
      <c r="Q125" s="87">
        <v>1656073.6600000036</v>
      </c>
      <c r="R125" s="87">
        <v>1656077.7000000055</v>
      </c>
      <c r="S125" s="103">
        <f>+SUM(G125:R125)</f>
        <v>36354508.960000038</v>
      </c>
      <c r="T125" s="472">
        <f t="shared" si="21"/>
        <v>0.68510683250414672</v>
      </c>
      <c r="V125" s="257"/>
    </row>
    <row r="126" spans="1:22" ht="13.5" thickBot="1">
      <c r="A126" s="116" t="str">
        <f t="shared" si="17"/>
        <v>1005p</v>
      </c>
      <c r="B126" s="597" t="str">
        <f>+VLOOKUP(LEFT($A126,LEN(A126)-1)*1,Master!$D$29:$G$228,4,FALSE)</f>
        <v>Neto povećanje obaveza</v>
      </c>
      <c r="C126" s="598"/>
      <c r="D126" s="598"/>
      <c r="E126" s="598"/>
      <c r="F126" s="598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9">
        <f t="shared" si="21"/>
        <v>0</v>
      </c>
    </row>
    <row r="127" spans="1:22" ht="13.5" thickBot="1">
      <c r="A127" s="117" t="str">
        <f t="shared" si="17"/>
        <v>1000p</v>
      </c>
      <c r="B127" s="605" t="str">
        <f>+VLOOKUP(LEFT($A127,LEN(A127)-1)*1,Master!$D$29:$G$225,4,FALSE)</f>
        <v>Suficit / deficit</v>
      </c>
      <c r="C127" s="606"/>
      <c r="D127" s="606"/>
      <c r="E127" s="606"/>
      <c r="F127" s="606"/>
      <c r="G127" s="93">
        <f t="shared" ref="G127:R127" si="26">+G84-G103</f>
        <v>-73947853.862364858</v>
      </c>
      <c r="H127" s="93">
        <f t="shared" si="26"/>
        <v>-47248211.594009668</v>
      </c>
      <c r="I127" s="93">
        <f t="shared" si="26"/>
        <v>-15934607.478495538</v>
      </c>
      <c r="J127" s="93">
        <f t="shared" si="26"/>
        <v>-19767268.586634815</v>
      </c>
      <c r="K127" s="93">
        <f t="shared" si="26"/>
        <v>-35920044.116679221</v>
      </c>
      <c r="L127" s="93">
        <f t="shared" si="26"/>
        <v>-12883598.418680429</v>
      </c>
      <c r="M127" s="93">
        <f t="shared" si="26"/>
        <v>13795172.844091207</v>
      </c>
      <c r="N127" s="93">
        <f t="shared" si="26"/>
        <v>26365456.819027275</v>
      </c>
      <c r="O127" s="93">
        <f t="shared" si="26"/>
        <v>-10560627.115862072</v>
      </c>
      <c r="P127" s="93">
        <f t="shared" si="26"/>
        <v>-35825034.003460407</v>
      </c>
      <c r="Q127" s="93">
        <f t="shared" si="26"/>
        <v>-38275991.421390682</v>
      </c>
      <c r="R127" s="93">
        <f t="shared" si="26"/>
        <v>-17809619.345466137</v>
      </c>
      <c r="S127" s="106">
        <f t="shared" si="20"/>
        <v>-268012226.27992535</v>
      </c>
      <c r="T127" s="470">
        <f t="shared" si="21"/>
        <v>-5.0507354568054676</v>
      </c>
      <c r="U127" s="257"/>
    </row>
    <row r="128" spans="1:22" ht="13.5" thickBot="1">
      <c r="A128" s="117" t="str">
        <f t="shared" si="17"/>
        <v>1001p</v>
      </c>
      <c r="B128" s="607" t="str">
        <f>+VLOOKUP(LEFT($A128,LEN(A128)-1)*1,Master!$D$29:$G$225,4,FALSE)</f>
        <v>Primarni suficit/deficit</v>
      </c>
      <c r="C128" s="608"/>
      <c r="D128" s="608"/>
      <c r="E128" s="608"/>
      <c r="F128" s="608"/>
      <c r="G128" s="94">
        <f>+G127+G110</f>
        <v>-69718812.182364851</v>
      </c>
      <c r="H128" s="94">
        <f t="shared" ref="H128:R128" si="27">+H127+H110</f>
        <v>-46208952.244009666</v>
      </c>
      <c r="I128" s="94">
        <f t="shared" si="27"/>
        <v>-14603448.558495538</v>
      </c>
      <c r="J128" s="94">
        <f t="shared" si="27"/>
        <v>2879726.7933651879</v>
      </c>
      <c r="K128" s="94">
        <f t="shared" si="27"/>
        <v>-29852189.866679221</v>
      </c>
      <c r="L128" s="94">
        <f t="shared" si="27"/>
        <v>-7802261.6286804294</v>
      </c>
      <c r="M128" s="94">
        <f t="shared" si="27"/>
        <v>17855250.654091209</v>
      </c>
      <c r="N128" s="94">
        <f t="shared" si="27"/>
        <v>27516137.999027275</v>
      </c>
      <c r="O128" s="94">
        <f t="shared" si="27"/>
        <v>-9458640.9458620716</v>
      </c>
      <c r="P128" s="94">
        <f t="shared" si="27"/>
        <v>-22196863.393460408</v>
      </c>
      <c r="Q128" s="94">
        <f t="shared" si="27"/>
        <v>-32310872.251390684</v>
      </c>
      <c r="R128" s="94">
        <f t="shared" si="27"/>
        <v>8432949.0545338616</v>
      </c>
      <c r="S128" s="106">
        <f t="shared" si="20"/>
        <v>-175467976.56992534</v>
      </c>
      <c r="T128" s="470">
        <f t="shared" si="21"/>
        <v>-3.3067235144339917</v>
      </c>
    </row>
    <row r="129" spans="1:22">
      <c r="A129" s="117" t="str">
        <f t="shared" si="17"/>
        <v>46p</v>
      </c>
      <c r="B129" s="599" t="str">
        <f>+VLOOKUP(LEFT($A129,LEN(A129)-1)*1,Master!$D$29:$G$225,4,FALSE)</f>
        <v>Otplata dugova</v>
      </c>
      <c r="C129" s="600"/>
      <c r="D129" s="600"/>
      <c r="E129" s="600"/>
      <c r="F129" s="600"/>
      <c r="G129" s="84">
        <f>+SUM(G130:G131)</f>
        <v>25337948.449999999</v>
      </c>
      <c r="H129" s="84">
        <f t="shared" ref="H129:R129" si="28">+SUM(H130:H131)</f>
        <v>6751953.7100000009</v>
      </c>
      <c r="I129" s="84">
        <f t="shared" si="28"/>
        <v>20177043.91</v>
      </c>
      <c r="J129" s="84">
        <f t="shared" si="28"/>
        <v>38170817.960000001</v>
      </c>
      <c r="K129" s="84">
        <f t="shared" si="28"/>
        <v>33612405.640000001</v>
      </c>
      <c r="L129" s="84">
        <f t="shared" si="28"/>
        <v>35886748.219999999</v>
      </c>
      <c r="M129" s="486">
        <f t="shared" ref="M129" si="29">+SUM(M130:M131)</f>
        <v>30442206.460000001</v>
      </c>
      <c r="N129" s="84">
        <f t="shared" si="28"/>
        <v>5677430.3599999994</v>
      </c>
      <c r="O129" s="84">
        <f t="shared" si="28"/>
        <v>18107036.029999997</v>
      </c>
      <c r="P129" s="84">
        <f t="shared" si="28"/>
        <v>5775997.5199999996</v>
      </c>
      <c r="Q129" s="84">
        <f t="shared" si="28"/>
        <v>32374757.629999999</v>
      </c>
      <c r="R129" s="84">
        <f t="shared" si="28"/>
        <v>39839313.869999997</v>
      </c>
      <c r="S129" s="104">
        <f t="shared" si="20"/>
        <v>292153659.75999999</v>
      </c>
      <c r="T129" s="471">
        <f t="shared" si="21"/>
        <v>5.5056848288858733</v>
      </c>
    </row>
    <row r="130" spans="1:22">
      <c r="A130" s="117" t="str">
        <f t="shared" si="17"/>
        <v>4611p</v>
      </c>
      <c r="B130" s="603" t="str">
        <f>+VLOOKUP(LEFT($A130,LEN(A130)-1)*1,Master!$D$29:$G$225,4,FALSE)</f>
        <v>Otplata hartija od vrijednosti i kredita rezidentima</v>
      </c>
      <c r="C130" s="604"/>
      <c r="D130" s="604"/>
      <c r="E130" s="604"/>
      <c r="F130" s="604"/>
      <c r="G130" s="96">
        <v>606624.54</v>
      </c>
      <c r="H130" s="96">
        <v>3087670.22</v>
      </c>
      <c r="I130" s="96">
        <v>2560106.65</v>
      </c>
      <c r="J130" s="96">
        <v>4045881.57</v>
      </c>
      <c r="K130" s="96">
        <v>9184956.459999999</v>
      </c>
      <c r="L130" s="96">
        <v>713784.35</v>
      </c>
      <c r="M130" s="96">
        <v>2434796.27</v>
      </c>
      <c r="N130" s="96">
        <v>2377658.75</v>
      </c>
      <c r="O130" s="96">
        <v>719748.70000000007</v>
      </c>
      <c r="P130" s="96">
        <v>2455451.5699999998</v>
      </c>
      <c r="Q130" s="96">
        <v>9230746.25</v>
      </c>
      <c r="R130" s="96">
        <v>2511430.4300000002</v>
      </c>
      <c r="S130" s="103">
        <f t="shared" si="20"/>
        <v>39928855.759999998</v>
      </c>
      <c r="T130" s="472">
        <f t="shared" si="21"/>
        <v>0.75246599879390919</v>
      </c>
    </row>
    <row r="131" spans="1:22" ht="13.5" thickBot="1">
      <c r="A131" s="117" t="str">
        <f t="shared" si="17"/>
        <v>4612p</v>
      </c>
      <c r="B131" s="597" t="str">
        <f>+VLOOKUP(LEFT($A131,LEN(A131)-1)*1,Master!$D$29:$G$225,4,FALSE)</f>
        <v>Otplata hartija od vrijednosti i kredita nerezidentima</v>
      </c>
      <c r="C131" s="598"/>
      <c r="D131" s="598"/>
      <c r="E131" s="598"/>
      <c r="F131" s="598"/>
      <c r="G131" s="96">
        <v>24731323.91</v>
      </c>
      <c r="H131" s="96">
        <v>3664283.49</v>
      </c>
      <c r="I131" s="96">
        <v>17616937.260000002</v>
      </c>
      <c r="J131" s="96">
        <v>34124936.390000001</v>
      </c>
      <c r="K131" s="96">
        <v>24427449.18</v>
      </c>
      <c r="L131" s="96">
        <v>35172963.869999997</v>
      </c>
      <c r="M131" s="96">
        <v>28007410.190000001</v>
      </c>
      <c r="N131" s="96">
        <v>3299771.61</v>
      </c>
      <c r="O131" s="96">
        <v>17387287.329999998</v>
      </c>
      <c r="P131" s="96">
        <v>3320545.95</v>
      </c>
      <c r="Q131" s="96">
        <v>23144011.379999999</v>
      </c>
      <c r="R131" s="96">
        <v>37327883.439999998</v>
      </c>
      <c r="S131" s="103">
        <f t="shared" si="20"/>
        <v>252224804</v>
      </c>
      <c r="T131" s="472">
        <f t="shared" si="21"/>
        <v>4.7532188300919644</v>
      </c>
      <c r="V131" s="257"/>
    </row>
    <row r="132" spans="1:22" ht="13.5" thickBot="1">
      <c r="A132" s="117" t="str">
        <f t="shared" si="17"/>
        <v>4418p</v>
      </c>
      <c r="B132" s="591" t="str">
        <f>+VLOOKUP(LEFT($A132,LEN(A132)-1)*1,Master!$D$29:$G$225,4,FALSE)</f>
        <v>Izdaci za kupovinu hartija od vrijednosti</v>
      </c>
      <c r="C132" s="592"/>
      <c r="D132" s="592"/>
      <c r="E132" s="592"/>
      <c r="F132" s="592"/>
      <c r="G132" s="93">
        <v>46536.67</v>
      </c>
      <c r="H132" s="93">
        <v>46536.67</v>
      </c>
      <c r="I132" s="93">
        <v>48116.67</v>
      </c>
      <c r="J132" s="93">
        <v>48116.67</v>
      </c>
      <c r="K132" s="93">
        <v>48116.67</v>
      </c>
      <c r="L132" s="93">
        <v>48116.67</v>
      </c>
      <c r="M132" s="93">
        <v>48116.67</v>
      </c>
      <c r="N132" s="93">
        <v>52066.67</v>
      </c>
      <c r="O132" s="93">
        <v>55226.659999999996</v>
      </c>
      <c r="P132" s="93">
        <v>156016.66</v>
      </c>
      <c r="Q132" s="93">
        <v>56016.659999999996</v>
      </c>
      <c r="R132" s="93">
        <v>56016.659999999996</v>
      </c>
      <c r="S132" s="449">
        <f t="shared" si="20"/>
        <v>709000</v>
      </c>
      <c r="T132" s="479">
        <f t="shared" si="21"/>
        <v>1.3361224182119704E-2</v>
      </c>
    </row>
    <row r="133" spans="1:22" ht="13.5" thickBot="1">
      <c r="A133" s="117" t="str">
        <f t="shared" si="17"/>
        <v>1002p</v>
      </c>
      <c r="B133" s="601" t="str">
        <f>+VLOOKUP(LEFT($A133,LEN(A133)-1)*1,Master!$D$29:$G$225,4,FALSE)</f>
        <v>Nedostajuća sredstva</v>
      </c>
      <c r="C133" s="602"/>
      <c r="D133" s="602"/>
      <c r="E133" s="602"/>
      <c r="F133" s="602"/>
      <c r="G133" s="77">
        <f t="shared" ref="G133:R133" si="30">+G127-G129-G132</f>
        <v>-99332338.982364863</v>
      </c>
      <c r="H133" s="77">
        <f t="shared" si="30"/>
        <v>-54046701.97400967</v>
      </c>
      <c r="I133" s="77">
        <f t="shared" si="30"/>
        <v>-36159768.058495536</v>
      </c>
      <c r="J133" s="77">
        <f t="shared" si="30"/>
        <v>-57986203.216634817</v>
      </c>
      <c r="K133" s="77">
        <f t="shared" si="30"/>
        <v>-69580566.426679224</v>
      </c>
      <c r="L133" s="77">
        <f t="shared" si="30"/>
        <v>-48818463.30868043</v>
      </c>
      <c r="M133" s="77">
        <f t="shared" si="30"/>
        <v>-16695150.285908794</v>
      </c>
      <c r="N133" s="77">
        <f t="shared" si="30"/>
        <v>20635959.789027274</v>
      </c>
      <c r="O133" s="77">
        <f t="shared" si="30"/>
        <v>-28722889.805862069</v>
      </c>
      <c r="P133" s="77">
        <f t="shared" si="30"/>
        <v>-41757048.1834604</v>
      </c>
      <c r="Q133" s="77">
        <f t="shared" si="30"/>
        <v>-70706765.711390674</v>
      </c>
      <c r="R133" s="77">
        <f t="shared" si="30"/>
        <v>-57704949.875466131</v>
      </c>
      <c r="S133" s="109">
        <f t="shared" si="20"/>
        <v>-560874886.03992534</v>
      </c>
      <c r="T133" s="474">
        <f t="shared" si="21"/>
        <v>-10.56978150987346</v>
      </c>
    </row>
    <row r="134" spans="1:22" ht="13.5" thickBot="1">
      <c r="A134" s="117" t="str">
        <f t="shared" si="17"/>
        <v>1003p</v>
      </c>
      <c r="B134" s="591" t="str">
        <f>+VLOOKUP(LEFT($A134,LEN(A134)-1)*1,Master!$D$29:$G$225,4,FALSE)</f>
        <v>Finansiranje</v>
      </c>
      <c r="C134" s="592"/>
      <c r="D134" s="592"/>
      <c r="E134" s="592"/>
      <c r="F134" s="592"/>
      <c r="G134" s="93">
        <f t="shared" ref="G134:R134" si="31">+SUM(G135:G138)</f>
        <v>99332338.982364863</v>
      </c>
      <c r="H134" s="93">
        <f t="shared" si="31"/>
        <v>54046701.974009678</v>
      </c>
      <c r="I134" s="93">
        <f t="shared" si="31"/>
        <v>36159768.058495536</v>
      </c>
      <c r="J134" s="93">
        <f t="shared" si="31"/>
        <v>57986203.216634825</v>
      </c>
      <c r="K134" s="93">
        <f t="shared" si="31"/>
        <v>69580566.426679224</v>
      </c>
      <c r="L134" s="93">
        <f t="shared" si="31"/>
        <v>48818463.30868043</v>
      </c>
      <c r="M134" s="93">
        <f t="shared" si="31"/>
        <v>16695150.285908792</v>
      </c>
      <c r="N134" s="93">
        <f t="shared" si="31"/>
        <v>-20635959.789027274</v>
      </c>
      <c r="O134" s="93">
        <f t="shared" si="31"/>
        <v>28722889.805862069</v>
      </c>
      <c r="P134" s="93">
        <f t="shared" si="31"/>
        <v>41757048.1834604</v>
      </c>
      <c r="Q134" s="93">
        <f t="shared" si="31"/>
        <v>70706765.711390674</v>
      </c>
      <c r="R134" s="93">
        <f t="shared" si="31"/>
        <v>57704949.875466131</v>
      </c>
      <c r="S134" s="110">
        <f t="shared" si="20"/>
        <v>560874886.03992534</v>
      </c>
      <c r="T134" s="475">
        <f t="shared" si="21"/>
        <v>10.56978150987346</v>
      </c>
    </row>
    <row r="135" spans="1:22">
      <c r="A135" s="117" t="str">
        <f t="shared" si="17"/>
        <v>7511p</v>
      </c>
      <c r="B135" s="603" t="str">
        <f>+VLOOKUP(LEFT($A135,LEN(A135)-1)*1,Master!$D$29:$G$225,4,FALSE)</f>
        <v>Pozajmice i krediti od domaćih izvora</v>
      </c>
      <c r="C135" s="604"/>
      <c r="D135" s="604"/>
      <c r="E135" s="604"/>
      <c r="F135" s="604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103">
        <f t="shared" si="20"/>
        <v>0</v>
      </c>
      <c r="T135" s="472">
        <f t="shared" si="21"/>
        <v>0</v>
      </c>
    </row>
    <row r="136" spans="1:22">
      <c r="A136" s="117" t="str">
        <f t="shared" si="17"/>
        <v>7512p</v>
      </c>
      <c r="B136" s="597" t="str">
        <f>+VLOOKUP(LEFT($A136,LEN(A136)-1)*1,Master!$D$29:$G$225,4,FALSE)</f>
        <v>Pozajmice i krediti od inostranih izvora</v>
      </c>
      <c r="C136" s="598"/>
      <c r="D136" s="598"/>
      <c r="E136" s="598"/>
      <c r="F136" s="598"/>
      <c r="G136" s="96">
        <v>15942704.472000001</v>
      </c>
      <c r="H136" s="96">
        <v>9994404.4719999991</v>
      </c>
      <c r="I136" s="96">
        <v>9996104.4719999991</v>
      </c>
      <c r="J136" s="96">
        <v>10164404.471999999</v>
      </c>
      <c r="K136" s="96">
        <v>15687704.471999999</v>
      </c>
      <c r="L136" s="96">
        <v>15689404.472000001</v>
      </c>
      <c r="M136" s="96">
        <v>7235729.4720000001</v>
      </c>
      <c r="N136" s="96">
        <v>4684029.4720000001</v>
      </c>
      <c r="O136" s="96">
        <v>66982329.472000003</v>
      </c>
      <c r="P136" s="96">
        <v>4684029.4720000001</v>
      </c>
      <c r="Q136" s="96">
        <v>4539974.0474999994</v>
      </c>
      <c r="R136" s="96">
        <v>4403189.4380000001</v>
      </c>
      <c r="S136" s="103">
        <f t="shared" si="20"/>
        <v>170004008.20550004</v>
      </c>
      <c r="T136" s="472">
        <f t="shared" si="21"/>
        <v>3.203754112119328</v>
      </c>
    </row>
    <row r="137" spans="1:22">
      <c r="A137" s="117" t="str">
        <f t="shared" si="17"/>
        <v>72p</v>
      </c>
      <c r="B137" s="597" t="str">
        <f>+VLOOKUP(LEFT($A137,LEN(A137)-1)*1,Master!$D$29:$G$225,4,FALSE)</f>
        <v>Primici od prodaje imovine</v>
      </c>
      <c r="C137" s="598"/>
      <c r="D137" s="598"/>
      <c r="E137" s="598"/>
      <c r="F137" s="598"/>
      <c r="G137" s="96">
        <v>500000</v>
      </c>
      <c r="H137" s="96">
        <v>500000</v>
      </c>
      <c r="I137" s="96">
        <v>500000</v>
      </c>
      <c r="J137" s="96">
        <v>500000</v>
      </c>
      <c r="K137" s="96">
        <v>500000</v>
      </c>
      <c r="L137" s="96">
        <v>500000</v>
      </c>
      <c r="M137" s="96">
        <v>500000</v>
      </c>
      <c r="N137" s="96">
        <v>500000</v>
      </c>
      <c r="O137" s="96">
        <v>500000</v>
      </c>
      <c r="P137" s="96">
        <v>500000</v>
      </c>
      <c r="Q137" s="96">
        <v>500000</v>
      </c>
      <c r="R137" s="96">
        <v>500000</v>
      </c>
      <c r="S137" s="103">
        <f t="shared" si="20"/>
        <v>6000000</v>
      </c>
      <c r="T137" s="472">
        <f t="shared" si="21"/>
        <v>0.11307100859339667</v>
      </c>
    </row>
    <row r="138" spans="1:22" ht="13.5" thickBot="1">
      <c r="A138" s="117" t="str">
        <f t="shared" si="17"/>
        <v>1004p</v>
      </c>
      <c r="B138" s="98" t="str">
        <f>+VLOOKUP(LEFT($A138,LEN(A138)-1)*1,Master!$D$29:$G$225,4,FALSE)</f>
        <v>Povećanje / smanjenje depozita</v>
      </c>
      <c r="C138" s="99"/>
      <c r="D138" s="99"/>
      <c r="E138" s="99"/>
      <c r="F138" s="99"/>
      <c r="G138" s="97">
        <f t="shared" ref="G138:R138" si="32">-G133-SUM(G135:G137)</f>
        <v>82889634.51036486</v>
      </c>
      <c r="H138" s="97">
        <f t="shared" si="32"/>
        <v>43552297.502009675</v>
      </c>
      <c r="I138" s="97">
        <f t="shared" si="32"/>
        <v>25663663.586495537</v>
      </c>
      <c r="J138" s="97">
        <f t="shared" si="32"/>
        <v>47321798.744634822</v>
      </c>
      <c r="K138" s="97">
        <f t="shared" si="32"/>
        <v>53392861.954679221</v>
      </c>
      <c r="L138" s="97">
        <f t="shared" si="32"/>
        <v>32629058.836680427</v>
      </c>
      <c r="M138" s="97">
        <f t="shared" si="32"/>
        <v>8959420.813908793</v>
      </c>
      <c r="N138" s="97">
        <f t="shared" si="32"/>
        <v>-25819989.261027273</v>
      </c>
      <c r="O138" s="97">
        <f t="shared" si="32"/>
        <v>-38759439.666137934</v>
      </c>
      <c r="P138" s="97">
        <f t="shared" si="32"/>
        <v>36573018.711460397</v>
      </c>
      <c r="Q138" s="97">
        <f t="shared" si="32"/>
        <v>65666791.663890675</v>
      </c>
      <c r="R138" s="97">
        <f t="shared" si="32"/>
        <v>52801760.43746613</v>
      </c>
      <c r="S138" s="105">
        <f t="shared" si="20"/>
        <v>384870877.83442539</v>
      </c>
      <c r="T138" s="476">
        <f t="shared" si="21"/>
        <v>7.2529563891607376</v>
      </c>
    </row>
    <row r="140" spans="1:22">
      <c r="G140" s="311"/>
    </row>
    <row r="141" spans="1:22">
      <c r="G141" s="311"/>
      <c r="H141" s="311"/>
      <c r="I141" s="311"/>
      <c r="J141" s="311"/>
      <c r="K141" s="311"/>
      <c r="L141" s="311"/>
      <c r="M141" s="311"/>
      <c r="N141" s="311"/>
      <c r="O141" s="311"/>
      <c r="P141" s="311"/>
      <c r="Q141" s="311"/>
      <c r="R141" s="311"/>
    </row>
    <row r="142" spans="1:22">
      <c r="N142" s="311"/>
    </row>
    <row r="144" spans="1:22">
      <c r="S144" s="487"/>
    </row>
    <row r="145" spans="19:19">
      <c r="S145" s="311"/>
    </row>
    <row r="146" spans="19:19">
      <c r="S146" s="311"/>
    </row>
  </sheetData>
  <sheetProtection algorithmName="SHA-512" hashValue="/4P9/lzbNbAuKFfW/PUO0WOMxJu2Cc0BnfhvZtqnHQbz2ky+vaSDHwFjGEovgxKS1Du4anKHjvjOHvHylYeg9Q==" saltValue="ZTkFG9F7ckFiZW0TgmDjIA==" spinCount="100000" sheet="1" objects="1" scenarios="1" selectLockedCells="1" selectUnlockedCells="1"/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W146"/>
  <sheetViews>
    <sheetView zoomScaleNormal="100" workbookViewId="0">
      <pane ySplit="1" topLeftCell="A2" activePane="bottomLeft" state="frozen"/>
      <selection pane="bottomLeft" activeCell="H20" sqref="H2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500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500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814</v>
      </c>
      <c r="H6" s="234" t="s">
        <v>815</v>
      </c>
      <c r="I6" s="234" t="s">
        <v>816</v>
      </c>
      <c r="J6" s="234" t="s">
        <v>817</v>
      </c>
      <c r="K6" s="234" t="s">
        <v>818</v>
      </c>
      <c r="L6" s="234" t="s">
        <v>819</v>
      </c>
      <c r="M6" s="234" t="s">
        <v>820</v>
      </c>
      <c r="N6" s="234" t="s">
        <v>821</v>
      </c>
      <c r="O6" s="234" t="s">
        <v>822</v>
      </c>
      <c r="P6" s="234" t="s">
        <v>823</v>
      </c>
      <c r="Q6" s="234" t="s">
        <v>824</v>
      </c>
      <c r="R6" s="234" t="s">
        <v>825</v>
      </c>
      <c r="S6" s="233"/>
      <c r="T6" s="233"/>
    </row>
    <row r="7" spans="1:20" ht="15" customHeight="1" thickBot="1">
      <c r="A7" s="144"/>
      <c r="B7" s="555" t="str">
        <f>+Master!G251</f>
        <v>Ostvarenje budžeta</v>
      </c>
      <c r="C7" s="536"/>
      <c r="D7" s="536"/>
      <c r="E7" s="536"/>
      <c r="F7" s="536"/>
      <c r="G7" s="544">
        <v>2021</v>
      </c>
      <c r="H7" s="545"/>
      <c r="I7" s="545"/>
      <c r="J7" s="545"/>
      <c r="K7" s="545"/>
      <c r="L7" s="545"/>
      <c r="M7" s="545"/>
      <c r="N7" s="545"/>
      <c r="O7" s="545"/>
      <c r="P7" s="545"/>
      <c r="Q7" s="545"/>
      <c r="R7" s="548"/>
      <c r="S7" s="235" t="str">
        <f>+Master!G248</f>
        <v>BDP</v>
      </c>
      <c r="T7" s="236">
        <v>4881300000</v>
      </c>
    </row>
    <row r="8" spans="1:20" ht="16.5" customHeight="1">
      <c r="A8" s="144"/>
      <c r="B8" s="537"/>
      <c r="C8" s="538"/>
      <c r="D8" s="538"/>
      <c r="E8" s="538"/>
      <c r="F8" s="539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44" t="str">
        <f>+Master!G246</f>
        <v>Jan - Dec</v>
      </c>
      <c r="T8" s="548"/>
    </row>
    <row r="9" spans="1:20" ht="13.5" thickBot="1">
      <c r="A9" s="144"/>
      <c r="B9" s="540"/>
      <c r="C9" s="541"/>
      <c r="D9" s="541"/>
      <c r="E9" s="541"/>
      <c r="F9" s="542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03" t="str">
        <f>+VLOOKUP($A10,Master!$D$29:$G$225,4,FALSE)</f>
        <v>Prihodi budžeta</v>
      </c>
      <c r="C10" s="504"/>
      <c r="D10" s="504"/>
      <c r="E10" s="504"/>
      <c r="F10" s="504"/>
      <c r="G10" s="151">
        <f>+G11+G19+SUM(G24:G28)</f>
        <v>88645153.320000008</v>
      </c>
      <c r="H10" s="151">
        <f t="shared" ref="H10:R10" si="1">+H11+H19+SUM(H24:H28)</f>
        <v>105602053.27</v>
      </c>
      <c r="I10" s="151">
        <f t="shared" si="1"/>
        <v>154192756.19</v>
      </c>
      <c r="J10" s="151">
        <f t="shared" si="1"/>
        <v>144095507.38000003</v>
      </c>
      <c r="K10" s="151">
        <f t="shared" si="1"/>
        <v>136581593.40000001</v>
      </c>
      <c r="L10" s="151">
        <f t="shared" si="1"/>
        <v>158964980.91000003</v>
      </c>
      <c r="M10" s="151">
        <f t="shared" si="1"/>
        <v>194099538.63</v>
      </c>
      <c r="N10" s="151">
        <f t="shared" si="1"/>
        <v>190105745.75999999</v>
      </c>
      <c r="O10" s="151">
        <f t="shared" si="1"/>
        <v>172070591.90000001</v>
      </c>
      <c r="P10" s="151">
        <f t="shared" si="1"/>
        <v>160001549.75000003</v>
      </c>
      <c r="Q10" s="151">
        <f t="shared" si="1"/>
        <v>158602978.81999999</v>
      </c>
      <c r="R10" s="151">
        <f t="shared" si="1"/>
        <v>248412432.71000004</v>
      </c>
      <c r="S10" s="239">
        <f>+SUM(G10:R10)</f>
        <v>1911374882.0400002</v>
      </c>
      <c r="T10" s="462">
        <f>+S10/$T$7*100</f>
        <v>39.157086883412212</v>
      </c>
    </row>
    <row r="11" spans="1:20">
      <c r="A11" s="150">
        <v>711</v>
      </c>
      <c r="B11" s="505" t="str">
        <f>+VLOOKUP($A11,Master!$D$29:$G$225,4,FALSE)</f>
        <v>Porezi</v>
      </c>
      <c r="C11" s="506"/>
      <c r="D11" s="506"/>
      <c r="E11" s="506"/>
      <c r="F11" s="506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132227415.31</v>
      </c>
      <c r="O11" s="157">
        <f t="shared" si="2"/>
        <v>113016911.38000001</v>
      </c>
      <c r="P11" s="157">
        <f t="shared" si="2"/>
        <v>104570246.49000001</v>
      </c>
      <c r="Q11" s="157">
        <f t="shared" si="2"/>
        <v>100241778.90000001</v>
      </c>
      <c r="R11" s="240">
        <f t="shared" si="2"/>
        <v>117752057.5</v>
      </c>
      <c r="S11" s="241">
        <f>+SUM(G11:R11)</f>
        <v>1183874153.45</v>
      </c>
      <c r="T11" s="463">
        <f t="shared" ref="T11:T64" si="3">+S11/$T$7*100</f>
        <v>24.253255351033538</v>
      </c>
    </row>
    <row r="12" spans="1:20">
      <c r="A12" s="150">
        <v>7111</v>
      </c>
      <c r="B12" s="507" t="str">
        <f>+VLOOKUP($A12,Master!$D$29:$G$225,4,FALSE)</f>
        <v>Porez na dohodak fizičkih lica</v>
      </c>
      <c r="C12" s="508"/>
      <c r="D12" s="508"/>
      <c r="E12" s="508"/>
      <c r="F12" s="508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11428081.060000001</v>
      </c>
      <c r="O12" s="163">
        <v>11496389.41</v>
      </c>
      <c r="P12" s="163">
        <v>10714688.65</v>
      </c>
      <c r="Q12" s="163">
        <v>11130007.369999999</v>
      </c>
      <c r="R12" s="163">
        <v>19177675.75</v>
      </c>
      <c r="S12" s="242">
        <f t="shared" ref="S12:S63" si="4">+SUM(G12:R12)</f>
        <v>126864271.05</v>
      </c>
      <c r="T12" s="464">
        <f t="shared" si="3"/>
        <v>2.5989853328006882</v>
      </c>
    </row>
    <row r="13" spans="1:20">
      <c r="A13" s="150">
        <v>7112</v>
      </c>
      <c r="B13" s="507" t="str">
        <f>+VLOOKUP($A13,Master!$D$29:$G$225,4,FALSE)</f>
        <v>Porez na dobit pravnih lica</v>
      </c>
      <c r="C13" s="508"/>
      <c r="D13" s="508"/>
      <c r="E13" s="508"/>
      <c r="F13" s="508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3777349.92</v>
      </c>
      <c r="O13" s="163">
        <v>3090820.1</v>
      </c>
      <c r="P13" s="163">
        <v>812369.36</v>
      </c>
      <c r="Q13" s="163">
        <v>572934.72</v>
      </c>
      <c r="R13" s="163">
        <v>3395713.2</v>
      </c>
      <c r="S13" s="242">
        <f t="shared" si="4"/>
        <v>74713724.469999999</v>
      </c>
      <c r="T13" s="464">
        <f t="shared" si="3"/>
        <v>1.5306111992706861</v>
      </c>
    </row>
    <row r="14" spans="1:20">
      <c r="A14" s="150">
        <v>7113</v>
      </c>
      <c r="B14" s="507" t="str">
        <f>+VLOOKUP($A14,Master!$D$29:$G$225,4,FALSE)</f>
        <v>Porez na promet nepokretnosti</v>
      </c>
      <c r="C14" s="508"/>
      <c r="D14" s="508"/>
      <c r="E14" s="508"/>
      <c r="F14" s="508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253511.29</v>
      </c>
      <c r="O14" s="163">
        <v>186859.21</v>
      </c>
      <c r="P14" s="163">
        <v>188590.96</v>
      </c>
      <c r="Q14" s="163">
        <v>256744.67</v>
      </c>
      <c r="R14" s="163">
        <v>326836.90000000002</v>
      </c>
      <c r="S14" s="242">
        <f t="shared" si="4"/>
        <v>2078253.77</v>
      </c>
      <c r="T14" s="464">
        <f t="shared" si="3"/>
        <v>4.2575825497306041E-2</v>
      </c>
    </row>
    <row r="15" spans="1:20">
      <c r="A15" s="150">
        <v>7114</v>
      </c>
      <c r="B15" s="507" t="str">
        <f>+VLOOKUP($A15,Master!$D$29:$G$225,4,FALSE)</f>
        <v>Porez na dodatu vrijednost</v>
      </c>
      <c r="C15" s="508"/>
      <c r="D15" s="508"/>
      <c r="E15" s="508"/>
      <c r="F15" s="508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82197493.75</v>
      </c>
      <c r="O15" s="163">
        <v>66021485.600000001</v>
      </c>
      <c r="P15" s="163">
        <v>66173641.18</v>
      </c>
      <c r="Q15" s="163">
        <v>62811263.609999999</v>
      </c>
      <c r="R15" s="163">
        <v>69407107.409999996</v>
      </c>
      <c r="S15" s="242">
        <f t="shared" si="4"/>
        <v>691948121.63999999</v>
      </c>
      <c r="T15" s="464">
        <f t="shared" si="3"/>
        <v>14.175488530514412</v>
      </c>
    </row>
    <row r="16" spans="1:20">
      <c r="A16" s="150">
        <v>7115</v>
      </c>
      <c r="B16" s="507" t="str">
        <f>+VLOOKUP($A16,Master!$D$29:$G$225,4,FALSE)</f>
        <v>Akcize</v>
      </c>
      <c r="C16" s="508"/>
      <c r="D16" s="508"/>
      <c r="E16" s="508"/>
      <c r="F16" s="508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30364249.789999999</v>
      </c>
      <c r="O16" s="163">
        <v>28556581.329999998</v>
      </c>
      <c r="P16" s="163">
        <v>23175011.010000002</v>
      </c>
      <c r="Q16" s="163">
        <v>22114560.530000001</v>
      </c>
      <c r="R16" s="163">
        <v>21883171.960000001</v>
      </c>
      <c r="S16" s="242">
        <f t="shared" si="4"/>
        <v>248717895.15999997</v>
      </c>
      <c r="T16" s="464">
        <f t="shared" si="3"/>
        <v>5.0953208194538337</v>
      </c>
    </row>
    <row r="17" spans="1:23">
      <c r="A17" s="150">
        <v>7116</v>
      </c>
      <c r="B17" s="507" t="str">
        <f>+VLOOKUP($A17,Master!$D$29:$G$225,4,FALSE)</f>
        <v>Porez na međunarodnu trgovinu i transakcije</v>
      </c>
      <c r="C17" s="508"/>
      <c r="D17" s="508"/>
      <c r="E17" s="508"/>
      <c r="F17" s="508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3107860.7</v>
      </c>
      <c r="O17" s="163">
        <v>2664634.4500000002</v>
      </c>
      <c r="P17" s="163">
        <v>2522288.0299999998</v>
      </c>
      <c r="Q17" s="163">
        <v>2368746</v>
      </c>
      <c r="R17" s="163">
        <v>2571250.9</v>
      </c>
      <c r="S17" s="242">
        <f t="shared" si="4"/>
        <v>28296642.069999997</v>
      </c>
      <c r="T17" s="464">
        <f t="shared" si="3"/>
        <v>0.57969479585356354</v>
      </c>
    </row>
    <row r="18" spans="1:23">
      <c r="A18" s="150">
        <v>7118</v>
      </c>
      <c r="B18" s="507" t="str">
        <f>+VLOOKUP($A18,Master!$D$29:$G$225,4,FALSE)</f>
        <v>Ostali državni porezi</v>
      </c>
      <c r="C18" s="508"/>
      <c r="D18" s="508"/>
      <c r="E18" s="508"/>
      <c r="F18" s="508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1098868.8</v>
      </c>
      <c r="O18" s="163">
        <v>1000141.28</v>
      </c>
      <c r="P18" s="163">
        <v>983657.3</v>
      </c>
      <c r="Q18" s="163">
        <v>987522</v>
      </c>
      <c r="R18" s="163">
        <v>990301.38</v>
      </c>
      <c r="S18" s="242">
        <f t="shared" si="4"/>
        <v>11255245.290000003</v>
      </c>
      <c r="T18" s="464">
        <f t="shared" si="3"/>
        <v>0.23057884764304598</v>
      </c>
    </row>
    <row r="19" spans="1:23">
      <c r="A19" s="150">
        <v>712</v>
      </c>
      <c r="B19" s="511" t="str">
        <f>+VLOOKUP($A19,Master!$D$29:$G$225,4,FALSE)</f>
        <v>Doprinosi</v>
      </c>
      <c r="C19" s="512"/>
      <c r="D19" s="512"/>
      <c r="E19" s="512"/>
      <c r="F19" s="512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49096195.219999999</v>
      </c>
      <c r="O19" s="169">
        <f t="shared" si="5"/>
        <v>47503080.450000003</v>
      </c>
      <c r="P19" s="169">
        <f t="shared" si="5"/>
        <v>44583829.93</v>
      </c>
      <c r="Q19" s="169">
        <f t="shared" si="5"/>
        <v>46560226.979999997</v>
      </c>
      <c r="R19" s="169">
        <f t="shared" si="5"/>
        <v>86995680.920000002</v>
      </c>
      <c r="S19" s="243">
        <f t="shared" si="4"/>
        <v>554476128.65999997</v>
      </c>
      <c r="T19" s="465">
        <f t="shared" si="3"/>
        <v>11.35918973756991</v>
      </c>
    </row>
    <row r="20" spans="1:23">
      <c r="A20" s="150">
        <v>7121</v>
      </c>
      <c r="B20" s="507" t="str">
        <f>+VLOOKUP($A20,Master!$D$29:$G$225,4,FALSE)</f>
        <v>Doprinosi za penzijsko i invalidsko osiguranje</v>
      </c>
      <c r="C20" s="508"/>
      <c r="D20" s="508"/>
      <c r="E20" s="508"/>
      <c r="F20" s="508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30394889.460000001</v>
      </c>
      <c r="O20" s="163">
        <v>29243345.5</v>
      </c>
      <c r="P20" s="163">
        <v>27909453.050000001</v>
      </c>
      <c r="Q20" s="163">
        <v>28933702.27</v>
      </c>
      <c r="R20" s="163">
        <v>54713937.329999998</v>
      </c>
      <c r="S20" s="242">
        <f>+SUM(G20:R20)</f>
        <v>343738250.03000003</v>
      </c>
      <c r="T20" s="464">
        <f t="shared" si="3"/>
        <v>7.0419406721570086</v>
      </c>
    </row>
    <row r="21" spans="1:23">
      <c r="A21" s="150">
        <v>7122</v>
      </c>
      <c r="B21" s="507" t="str">
        <f>+VLOOKUP($A21,Master!$D$29:$G$225,4,FALSE)</f>
        <v>Doprinosi za zdravstveno osiguranje</v>
      </c>
      <c r="C21" s="508"/>
      <c r="D21" s="508"/>
      <c r="E21" s="508"/>
      <c r="F21" s="508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16090735.119999999</v>
      </c>
      <c r="O21" s="163">
        <v>15676970.460000001</v>
      </c>
      <c r="P21" s="163">
        <v>14237401.24</v>
      </c>
      <c r="Q21" s="163">
        <v>15188463.41</v>
      </c>
      <c r="R21" s="163">
        <v>27627105</v>
      </c>
      <c r="S21" s="242">
        <f t="shared" si="4"/>
        <v>180566476.64000002</v>
      </c>
      <c r="T21" s="464">
        <f t="shared" si="3"/>
        <v>3.6991472894515804</v>
      </c>
    </row>
    <row r="22" spans="1:23">
      <c r="A22" s="150">
        <v>7123</v>
      </c>
      <c r="B22" s="507" t="str">
        <f>+VLOOKUP($A22,Master!$D$29:$G$225,4,FALSE)</f>
        <v>Doprinosi za osiguranje od nezaposlenosti</v>
      </c>
      <c r="C22" s="508"/>
      <c r="D22" s="508"/>
      <c r="E22" s="508"/>
      <c r="F22" s="508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1413222.93</v>
      </c>
      <c r="O22" s="163">
        <v>1381018.38</v>
      </c>
      <c r="P22" s="163">
        <v>1312625.81</v>
      </c>
      <c r="Q22" s="163">
        <v>1349119.82</v>
      </c>
      <c r="R22" s="163">
        <v>2523171.67</v>
      </c>
      <c r="S22" s="242">
        <f t="shared" si="4"/>
        <v>16358834.440000001</v>
      </c>
      <c r="T22" s="464">
        <f t="shared" si="3"/>
        <v>0.33513274004875754</v>
      </c>
    </row>
    <row r="23" spans="1:23">
      <c r="A23" s="150">
        <v>7124</v>
      </c>
      <c r="B23" s="507" t="str">
        <f>+VLOOKUP($A23,Master!$D$29:$G$225,4,FALSE)</f>
        <v>Ostali doprinosi</v>
      </c>
      <c r="C23" s="508"/>
      <c r="D23" s="508"/>
      <c r="E23" s="508"/>
      <c r="F23" s="508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1197347.71</v>
      </c>
      <c r="O23" s="163">
        <v>1201746.1100000001</v>
      </c>
      <c r="P23" s="163">
        <v>1124349.83</v>
      </c>
      <c r="Q23" s="163">
        <v>1088941.48</v>
      </c>
      <c r="R23" s="163">
        <v>2131466.92</v>
      </c>
      <c r="S23" s="242">
        <f t="shared" si="4"/>
        <v>13812567.550000001</v>
      </c>
      <c r="T23" s="464">
        <f t="shared" si="3"/>
        <v>0.28296903591256428</v>
      </c>
      <c r="W23" s="305"/>
    </row>
    <row r="24" spans="1:23">
      <c r="A24" s="150">
        <v>713</v>
      </c>
      <c r="B24" s="509" t="str">
        <f>+VLOOKUP($A24,Master!$D$29:$G$225,4,FALSE)</f>
        <v>Takse</v>
      </c>
      <c r="C24" s="510"/>
      <c r="D24" s="510"/>
      <c r="E24" s="510"/>
      <c r="F24" s="510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1647875.46</v>
      </c>
      <c r="O24" s="175">
        <v>1279203.6200000001</v>
      </c>
      <c r="P24" s="175">
        <v>999355.85</v>
      </c>
      <c r="Q24" s="175">
        <v>1092535.69</v>
      </c>
      <c r="R24" s="175">
        <v>1205165.5</v>
      </c>
      <c r="S24" s="243">
        <f t="shared" si="4"/>
        <v>12641917.529999999</v>
      </c>
      <c r="T24" s="465">
        <f t="shared" si="3"/>
        <v>0.25898669473296049</v>
      </c>
      <c r="W24" s="305"/>
    </row>
    <row r="25" spans="1:23">
      <c r="A25" s="150">
        <v>714</v>
      </c>
      <c r="B25" s="509" t="str">
        <f>+VLOOKUP($A25,Master!$D$29:$G$225,4,FALSE)</f>
        <v>Naknade</v>
      </c>
      <c r="C25" s="510"/>
      <c r="D25" s="510"/>
      <c r="E25" s="510"/>
      <c r="F25" s="510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3469493.29</v>
      </c>
      <c r="O25" s="175">
        <v>3922721.92</v>
      </c>
      <c r="P25" s="175">
        <v>4441066.2300000004</v>
      </c>
      <c r="Q25" s="175">
        <v>5178797.51</v>
      </c>
      <c r="R25" s="175">
        <v>12294668.549999999</v>
      </c>
      <c r="S25" s="243">
        <f t="shared" si="4"/>
        <v>51095041.979999997</v>
      </c>
      <c r="T25" s="465">
        <f t="shared" si="3"/>
        <v>1.0467507012476185</v>
      </c>
    </row>
    <row r="26" spans="1:23">
      <c r="A26" s="150">
        <v>715</v>
      </c>
      <c r="B26" s="509" t="str">
        <f>+VLOOKUP($A26,Master!$D$29:$G$225,4,FALSE)</f>
        <v>Ostali prihodi</v>
      </c>
      <c r="C26" s="510"/>
      <c r="D26" s="510"/>
      <c r="E26" s="510"/>
      <c r="F26" s="510"/>
      <c r="G26" s="175">
        <v>1525496.04</v>
      </c>
      <c r="H26" s="175">
        <v>1791757.35</v>
      </c>
      <c r="I26" s="175">
        <v>1693779.5</v>
      </c>
      <c r="J26" s="175">
        <v>1358988.92</v>
      </c>
      <c r="K26" s="175">
        <v>3754382.9</v>
      </c>
      <c r="L26" s="175">
        <v>2287001.67</v>
      </c>
      <c r="M26" s="175">
        <v>30215055.109999999</v>
      </c>
      <c r="N26" s="175">
        <v>2283335.13</v>
      </c>
      <c r="O26" s="175">
        <v>1871626.8</v>
      </c>
      <c r="P26" s="175">
        <v>1566793.48</v>
      </c>
      <c r="Q26" s="175">
        <v>1628758.26</v>
      </c>
      <c r="R26" s="175">
        <v>9339096.8000000007</v>
      </c>
      <c r="S26" s="243">
        <f t="shared" si="4"/>
        <v>59316071.959999993</v>
      </c>
      <c r="T26" s="465">
        <f t="shared" si="3"/>
        <v>1.2151695646651506</v>
      </c>
    </row>
    <row r="27" spans="1:23">
      <c r="A27" s="150">
        <v>73</v>
      </c>
      <c r="B27" s="509" t="str">
        <f>+VLOOKUP($A27,Master!$D$29:$G$225,4,FALSE)</f>
        <v>Primici od otplate kredita i sredstva prenesena iz prethodne godine</v>
      </c>
      <c r="C27" s="510"/>
      <c r="D27" s="510"/>
      <c r="E27" s="510"/>
      <c r="F27" s="510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594112.48</v>
      </c>
      <c r="O27" s="175">
        <v>261920.15</v>
      </c>
      <c r="P27" s="175">
        <v>739287.02</v>
      </c>
      <c r="Q27" s="175">
        <v>1198500.7600000002</v>
      </c>
      <c r="R27" s="175">
        <v>2260792.52</v>
      </c>
      <c r="S27" s="243">
        <f t="shared" si="4"/>
        <v>10101545.129999999</v>
      </c>
      <c r="T27" s="465">
        <f t="shared" si="3"/>
        <v>0.20694374715751951</v>
      </c>
    </row>
    <row r="28" spans="1:23" ht="13.5" thickBot="1">
      <c r="A28" s="150">
        <v>74</v>
      </c>
      <c r="B28" s="513" t="str">
        <f>+VLOOKUP($A28,Master!$D$29:$G$225,4,FALSE)</f>
        <v>Donacije i transferi</v>
      </c>
      <c r="C28" s="514"/>
      <c r="D28" s="514"/>
      <c r="E28" s="514"/>
      <c r="F28" s="514"/>
      <c r="G28" s="175">
        <v>196070.01</v>
      </c>
      <c r="H28" s="175">
        <v>1359247.78</v>
      </c>
      <c r="I28" s="175">
        <v>1522925.29</v>
      </c>
      <c r="J28" s="175">
        <v>1551438.49</v>
      </c>
      <c r="K28" s="175">
        <v>1021922.13</v>
      </c>
      <c r="L28" s="175">
        <v>2472793.4900000002</v>
      </c>
      <c r="M28" s="175">
        <v>2374857.2999999998</v>
      </c>
      <c r="N28" s="175">
        <v>787318.87</v>
      </c>
      <c r="O28" s="175">
        <v>4215127.58</v>
      </c>
      <c r="P28" s="175">
        <v>3100970.75</v>
      </c>
      <c r="Q28" s="175">
        <v>2702380.72</v>
      </c>
      <c r="R28" s="175">
        <v>18564970.920000002</v>
      </c>
      <c r="S28" s="243">
        <f t="shared" si="4"/>
        <v>39870023.329999998</v>
      </c>
      <c r="T28" s="466">
        <f t="shared" si="3"/>
        <v>0.81679108700551084</v>
      </c>
    </row>
    <row r="29" spans="1:23" ht="13.5" thickBot="1">
      <c r="A29" s="150">
        <v>4</v>
      </c>
      <c r="B29" s="515" t="str">
        <f>+VLOOKUP($A29,Master!$D$29:$G$225,4,FALSE)</f>
        <v>Izdaci budžeta</v>
      </c>
      <c r="C29" s="516"/>
      <c r="D29" s="516"/>
      <c r="E29" s="516"/>
      <c r="F29" s="516"/>
      <c r="G29" s="151">
        <f>+G30+G40+G46+SUM(G47:G51)</f>
        <v>127396828.25</v>
      </c>
      <c r="H29" s="151">
        <f t="shared" ref="H29:R29" si="6">+H30+H40+H46+SUM(H47:H51)</f>
        <v>159823163.58000001</v>
      </c>
      <c r="I29" s="151">
        <f t="shared" si="6"/>
        <v>164445513.62</v>
      </c>
      <c r="J29" s="151">
        <f t="shared" si="6"/>
        <v>184230567.26000002</v>
      </c>
      <c r="K29" s="151">
        <f t="shared" si="6"/>
        <v>156128771.06999999</v>
      </c>
      <c r="L29" s="151">
        <f t="shared" si="6"/>
        <v>155953410.75</v>
      </c>
      <c r="M29" s="151">
        <f t="shared" si="6"/>
        <v>153567173.43000001</v>
      </c>
      <c r="N29" s="151">
        <f t="shared" si="6"/>
        <v>129243026.83</v>
      </c>
      <c r="O29" s="151">
        <f t="shared" si="6"/>
        <v>178840157.63000003</v>
      </c>
      <c r="P29" s="151">
        <f t="shared" si="6"/>
        <v>157218817.40000001</v>
      </c>
      <c r="Q29" s="151">
        <f t="shared" si="6"/>
        <v>172180876.45999998</v>
      </c>
      <c r="R29" s="151">
        <f t="shared" si="6"/>
        <v>272548252.21000004</v>
      </c>
      <c r="S29" s="245">
        <f t="shared" si="4"/>
        <v>2011576558.4900002</v>
      </c>
      <c r="T29" s="467">
        <f t="shared" si="3"/>
        <v>41.209853081965875</v>
      </c>
    </row>
    <row r="30" spans="1:23">
      <c r="A30" s="150">
        <v>41</v>
      </c>
      <c r="B30" s="519" t="str">
        <f>+VLOOKUP($A30,Master!$D$29:$G$225,4,FALSE)</f>
        <v>Tekući izdaci</v>
      </c>
      <c r="C30" s="520"/>
      <c r="D30" s="520"/>
      <c r="E30" s="520"/>
      <c r="F30" s="520"/>
      <c r="G30" s="187">
        <f t="shared" ref="G30:R30" si="7">+SUM(G31:G39)</f>
        <v>51210284.650000006</v>
      </c>
      <c r="H30" s="187">
        <f t="shared" si="7"/>
        <v>62952522.470000006</v>
      </c>
      <c r="I30" s="187">
        <f t="shared" si="7"/>
        <v>74936031.789999992</v>
      </c>
      <c r="J30" s="187">
        <f t="shared" si="7"/>
        <v>90498154.590000004</v>
      </c>
      <c r="K30" s="187">
        <f t="shared" si="7"/>
        <v>68092885.25</v>
      </c>
      <c r="L30" s="187">
        <f t="shared" si="7"/>
        <v>67095940.299999997</v>
      </c>
      <c r="M30" s="187">
        <f t="shared" si="7"/>
        <v>63433821.460000001</v>
      </c>
      <c r="N30" s="187">
        <f t="shared" si="7"/>
        <v>55432684.900000006</v>
      </c>
      <c r="O30" s="187">
        <f t="shared" si="7"/>
        <v>78428128.920000017</v>
      </c>
      <c r="P30" s="187">
        <f t="shared" si="7"/>
        <v>65428662.609999999</v>
      </c>
      <c r="Q30" s="187">
        <f t="shared" si="7"/>
        <v>70638693.879999995</v>
      </c>
      <c r="R30" s="246">
        <f t="shared" si="7"/>
        <v>128015161.53</v>
      </c>
      <c r="S30" s="424">
        <f t="shared" si="4"/>
        <v>876162972.3499999</v>
      </c>
      <c r="T30" s="463">
        <f t="shared" si="3"/>
        <v>17.949377672955976</v>
      </c>
      <c r="U30" s="242"/>
    </row>
    <row r="31" spans="1:23">
      <c r="A31" s="150">
        <v>411</v>
      </c>
      <c r="B31" s="507" t="str">
        <f>+VLOOKUP($A31,Master!$D$29:$G$225,4,FALSE)</f>
        <v>Bruto zarade i doprinosi na teret poslodavca</v>
      </c>
      <c r="C31" s="508"/>
      <c r="D31" s="508"/>
      <c r="E31" s="508"/>
      <c r="F31" s="508"/>
      <c r="G31" s="163">
        <v>40605076.340000004</v>
      </c>
      <c r="H31" s="163">
        <v>49306803.189999998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43807195.049999997</v>
      </c>
      <c r="N31" s="163">
        <v>42438933.920000002</v>
      </c>
      <c r="O31" s="163">
        <v>43464882.57</v>
      </c>
      <c r="P31" s="163">
        <v>44324596.259999998</v>
      </c>
      <c r="Q31" s="163">
        <v>42899701.979999997</v>
      </c>
      <c r="R31" s="163">
        <v>47109142.439999998</v>
      </c>
      <c r="S31" s="242">
        <f t="shared" si="4"/>
        <v>535284771.48000002</v>
      </c>
      <c r="T31" s="464">
        <f t="shared" si="3"/>
        <v>10.966028957040134</v>
      </c>
      <c r="U31" s="242"/>
    </row>
    <row r="32" spans="1:23">
      <c r="A32" s="150">
        <v>412</v>
      </c>
      <c r="B32" s="507" t="str">
        <f>+VLOOKUP($A32,Master!$D$29:$G$225,4,FALSE)</f>
        <v>Ostala lična primanja</v>
      </c>
      <c r="C32" s="508"/>
      <c r="D32" s="508"/>
      <c r="E32" s="508"/>
      <c r="F32" s="508"/>
      <c r="G32" s="163">
        <v>108603.95</v>
      </c>
      <c r="H32" s="163">
        <v>889477.21</v>
      </c>
      <c r="I32" s="163">
        <v>864515.21</v>
      </c>
      <c r="J32" s="163">
        <v>1093748.1599999999</v>
      </c>
      <c r="K32" s="163">
        <v>847625.01</v>
      </c>
      <c r="L32" s="163">
        <v>813914.56</v>
      </c>
      <c r="M32" s="163">
        <v>749930.47</v>
      </c>
      <c r="N32" s="163">
        <v>668764.4</v>
      </c>
      <c r="O32" s="163">
        <v>915237.68</v>
      </c>
      <c r="P32" s="163">
        <v>879406.09</v>
      </c>
      <c r="Q32" s="163">
        <v>1196263.8500000001</v>
      </c>
      <c r="R32" s="163">
        <v>2247806.5299999998</v>
      </c>
      <c r="S32" s="242">
        <f t="shared" si="4"/>
        <v>11275293.119999999</v>
      </c>
      <c r="T32" s="464">
        <f t="shared" si="3"/>
        <v>0.23098955442197774</v>
      </c>
      <c r="U32" s="457"/>
    </row>
    <row r="33" spans="1:21">
      <c r="A33" s="150">
        <v>413</v>
      </c>
      <c r="B33" s="507" t="str">
        <f>+VLOOKUP($A33,Master!$D$29:$G$225,4,FALSE)</f>
        <v>Rashodi za materijal</v>
      </c>
      <c r="C33" s="508"/>
      <c r="D33" s="508"/>
      <c r="E33" s="508"/>
      <c r="F33" s="508"/>
      <c r="G33" s="163">
        <v>596838.26</v>
      </c>
      <c r="H33" s="163">
        <v>1661548.94</v>
      </c>
      <c r="I33" s="163">
        <v>2846541.08</v>
      </c>
      <c r="J33" s="163">
        <v>2297097.17</v>
      </c>
      <c r="K33" s="163">
        <v>3105673.67</v>
      </c>
      <c r="L33" s="163">
        <v>3282627.05</v>
      </c>
      <c r="M33" s="163">
        <v>1191294.69</v>
      </c>
      <c r="N33" s="163">
        <v>1974731.33</v>
      </c>
      <c r="O33" s="163">
        <v>2484211.52</v>
      </c>
      <c r="P33" s="163">
        <v>3818905.14</v>
      </c>
      <c r="Q33" s="163">
        <v>3314735.27</v>
      </c>
      <c r="R33" s="163">
        <v>8934782.8399999999</v>
      </c>
      <c r="S33" s="242">
        <f t="shared" si="4"/>
        <v>35508986.960000001</v>
      </c>
      <c r="T33" s="464">
        <f t="shared" si="3"/>
        <v>0.72744938766312262</v>
      </c>
      <c r="U33" s="457"/>
    </row>
    <row r="34" spans="1:21" s="361" customFormat="1">
      <c r="A34" s="360">
        <v>414</v>
      </c>
      <c r="B34" s="556" t="str">
        <f>+VLOOKUP($A34,Master!$D$29:$G$225,4,FALSE)</f>
        <v>Rashodi za usluge</v>
      </c>
      <c r="C34" s="557"/>
      <c r="D34" s="557"/>
      <c r="E34" s="557"/>
      <c r="F34" s="557"/>
      <c r="G34" s="163">
        <v>1050676.99</v>
      </c>
      <c r="H34" s="163">
        <v>2618065.42</v>
      </c>
      <c r="I34" s="163">
        <v>3354555.29</v>
      </c>
      <c r="J34" s="163">
        <v>6154997.4900000002</v>
      </c>
      <c r="K34" s="163">
        <v>5010122.6100000003</v>
      </c>
      <c r="L34" s="163">
        <v>3878369.19</v>
      </c>
      <c r="M34" s="163">
        <v>6311106.4199999999</v>
      </c>
      <c r="N34" s="163">
        <v>4216812.43</v>
      </c>
      <c r="O34" s="163">
        <v>4951424.5199999996</v>
      </c>
      <c r="P34" s="163">
        <v>4358677.68</v>
      </c>
      <c r="Q34" s="163">
        <v>4813728.76</v>
      </c>
      <c r="R34" s="163">
        <v>12963904.939999999</v>
      </c>
      <c r="S34" s="242">
        <f t="shared" si="4"/>
        <v>59682441.739999995</v>
      </c>
      <c r="T34" s="464">
        <f t="shared" si="3"/>
        <v>1.2226751426873987</v>
      </c>
      <c r="U34" s="457"/>
    </row>
    <row r="35" spans="1:21">
      <c r="A35" s="150">
        <v>415</v>
      </c>
      <c r="B35" s="507" t="str">
        <f>+VLOOKUP($A35,Master!$D$29:$G$225,4,FALSE)</f>
        <v>Rashodi za tekuće održavanje</v>
      </c>
      <c r="C35" s="508"/>
      <c r="D35" s="508"/>
      <c r="E35" s="508"/>
      <c r="F35" s="508"/>
      <c r="G35" s="163">
        <v>189404.04</v>
      </c>
      <c r="H35" s="163">
        <v>914551.09</v>
      </c>
      <c r="I35" s="163">
        <v>2439729.2400000002</v>
      </c>
      <c r="J35" s="163">
        <v>1685830.78</v>
      </c>
      <c r="K35" s="163">
        <v>1713753.59</v>
      </c>
      <c r="L35" s="163">
        <v>1668289.12</v>
      </c>
      <c r="M35" s="163">
        <v>1674987.06</v>
      </c>
      <c r="N35" s="163">
        <v>627370.31000000006</v>
      </c>
      <c r="O35" s="163">
        <v>2494776.16</v>
      </c>
      <c r="P35" s="163">
        <v>1624347.31</v>
      </c>
      <c r="Q35" s="163">
        <v>2052579.1</v>
      </c>
      <c r="R35" s="163">
        <v>4628860.91</v>
      </c>
      <c r="S35" s="242">
        <f t="shared" si="4"/>
        <v>21714478.710000001</v>
      </c>
      <c r="T35" s="464">
        <f t="shared" si="3"/>
        <v>0.44485032081617609</v>
      </c>
      <c r="U35" s="457"/>
    </row>
    <row r="36" spans="1:21">
      <c r="A36" s="150">
        <v>416</v>
      </c>
      <c r="B36" s="507" t="str">
        <f>+VLOOKUP($A36,Master!$D$29:$G$225,4,FALSE)</f>
        <v>Kamate</v>
      </c>
      <c r="C36" s="508"/>
      <c r="D36" s="508"/>
      <c r="E36" s="508"/>
      <c r="F36" s="508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4536771.22</v>
      </c>
      <c r="N36" s="163">
        <v>1656473.82</v>
      </c>
      <c r="O36" s="163">
        <v>14251047.82</v>
      </c>
      <c r="P36" s="163">
        <v>1257915.1499999999</v>
      </c>
      <c r="Q36" s="163">
        <v>6572572.5</v>
      </c>
      <c r="R36" s="163">
        <v>26695596.420000002</v>
      </c>
      <c r="S36" s="242">
        <f>+SUM(G36:R36)</f>
        <v>114058902.18000002</v>
      </c>
      <c r="T36" s="464">
        <f t="shared" si="3"/>
        <v>2.3366501173867622</v>
      </c>
      <c r="U36" s="457"/>
    </row>
    <row r="37" spans="1:21">
      <c r="A37" s="150">
        <v>417</v>
      </c>
      <c r="B37" s="507" t="str">
        <f>+VLOOKUP($A37,Master!$D$29:$G$225,4,FALSE)</f>
        <v>Renta</v>
      </c>
      <c r="C37" s="508"/>
      <c r="D37" s="508"/>
      <c r="E37" s="508"/>
      <c r="F37" s="508"/>
      <c r="G37" s="163">
        <v>38595.83</v>
      </c>
      <c r="H37" s="163">
        <v>967161.85</v>
      </c>
      <c r="I37" s="163">
        <v>803228.89</v>
      </c>
      <c r="J37" s="163">
        <v>789353.05</v>
      </c>
      <c r="K37" s="163">
        <v>630121.34</v>
      </c>
      <c r="L37" s="163">
        <v>989320.52</v>
      </c>
      <c r="M37" s="163">
        <v>768698.1</v>
      </c>
      <c r="N37" s="163">
        <v>599617.06999999995</v>
      </c>
      <c r="O37" s="163">
        <v>1289567.81</v>
      </c>
      <c r="P37" s="163">
        <v>956228.2</v>
      </c>
      <c r="Q37" s="163">
        <v>1013643.73</v>
      </c>
      <c r="R37" s="163">
        <v>2536754.16</v>
      </c>
      <c r="S37" s="242">
        <f t="shared" si="4"/>
        <v>11382290.550000001</v>
      </c>
      <c r="T37" s="464">
        <f t="shared" si="3"/>
        <v>0.23318154077807143</v>
      </c>
      <c r="U37" s="457"/>
    </row>
    <row r="38" spans="1:21">
      <c r="A38" s="150">
        <v>418</v>
      </c>
      <c r="B38" s="507" t="str">
        <f>+VLOOKUP($A38,Master!$D$29:$G$225,4,FALSE)</f>
        <v>Subvencije</v>
      </c>
      <c r="C38" s="508"/>
      <c r="D38" s="508"/>
      <c r="E38" s="508"/>
      <c r="F38" s="508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1282909.52</v>
      </c>
      <c r="O38" s="163">
        <v>5015730.92</v>
      </c>
      <c r="P38" s="163">
        <v>5211144.05</v>
      </c>
      <c r="Q38" s="163">
        <v>4749689.82</v>
      </c>
      <c r="R38" s="163">
        <v>13213431.09</v>
      </c>
      <c r="S38" s="242">
        <f t="shared" si="4"/>
        <v>48519958.780000001</v>
      </c>
      <c r="T38" s="464">
        <f t="shared" si="3"/>
        <v>0.9939966562186302</v>
      </c>
      <c r="U38" s="457"/>
    </row>
    <row r="39" spans="1:21" s="361" customFormat="1">
      <c r="A39" s="360">
        <v>419</v>
      </c>
      <c r="B39" s="556" t="str">
        <f>+VLOOKUP($A39,Master!$D$29:$G$225,4,FALSE)</f>
        <v>Ostali izdaci</v>
      </c>
      <c r="C39" s="557"/>
      <c r="D39" s="557"/>
      <c r="E39" s="557"/>
      <c r="F39" s="557"/>
      <c r="G39" s="163">
        <v>792964.83</v>
      </c>
      <c r="H39" s="163">
        <v>2310889.5099999998</v>
      </c>
      <c r="I39" s="163">
        <v>3429558.98</v>
      </c>
      <c r="J39" s="163">
        <v>2708059.43</v>
      </c>
      <c r="K39" s="163">
        <v>2582032.64</v>
      </c>
      <c r="L39" s="163">
        <v>2772575.41</v>
      </c>
      <c r="M39" s="163">
        <v>1903342.21</v>
      </c>
      <c r="N39" s="163">
        <v>1967072.1</v>
      </c>
      <c r="O39" s="163">
        <v>3561249.92</v>
      </c>
      <c r="P39" s="163">
        <v>2997442.73</v>
      </c>
      <c r="Q39" s="163">
        <v>4025778.87</v>
      </c>
      <c r="R39" s="163">
        <v>9684882.1999999993</v>
      </c>
      <c r="S39" s="242">
        <f t="shared" si="4"/>
        <v>38735848.829999998</v>
      </c>
      <c r="T39" s="464">
        <f t="shared" si="3"/>
        <v>0.79355599594370352</v>
      </c>
      <c r="U39" s="457"/>
    </row>
    <row r="40" spans="1:21">
      <c r="A40" s="150">
        <v>42</v>
      </c>
      <c r="B40" s="523" t="str">
        <f>+VLOOKUP($A40,Master!$D$29:$G$225,4,FALSE)</f>
        <v>Transferi za socijalnu zaštitu</v>
      </c>
      <c r="C40" s="524"/>
      <c r="D40" s="524"/>
      <c r="E40" s="524"/>
      <c r="F40" s="524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47701801.869999997</v>
      </c>
      <c r="M40" s="193">
        <f t="shared" si="8"/>
        <v>46709328.349999994</v>
      </c>
      <c r="N40" s="193">
        <f t="shared" si="8"/>
        <v>48312853.209999993</v>
      </c>
      <c r="O40" s="193">
        <f t="shared" si="8"/>
        <v>47346058.890000001</v>
      </c>
      <c r="P40" s="193">
        <f t="shared" si="8"/>
        <v>47321393.019999996</v>
      </c>
      <c r="Q40" s="193">
        <f t="shared" si="8"/>
        <v>47602308.230000004</v>
      </c>
      <c r="R40" s="247">
        <f t="shared" si="8"/>
        <v>50150870.130000003</v>
      </c>
      <c r="S40" s="489">
        <f t="shared" si="4"/>
        <v>567405694.82999992</v>
      </c>
      <c r="T40" s="490">
        <f t="shared" si="3"/>
        <v>11.624069301825331</v>
      </c>
      <c r="U40" s="242"/>
    </row>
    <row r="41" spans="1:21">
      <c r="A41" s="150">
        <v>421</v>
      </c>
      <c r="B41" s="507" t="str">
        <f>+VLOOKUP($A41,Master!$D$29:$G$225,4,FALSE)</f>
        <v>Prava iz oblasti socijalne zaštite</v>
      </c>
      <c r="C41" s="508"/>
      <c r="D41" s="508"/>
      <c r="E41" s="508"/>
      <c r="F41" s="508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6922132.7699999996</v>
      </c>
      <c r="O41" s="163">
        <v>7012911.9400000004</v>
      </c>
      <c r="P41" s="163">
        <v>7587918.79</v>
      </c>
      <c r="Q41" s="163">
        <v>8108140.6100000003</v>
      </c>
      <c r="R41" s="163">
        <v>8364482.7699999996</v>
      </c>
      <c r="S41" s="242">
        <f t="shared" si="4"/>
        <v>84933837.310000002</v>
      </c>
      <c r="T41" s="464">
        <f t="shared" si="3"/>
        <v>1.7399839655419664</v>
      </c>
      <c r="U41" s="457"/>
    </row>
    <row r="42" spans="1:21">
      <c r="A42" s="150">
        <v>422</v>
      </c>
      <c r="B42" s="507" t="str">
        <f>+VLOOKUP($A42,Master!$D$29:$G$225,4,FALSE)</f>
        <v>Sredstva za tehnološke viškove</v>
      </c>
      <c r="C42" s="508"/>
      <c r="D42" s="508"/>
      <c r="E42" s="508"/>
      <c r="F42" s="508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3011655.31</v>
      </c>
      <c r="O42" s="163">
        <v>1946279.26</v>
      </c>
      <c r="P42" s="163">
        <v>1580041.11</v>
      </c>
      <c r="Q42" s="163">
        <v>1693671.28</v>
      </c>
      <c r="R42" s="163">
        <v>3225105.76</v>
      </c>
      <c r="S42" s="242">
        <f t="shared" si="4"/>
        <v>23087428.329999998</v>
      </c>
      <c r="T42" s="464">
        <f t="shared" si="3"/>
        <v>0.47297704156679571</v>
      </c>
      <c r="U42" s="457"/>
    </row>
    <row r="43" spans="1:21">
      <c r="A43" s="150">
        <v>423</v>
      </c>
      <c r="B43" s="507" t="str">
        <f>+VLOOKUP($A43,Master!$D$29:$G$225,4,FALSE)</f>
        <v>Prava iz oblasti penzijskog i invalidskog osiguranja</v>
      </c>
      <c r="C43" s="508"/>
      <c r="D43" s="508"/>
      <c r="E43" s="508"/>
      <c r="F43" s="508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35679553.039999999</v>
      </c>
      <c r="M43" s="163">
        <v>35659550.979999997</v>
      </c>
      <c r="N43" s="163">
        <v>35676248.939999998</v>
      </c>
      <c r="O43" s="163">
        <v>35868624.289999999</v>
      </c>
      <c r="P43" s="163">
        <v>35842810.990000002</v>
      </c>
      <c r="Q43" s="163">
        <v>35886030.640000001</v>
      </c>
      <c r="R43" s="163">
        <v>35788467.600000001</v>
      </c>
      <c r="S43" s="242">
        <f t="shared" si="4"/>
        <v>431007818.79000002</v>
      </c>
      <c r="T43" s="464">
        <f t="shared" si="3"/>
        <v>8.8297752399975415</v>
      </c>
      <c r="U43" s="457"/>
    </row>
    <row r="44" spans="1:21">
      <c r="A44" s="150">
        <v>424</v>
      </c>
      <c r="B44" s="507" t="str">
        <f>+VLOOKUP($A44,Master!$D$29:$G$225,4,FALSE)</f>
        <v>Ostala prava iz oblasti zdravstvene zaštite</v>
      </c>
      <c r="C44" s="508"/>
      <c r="D44" s="508"/>
      <c r="E44" s="508"/>
      <c r="F44" s="508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1514594.61</v>
      </c>
      <c r="O44" s="163">
        <v>1755810.82</v>
      </c>
      <c r="P44" s="163">
        <v>978865.16</v>
      </c>
      <c r="Q44" s="163">
        <v>925856.6</v>
      </c>
      <c r="R44" s="163">
        <v>1584384.3</v>
      </c>
      <c r="S44" s="242">
        <f t="shared" si="4"/>
        <v>17077333.689999998</v>
      </c>
      <c r="T44" s="464">
        <f t="shared" si="3"/>
        <v>0.34985216417757559</v>
      </c>
      <c r="U44" s="457"/>
    </row>
    <row r="45" spans="1:21" s="361" customFormat="1">
      <c r="A45" s="360">
        <v>425</v>
      </c>
      <c r="B45" s="558" t="str">
        <f>+VLOOKUP($A45,Master!$D$29:$G$225,4,FALSE)</f>
        <v>Ostala prava iz zdravstvenog osiguranja</v>
      </c>
      <c r="C45" s="559"/>
      <c r="D45" s="559"/>
      <c r="E45" s="559"/>
      <c r="F45" s="559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1188221.58</v>
      </c>
      <c r="O45" s="163">
        <v>762432.58</v>
      </c>
      <c r="P45" s="163">
        <v>1331756.97</v>
      </c>
      <c r="Q45" s="163">
        <v>988609.1</v>
      </c>
      <c r="R45" s="163">
        <v>1188429.7</v>
      </c>
      <c r="S45" s="242">
        <f t="shared" si="4"/>
        <v>11299276.709999999</v>
      </c>
      <c r="T45" s="464">
        <f t="shared" si="3"/>
        <v>0.2314808905414541</v>
      </c>
      <c r="U45" s="457"/>
    </row>
    <row r="46" spans="1:21">
      <c r="A46" s="150">
        <v>43</v>
      </c>
      <c r="B46" s="521" t="str">
        <f>+VLOOKUP($A46,Master!$D$29:$G$225,4,FALSE)</f>
        <v xml:space="preserve">Transferi institucijama, pojedincima, nevladinom i javnom sektoru </v>
      </c>
      <c r="C46" s="522"/>
      <c r="D46" s="522"/>
      <c r="E46" s="522"/>
      <c r="F46" s="522"/>
      <c r="G46" s="175">
        <v>12392775.73</v>
      </c>
      <c r="H46" s="175">
        <v>21028699.079999998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18905972.879999999</v>
      </c>
      <c r="N46" s="175">
        <v>16083684.529999999</v>
      </c>
      <c r="O46" s="175">
        <v>26541391.52</v>
      </c>
      <c r="P46" s="175">
        <v>20455248.059999999</v>
      </c>
      <c r="Q46" s="175">
        <v>27077034.149999999</v>
      </c>
      <c r="R46" s="175">
        <v>29427113.329999998</v>
      </c>
      <c r="S46" s="243">
        <f t="shared" si="4"/>
        <v>257065984.94</v>
      </c>
      <c r="T46" s="465">
        <f t="shared" si="3"/>
        <v>5.2663426738778609</v>
      </c>
      <c r="U46" s="481"/>
    </row>
    <row r="47" spans="1:21">
      <c r="A47" s="150">
        <v>44</v>
      </c>
      <c r="B47" s="521" t="str">
        <f>+VLOOKUP($A47,Master!$D$29:$G$225,4,FALSE)</f>
        <v>Kapitalni izdaci</v>
      </c>
      <c r="C47" s="522"/>
      <c r="D47" s="522"/>
      <c r="E47" s="522"/>
      <c r="F47" s="522"/>
      <c r="G47" s="175">
        <v>11603510.130000001</v>
      </c>
      <c r="H47" s="175">
        <v>7242535.6200000001</v>
      </c>
      <c r="I47" s="175">
        <v>8279888.46</v>
      </c>
      <c r="J47" s="175">
        <v>16938740.100000001</v>
      </c>
      <c r="K47" s="175">
        <v>6491669.8099999996</v>
      </c>
      <c r="L47" s="175">
        <v>11935338.039999999</v>
      </c>
      <c r="M47" s="175">
        <v>13239855.810000001</v>
      </c>
      <c r="N47" s="175">
        <v>7339618.0199999996</v>
      </c>
      <c r="O47" s="175">
        <v>24684802.260000002</v>
      </c>
      <c r="P47" s="175">
        <v>20452763.75</v>
      </c>
      <c r="Q47" s="175">
        <v>19451903.010000002</v>
      </c>
      <c r="R47" s="175">
        <v>56838746.07</v>
      </c>
      <c r="S47" s="243">
        <f t="shared" si="4"/>
        <v>204499371.07999998</v>
      </c>
      <c r="T47" s="465">
        <f t="shared" si="3"/>
        <v>4.1894448421527049</v>
      </c>
      <c r="U47" s="481"/>
    </row>
    <row r="48" spans="1:21">
      <c r="A48" s="150">
        <v>451</v>
      </c>
      <c r="B48" s="560" t="str">
        <f>+VLOOKUP($A48,Master!$D$29:$G$225,4,FALSE)</f>
        <v>Pozajmice i krediti</v>
      </c>
      <c r="C48" s="561"/>
      <c r="D48" s="561"/>
      <c r="E48" s="561"/>
      <c r="F48" s="561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320698</v>
      </c>
      <c r="Q48" s="163">
        <v>1680</v>
      </c>
      <c r="R48" s="163">
        <v>164365</v>
      </c>
      <c r="S48" s="242">
        <f t="shared" si="4"/>
        <v>1315523</v>
      </c>
      <c r="T48" s="464">
        <f t="shared" si="3"/>
        <v>2.6950259152275009E-2</v>
      </c>
      <c r="U48" s="481"/>
    </row>
    <row r="49" spans="1:21" s="361" customFormat="1">
      <c r="A49" s="360">
        <v>47</v>
      </c>
      <c r="B49" s="565" t="str">
        <f>+VLOOKUP($A49,Master!$D$29:$G$225,4,FALSE)</f>
        <v>Rezerve</v>
      </c>
      <c r="C49" s="566"/>
      <c r="D49" s="566"/>
      <c r="E49" s="566"/>
      <c r="F49" s="566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1341810.29</v>
      </c>
      <c r="O49" s="163">
        <v>862178.99</v>
      </c>
      <c r="P49" s="163">
        <v>2434932.13</v>
      </c>
      <c r="Q49" s="163">
        <v>5966200</v>
      </c>
      <c r="R49" s="163">
        <v>5072697.09</v>
      </c>
      <c r="S49" s="242">
        <f t="shared" si="4"/>
        <v>71230165.420000002</v>
      </c>
      <c r="T49" s="464">
        <f t="shared" si="3"/>
        <v>1.4592458037817795</v>
      </c>
      <c r="U49" s="481"/>
    </row>
    <row r="50" spans="1:21" ht="13.5" thickBot="1">
      <c r="A50" s="150">
        <v>462</v>
      </c>
      <c r="B50" s="527" t="str">
        <f>+VLOOKUP($A50,Master!$D$29:$G$225,4,FALSE)</f>
        <v>Otplata garancija</v>
      </c>
      <c r="C50" s="528"/>
      <c r="D50" s="528"/>
      <c r="E50" s="528"/>
      <c r="F50" s="528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3879755.68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7711252.0800000001</v>
      </c>
      <c r="T50" s="464">
        <f t="shared" si="3"/>
        <v>0.15797537705119538</v>
      </c>
      <c r="U50" s="481"/>
    </row>
    <row r="51" spans="1:21" ht="13.5" thickBot="1">
      <c r="A51" s="144">
        <v>4630</v>
      </c>
      <c r="B51" s="567" t="str">
        <f>+VLOOKUP($A51,Master!$D$29:$G$225,4,TRUE)</f>
        <v>Otplata obaveza iz prethodnog perioda</v>
      </c>
      <c r="C51" s="568"/>
      <c r="D51" s="568"/>
      <c r="E51" s="568"/>
      <c r="F51" s="568"/>
      <c r="G51" s="458">
        <v>1018944.7</v>
      </c>
      <c r="H51" s="458">
        <v>1642283.23</v>
      </c>
      <c r="I51" s="458">
        <v>1493597.85</v>
      </c>
      <c r="J51" s="458">
        <v>1366097.79</v>
      </c>
      <c r="K51" s="458">
        <v>11033574.689999999</v>
      </c>
      <c r="L51" s="458">
        <v>1293176.52</v>
      </c>
      <c r="M51" s="458">
        <v>1500471</v>
      </c>
      <c r="N51" s="458">
        <v>732375.88</v>
      </c>
      <c r="O51" s="458">
        <v>977597.05</v>
      </c>
      <c r="P51" s="458">
        <v>805119.83</v>
      </c>
      <c r="Q51" s="458">
        <v>1443057.19</v>
      </c>
      <c r="R51" s="459">
        <v>2879299.06</v>
      </c>
      <c r="S51" s="425">
        <f>+SUM(G51:R51)</f>
        <v>26185594.789999999</v>
      </c>
      <c r="T51" s="468">
        <f t="shared" si="3"/>
        <v>0.53644715116874597</v>
      </c>
      <c r="U51" s="481"/>
    </row>
    <row r="52" spans="1:21" ht="13.5" thickBot="1">
      <c r="A52" s="70">
        <v>1005</v>
      </c>
      <c r="B52" s="569" t="str">
        <f>+VLOOKUP($A52,Master!$D$29:$G$227,4,FALSE)</f>
        <v>Neto povećanje obaveza</v>
      </c>
      <c r="C52" s="570"/>
      <c r="D52" s="570"/>
      <c r="E52" s="570"/>
      <c r="F52" s="570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69">
        <f t="shared" si="3"/>
        <v>0</v>
      </c>
      <c r="U52" s="482"/>
    </row>
    <row r="53" spans="1:21" ht="13.5" thickBot="1">
      <c r="A53" s="144">
        <v>1000</v>
      </c>
      <c r="B53" s="529" t="str">
        <f>+VLOOKUP($A53,Master!$D$29:$G$225,4,FALSE)</f>
        <v>Suficit / deficit</v>
      </c>
      <c r="C53" s="530"/>
      <c r="D53" s="530"/>
      <c r="E53" s="530"/>
      <c r="F53" s="530"/>
      <c r="G53" s="151">
        <f t="shared" ref="G53:R53" si="9">+G10-G29</f>
        <v>-38751674.929999992</v>
      </c>
      <c r="H53" s="151">
        <f t="shared" si="9"/>
        <v>-54221110.310000017</v>
      </c>
      <c r="I53" s="151">
        <f t="shared" si="9"/>
        <v>-10252757.430000007</v>
      </c>
      <c r="J53" s="151">
        <f t="shared" si="9"/>
        <v>-40135059.879999995</v>
      </c>
      <c r="K53" s="151">
        <f t="shared" si="9"/>
        <v>-19547177.669999987</v>
      </c>
      <c r="L53" s="151">
        <f t="shared" si="9"/>
        <v>3011570.1600000262</v>
      </c>
      <c r="M53" s="151">
        <f t="shared" si="9"/>
        <v>40532365.199999988</v>
      </c>
      <c r="N53" s="151">
        <f t="shared" si="9"/>
        <v>60862718.929999992</v>
      </c>
      <c r="O53" s="151">
        <f t="shared" si="9"/>
        <v>-6769565.7300000191</v>
      </c>
      <c r="P53" s="151">
        <f t="shared" si="9"/>
        <v>2782732.3500000238</v>
      </c>
      <c r="Q53" s="151">
        <f t="shared" si="9"/>
        <v>-13577897.639999986</v>
      </c>
      <c r="R53" s="151">
        <f t="shared" si="9"/>
        <v>-24135819.5</v>
      </c>
      <c r="S53" s="248">
        <f t="shared" si="4"/>
        <v>-100201676.44999997</v>
      </c>
      <c r="T53" s="470">
        <f t="shared" si="3"/>
        <v>-2.0527661985536634</v>
      </c>
    </row>
    <row r="54" spans="1:21" ht="13.5" thickBot="1">
      <c r="A54" s="144">
        <v>1001</v>
      </c>
      <c r="B54" s="531" t="str">
        <f>+VLOOKUP($A54,Master!$D$29:$G$225,4,FALSE)</f>
        <v>Primarni suficit/deficit</v>
      </c>
      <c r="C54" s="532"/>
      <c r="D54" s="532"/>
      <c r="E54" s="532"/>
      <c r="F54" s="532"/>
      <c r="G54" s="205">
        <f t="shared" ref="G54:R54" si="10">+G53+G36</f>
        <v>-31174189.859999992</v>
      </c>
      <c r="H54" s="205">
        <f t="shared" si="10"/>
        <v>-52256919.930000015</v>
      </c>
      <c r="I54" s="205">
        <f t="shared" si="10"/>
        <v>4535225.1399999931</v>
      </c>
      <c r="J54" s="205">
        <f t="shared" si="10"/>
        <v>-17366547.919999994</v>
      </c>
      <c r="K54" s="205">
        <f t="shared" si="10"/>
        <v>-12846876.829999987</v>
      </c>
      <c r="L54" s="205">
        <f t="shared" si="10"/>
        <v>8301624.5900000259</v>
      </c>
      <c r="M54" s="205">
        <f t="shared" si="10"/>
        <v>45069136.419999987</v>
      </c>
      <c r="N54" s="205">
        <f t="shared" si="10"/>
        <v>62519192.749999993</v>
      </c>
      <c r="O54" s="205">
        <f t="shared" si="10"/>
        <v>7481482.0899999812</v>
      </c>
      <c r="P54" s="205">
        <f t="shared" si="10"/>
        <v>4040647.5000000237</v>
      </c>
      <c r="Q54" s="205">
        <f t="shared" si="10"/>
        <v>-7005325.1399999857</v>
      </c>
      <c r="R54" s="205">
        <f t="shared" si="10"/>
        <v>2559776.9200000018</v>
      </c>
      <c r="S54" s="248">
        <f t="shared" si="4"/>
        <v>13857225.730000056</v>
      </c>
      <c r="T54" s="470">
        <f t="shared" si="3"/>
        <v>0.28388391883309888</v>
      </c>
    </row>
    <row r="55" spans="1:21">
      <c r="A55" s="144">
        <v>46</v>
      </c>
      <c r="B55" s="553" t="str">
        <f>+VLOOKUP($A55,Master!$D$29:$G$225,4,FALSE)</f>
        <v>Otplata dugova</v>
      </c>
      <c r="C55" s="554"/>
      <c r="D55" s="554"/>
      <c r="E55" s="554"/>
      <c r="F55" s="554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12976050.960000001</v>
      </c>
      <c r="O55" s="193">
        <f t="shared" si="11"/>
        <v>11336186.489999998</v>
      </c>
      <c r="P55" s="193">
        <f t="shared" si="11"/>
        <v>7558722.7800000003</v>
      </c>
      <c r="Q55" s="193">
        <f t="shared" si="11"/>
        <v>17747948.740000002</v>
      </c>
      <c r="R55" s="193">
        <f t="shared" si="11"/>
        <v>12061111.439999999</v>
      </c>
      <c r="S55" s="249">
        <f t="shared" si="4"/>
        <v>437597431.75</v>
      </c>
      <c r="T55" s="471">
        <f t="shared" si="3"/>
        <v>8.9647723301169773</v>
      </c>
    </row>
    <row r="56" spans="1:21">
      <c r="A56" s="144">
        <v>4611</v>
      </c>
      <c r="B56" s="549" t="str">
        <f>+VLOOKUP($A56,Master!$D$29:$G$225,4,FALSE)</f>
        <v>Otplata hartija od vrijednosti i kredita rezidentima</v>
      </c>
      <c r="C56" s="550"/>
      <c r="D56" s="550"/>
      <c r="E56" s="550"/>
      <c r="F56" s="550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1750047.75</v>
      </c>
      <c r="O56" s="211">
        <v>2421267.87</v>
      </c>
      <c r="P56" s="211">
        <v>3875503.62</v>
      </c>
      <c r="Q56" s="211">
        <v>8560164.7799999993</v>
      </c>
      <c r="R56" s="211">
        <v>2536618.6</v>
      </c>
      <c r="S56" s="250">
        <f t="shared" si="4"/>
        <v>85309098.780000001</v>
      </c>
      <c r="T56" s="472">
        <f t="shared" si="3"/>
        <v>1.7476717018007497</v>
      </c>
    </row>
    <row r="57" spans="1:21" ht="13.5" thickBot="1">
      <c r="A57" s="144">
        <v>4612</v>
      </c>
      <c r="B57" s="525" t="str">
        <f>+VLOOKUP($A57,Master!$D$29:$G$225,4,FALSE)</f>
        <v>Otplata hartija od vrijednosti i kredita nerezidentima</v>
      </c>
      <c r="C57" s="526"/>
      <c r="D57" s="526"/>
      <c r="E57" s="526"/>
      <c r="F57" s="526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11226003.210000001</v>
      </c>
      <c r="O57" s="211">
        <v>8914918.6199999992</v>
      </c>
      <c r="P57" s="211">
        <v>3683219.16</v>
      </c>
      <c r="Q57" s="211">
        <v>9187783.9600000009</v>
      </c>
      <c r="R57" s="211">
        <v>9524492.8399999999</v>
      </c>
      <c r="S57" s="250">
        <f t="shared" si="4"/>
        <v>352288332.96999997</v>
      </c>
      <c r="T57" s="472">
        <f t="shared" si="3"/>
        <v>7.2171006283162269</v>
      </c>
    </row>
    <row r="58" spans="1:21" ht="13.5" thickBot="1">
      <c r="A58" s="144">
        <v>4418</v>
      </c>
      <c r="B58" s="517" t="str">
        <f>+VLOOKUP($A58,Master!$D$29:$G$225,4,FALSE)</f>
        <v>Izdaci za kupovinu hartija od vrijednosti</v>
      </c>
      <c r="C58" s="518"/>
      <c r="D58" s="518"/>
      <c r="E58" s="518"/>
      <c r="F58" s="518"/>
      <c r="G58" s="460">
        <v>0</v>
      </c>
      <c r="H58" s="460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0</v>
      </c>
      <c r="P58" s="460">
        <v>506343.98</v>
      </c>
      <c r="Q58" s="460">
        <v>0</v>
      </c>
      <c r="R58" s="461">
        <v>0</v>
      </c>
      <c r="S58" s="249">
        <f>SUM(G58:R58)</f>
        <v>506343.98</v>
      </c>
      <c r="T58" s="473">
        <f t="shared" si="3"/>
        <v>1.0373137893593919E-2</v>
      </c>
    </row>
    <row r="59" spans="1:21" ht="13.5" thickBot="1">
      <c r="A59" s="144">
        <v>1002</v>
      </c>
      <c r="B59" s="551" t="str">
        <f>+VLOOKUP($A59,Master!$D$29:$G$225,4,FALSE)</f>
        <v>Nedostajuća sredstva</v>
      </c>
      <c r="C59" s="552"/>
      <c r="D59" s="552"/>
      <c r="E59" s="552"/>
      <c r="F59" s="552"/>
      <c r="G59" s="217">
        <f>+G53-G55-G58</f>
        <v>-62082443.749999993</v>
      </c>
      <c r="H59" s="217">
        <f t="shared" ref="H59:R59" si="12">+H53-H55-H58</f>
        <v>-78476131.660000026</v>
      </c>
      <c r="I59" s="217">
        <f t="shared" si="12"/>
        <v>-249036528.67000002</v>
      </c>
      <c r="J59" s="217">
        <f t="shared" si="12"/>
        <v>-72988523.139999986</v>
      </c>
      <c r="K59" s="217">
        <f t="shared" si="12"/>
        <v>-35830005.589999989</v>
      </c>
      <c r="L59" s="217">
        <f t="shared" si="12"/>
        <v>-12041313.439999975</v>
      </c>
      <c r="M59" s="217">
        <f t="shared" si="12"/>
        <v>15173690.049999986</v>
      </c>
      <c r="N59" s="217">
        <f t="shared" si="12"/>
        <v>47886667.969999991</v>
      </c>
      <c r="O59" s="217">
        <f t="shared" si="12"/>
        <v>-18105752.220000017</v>
      </c>
      <c r="P59" s="217">
        <f t="shared" si="12"/>
        <v>-5282334.4099999759</v>
      </c>
      <c r="Q59" s="217">
        <f t="shared" si="12"/>
        <v>-31325846.379999988</v>
      </c>
      <c r="R59" s="217">
        <f t="shared" si="12"/>
        <v>-36196930.939999998</v>
      </c>
      <c r="S59" s="251">
        <f t="shared" si="4"/>
        <v>-538305452.18000007</v>
      </c>
      <c r="T59" s="474">
        <f t="shared" si="3"/>
        <v>-11.027911666564236</v>
      </c>
    </row>
    <row r="60" spans="1:21" ht="13.5" thickBot="1">
      <c r="A60" s="144">
        <v>1003</v>
      </c>
      <c r="B60" s="515" t="str">
        <f>+VLOOKUP($A60,Master!$D$29:$G$225,4,FALSE)</f>
        <v>Finansiranje</v>
      </c>
      <c r="C60" s="516"/>
      <c r="D60" s="516"/>
      <c r="E60" s="516"/>
      <c r="F60" s="516"/>
      <c r="G60" s="151">
        <f>+SUM(G61:G64)</f>
        <v>62082443.749999993</v>
      </c>
      <c r="H60" s="151">
        <f t="shared" ref="H60:R60" si="13">+SUM(H61:H64)</f>
        <v>78476131.660000026</v>
      </c>
      <c r="I60" s="151">
        <f t="shared" si="13"/>
        <v>249036528.67000002</v>
      </c>
      <c r="J60" s="151">
        <f t="shared" si="13"/>
        <v>72988523.139999986</v>
      </c>
      <c r="K60" s="151">
        <f t="shared" si="13"/>
        <v>35830005.589999989</v>
      </c>
      <c r="L60" s="151">
        <f t="shared" si="13"/>
        <v>12041313.439999975</v>
      </c>
      <c r="M60" s="151">
        <f t="shared" si="13"/>
        <v>-15173690.049999986</v>
      </c>
      <c r="N60" s="151">
        <f t="shared" si="13"/>
        <v>-47886667.969999991</v>
      </c>
      <c r="O60" s="151">
        <f t="shared" si="13"/>
        <v>18105752.220000017</v>
      </c>
      <c r="P60" s="151">
        <f t="shared" si="13"/>
        <v>5282334.4099999759</v>
      </c>
      <c r="Q60" s="151">
        <f t="shared" si="13"/>
        <v>31325846.379999988</v>
      </c>
      <c r="R60" s="151">
        <f t="shared" si="13"/>
        <v>36196930.939999998</v>
      </c>
      <c r="S60" s="252">
        <f t="shared" si="4"/>
        <v>538305452.18000007</v>
      </c>
      <c r="T60" s="475">
        <f t="shared" si="3"/>
        <v>11.027911666564236</v>
      </c>
    </row>
    <row r="61" spans="1:21">
      <c r="A61" s="144">
        <v>7511</v>
      </c>
      <c r="B61" s="549" t="str">
        <f>+VLOOKUP($A61,Master!$D$29:$G$225,4,FALSE)</f>
        <v>Pozajmice i krediti od domaćih izvora</v>
      </c>
      <c r="C61" s="550"/>
      <c r="D61" s="550"/>
      <c r="E61" s="550"/>
      <c r="F61" s="550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8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2">
        <f t="shared" si="3"/>
        <v>0</v>
      </c>
    </row>
    <row r="62" spans="1:21">
      <c r="A62" s="144">
        <v>7512</v>
      </c>
      <c r="B62" s="525" t="str">
        <f>+VLOOKUP($A62,Master!$D$29:$G$225,4,FALSE)</f>
        <v>Pozajmice i krediti od inostranih izvora</v>
      </c>
      <c r="C62" s="526"/>
      <c r="D62" s="526"/>
      <c r="E62" s="526"/>
      <c r="F62" s="526"/>
      <c r="G62" s="211">
        <v>8076079.9500000002</v>
      </c>
      <c r="H62" s="211">
        <v>4169340.21</v>
      </c>
      <c r="I62" s="211">
        <v>1856107.06</v>
      </c>
      <c r="J62" s="211">
        <v>15210844.41</v>
      </c>
      <c r="K62" s="211">
        <v>3053139.49</v>
      </c>
      <c r="L62" s="211">
        <v>34345894.609999999</v>
      </c>
      <c r="M62" s="488">
        <v>5377316.7300000004</v>
      </c>
      <c r="N62" s="211">
        <v>5769169.6600000001</v>
      </c>
      <c r="O62" s="211">
        <v>7472230.3099999996</v>
      </c>
      <c r="P62" s="211">
        <v>7427156.0800000001</v>
      </c>
      <c r="Q62" s="211">
        <v>11624768.539999999</v>
      </c>
      <c r="R62" s="211">
        <v>1658229.03</v>
      </c>
      <c r="S62" s="250">
        <f t="shared" si="4"/>
        <v>106040276.08000001</v>
      </c>
      <c r="T62" s="472">
        <f t="shared" si="3"/>
        <v>2.1723777698563911</v>
      </c>
    </row>
    <row r="63" spans="1:21">
      <c r="A63" s="144">
        <v>72</v>
      </c>
      <c r="B63" s="525" t="str">
        <f>+VLOOKUP($A63,Master!$D$29:$G$225,4,FALSE)</f>
        <v>Primici od prodaje imovine</v>
      </c>
      <c r="C63" s="526"/>
      <c r="D63" s="526"/>
      <c r="E63" s="526"/>
      <c r="F63" s="526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8">
        <v>183425.54</v>
      </c>
      <c r="N63" s="211">
        <v>207661.26</v>
      </c>
      <c r="O63" s="211">
        <v>176272.14</v>
      </c>
      <c r="P63" s="211">
        <v>306257.21000000002</v>
      </c>
      <c r="Q63" s="211">
        <v>104172.28</v>
      </c>
      <c r="R63" s="211">
        <v>2806225.74</v>
      </c>
      <c r="S63" s="250">
        <f t="shared" si="4"/>
        <v>4453578.24</v>
      </c>
      <c r="T63" s="472">
        <f t="shared" si="3"/>
        <v>9.1237544096859455E-2</v>
      </c>
    </row>
    <row r="64" spans="1:21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53971615.18999999</v>
      </c>
      <c r="H64" s="225">
        <f t="shared" ref="H64:R64" si="14">-H59-SUM(H61:H63)</f>
        <v>74277223.12000002</v>
      </c>
      <c r="I64" s="225">
        <f t="shared" si="14"/>
        <v>247128257.22000003</v>
      </c>
      <c r="J64" s="225">
        <f t="shared" si="14"/>
        <v>57738426.759999983</v>
      </c>
      <c r="K64" s="225">
        <f t="shared" si="14"/>
        <v>32479714.52999999</v>
      </c>
      <c r="L64" s="225">
        <f t="shared" si="14"/>
        <v>-22521260.370000027</v>
      </c>
      <c r="M64" s="225">
        <f t="shared" si="14"/>
        <v>-20734432.319999985</v>
      </c>
      <c r="N64" s="225">
        <f t="shared" si="14"/>
        <v>-53863498.889999993</v>
      </c>
      <c r="O64" s="225">
        <f t="shared" si="14"/>
        <v>10457249.770000018</v>
      </c>
      <c r="P64" s="225">
        <f t="shared" si="14"/>
        <v>-2451078.8800000241</v>
      </c>
      <c r="Q64" s="225">
        <f t="shared" si="14"/>
        <v>19596905.559999987</v>
      </c>
      <c r="R64" s="225">
        <f t="shared" si="14"/>
        <v>31732476.169999998</v>
      </c>
      <c r="S64" s="253">
        <f>+SUM(G64:R64)</f>
        <v>427811597.86000007</v>
      </c>
      <c r="T64" s="476">
        <f t="shared" si="3"/>
        <v>8.7642963526109874</v>
      </c>
    </row>
    <row r="65" spans="7:18">
      <c r="R65" s="312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77" t="str">
        <f>+Master!G252</f>
        <v>Plan ostvarenja budžeta</v>
      </c>
      <c r="C81" s="578"/>
      <c r="D81" s="578"/>
      <c r="E81" s="578"/>
      <c r="F81" s="578"/>
      <c r="G81" s="562">
        <v>2021</v>
      </c>
      <c r="H81" s="563"/>
      <c r="I81" s="563"/>
      <c r="J81" s="563"/>
      <c r="K81" s="563"/>
      <c r="L81" s="563"/>
      <c r="M81" s="563"/>
      <c r="N81" s="563"/>
      <c r="O81" s="563"/>
      <c r="P81" s="563"/>
      <c r="Q81" s="563"/>
      <c r="R81" s="564"/>
      <c r="S81" s="107" t="str">
        <f>+S7</f>
        <v>BDP</v>
      </c>
      <c r="T81" s="108">
        <v>4636600000</v>
      </c>
    </row>
    <row r="82" spans="1:21" ht="15.75" customHeight="1">
      <c r="B82" s="579"/>
      <c r="C82" s="580"/>
      <c r="D82" s="580"/>
      <c r="E82" s="580"/>
      <c r="F82" s="581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562" t="str">
        <f>+Master!G246</f>
        <v>Jan - Dec</v>
      </c>
      <c r="T82" s="564">
        <f>+T8</f>
        <v>0</v>
      </c>
    </row>
    <row r="83" spans="1:21" ht="13.5" thickBot="1">
      <c r="B83" s="582"/>
      <c r="C83" s="583"/>
      <c r="D83" s="583"/>
      <c r="E83" s="583"/>
      <c r="F83" s="584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15" si="17">+CONCATENATE(A10,"p")</f>
        <v>7p</v>
      </c>
      <c r="B84" s="571" t="str">
        <f>+VLOOKUP(LEFT($A84,LEN(A84)-1)*1,Master!$D$29:$G$225,4,FALSE)</f>
        <v>Prihodi budžeta</v>
      </c>
      <c r="C84" s="572"/>
      <c r="D84" s="572"/>
      <c r="E84" s="572"/>
      <c r="F84" s="572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3">
        <f>+SUM(G84:R84)</f>
        <v>1880205845.3399</v>
      </c>
      <c r="T84" s="477">
        <f>+S84/$T$81*100</f>
        <v>40.551392083421042</v>
      </c>
      <c r="U84" s="257"/>
    </row>
    <row r="85" spans="1:21">
      <c r="A85" s="116" t="str">
        <f t="shared" si="17"/>
        <v>711p</v>
      </c>
      <c r="B85" s="573" t="str">
        <f>+VLOOKUP(LEFT($A85,LEN(A85)-1)*1,Master!$D$29:$G$225,4,FALSE)</f>
        <v>Porezi</v>
      </c>
      <c r="C85" s="574"/>
      <c r="D85" s="574"/>
      <c r="E85" s="574"/>
      <c r="F85" s="574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3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75" t="str">
        <f>+VLOOKUP(LEFT($A86,LEN(A86)-1)*1,Master!$D$29:$G$228,4,FALSE)</f>
        <v>Porez na dohodak fizičkih lica</v>
      </c>
      <c r="C86" s="576"/>
      <c r="D86" s="576"/>
      <c r="E86" s="576"/>
      <c r="F86" s="576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4">
        <f t="shared" si="21"/>
        <v>3.342095146967782</v>
      </c>
    </row>
    <row r="87" spans="1:21">
      <c r="A87" s="116" t="str">
        <f t="shared" si="17"/>
        <v>7112p</v>
      </c>
      <c r="B87" s="575" t="str">
        <f>+VLOOKUP(LEFT($A87,LEN(A87)-1)*1,Master!$D$29:$G$228,4,FALSE)</f>
        <v>Porez na dobit pravnih lica</v>
      </c>
      <c r="C87" s="576"/>
      <c r="D87" s="576"/>
      <c r="E87" s="576"/>
      <c r="F87" s="576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4">
        <f t="shared" si="21"/>
        <v>1.2943922881014109</v>
      </c>
    </row>
    <row r="88" spans="1:21">
      <c r="A88" s="116" t="str">
        <f t="shared" si="17"/>
        <v>7113p</v>
      </c>
      <c r="B88" s="575" t="str">
        <f>+VLOOKUP(LEFT($A88,LEN(A88)-1)*1,Master!$D$29:$G$228,4,FALSE)</f>
        <v>Porez na promet nepokretnosti</v>
      </c>
      <c r="C88" s="576"/>
      <c r="D88" s="576"/>
      <c r="E88" s="576"/>
      <c r="F88" s="576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4">
        <f t="shared" si="21"/>
        <v>3.4703770606910232E-2</v>
      </c>
    </row>
    <row r="89" spans="1:21">
      <c r="A89" s="116" t="str">
        <f t="shared" si="17"/>
        <v>7114p</v>
      </c>
      <c r="B89" s="575" t="str">
        <f>+VLOOKUP(LEFT($A89,LEN(A89)-1)*1,Master!$D$29:$G$228,4,FALSE)</f>
        <v>Porez na dodatu vrijednost</v>
      </c>
      <c r="C89" s="576"/>
      <c r="D89" s="576"/>
      <c r="E89" s="576"/>
      <c r="F89" s="576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4">
        <f t="shared" si="21"/>
        <v>13.195240452948015</v>
      </c>
    </row>
    <row r="90" spans="1:21">
      <c r="A90" s="116" t="str">
        <f t="shared" si="17"/>
        <v>7115p</v>
      </c>
      <c r="B90" s="575" t="str">
        <f>+VLOOKUP(LEFT($A90,LEN(A90)-1)*1,Master!$D$29:$G$228,4,FALSE)</f>
        <v>Akcize</v>
      </c>
      <c r="C90" s="576"/>
      <c r="D90" s="576"/>
      <c r="E90" s="576"/>
      <c r="F90" s="576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4">
        <f t="shared" si="21"/>
        <v>5.1970907056571622</v>
      </c>
    </row>
    <row r="91" spans="1:21">
      <c r="A91" s="116" t="str">
        <f t="shared" si="17"/>
        <v>7116p</v>
      </c>
      <c r="B91" s="575" t="str">
        <f>+VLOOKUP(LEFT($A91,LEN(A91)-1)*1,Master!$D$29:$G$228,4,FALSE)</f>
        <v>Porez na međunarodnu trgovinu i transakcije</v>
      </c>
      <c r="C91" s="576"/>
      <c r="D91" s="576"/>
      <c r="E91" s="576"/>
      <c r="F91" s="576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4">
        <f t="shared" si="21"/>
        <v>0.53454626393521121</v>
      </c>
    </row>
    <row r="92" spans="1:21">
      <c r="A92" s="116" t="str">
        <f t="shared" si="17"/>
        <v>7118p</v>
      </c>
      <c r="B92" s="575" t="str">
        <f>+VLOOKUP(LEFT($A92,LEN(A92)-1)*1,Master!$D$29:$G$228,4,FALSE)</f>
        <v>Ostali državni porezi</v>
      </c>
      <c r="C92" s="576"/>
      <c r="D92" s="576"/>
      <c r="E92" s="576"/>
      <c r="F92" s="576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4">
        <f t="shared" si="21"/>
        <v>0.23596029916404263</v>
      </c>
    </row>
    <row r="93" spans="1:21">
      <c r="A93" s="116" t="str">
        <f t="shared" si="17"/>
        <v>712p</v>
      </c>
      <c r="B93" s="587" t="str">
        <f>+VLOOKUP(LEFT($A93,LEN(A93)-1)*1,Master!$D$29:$G$228,4,FALSE)</f>
        <v>Doprinosi</v>
      </c>
      <c r="C93" s="588"/>
      <c r="D93" s="588"/>
      <c r="E93" s="588"/>
      <c r="F93" s="588"/>
      <c r="G93" s="81">
        <f>+SUM(G94:G97)</f>
        <v>16292817.308185648</v>
      </c>
      <c r="H93" s="81">
        <f t="shared" ref="H93:R93" si="22">+SUM(H94:H97)</f>
        <v>41389656.549846224</v>
      </c>
      <c r="I93" s="480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5">
        <f t="shared" si="21"/>
        <v>12.548878564749469</v>
      </c>
    </row>
    <row r="94" spans="1:21">
      <c r="A94" s="116" t="str">
        <f t="shared" si="17"/>
        <v>7121p</v>
      </c>
      <c r="B94" s="575" t="str">
        <f>+VLOOKUP(LEFT($A94,LEN(A94)-1)*1,Master!$D$29:$G$228,4,FALSE)</f>
        <v>Doprinosi za penzijsko i invalidsko osiguranje</v>
      </c>
      <c r="C94" s="576"/>
      <c r="D94" s="576"/>
      <c r="E94" s="576"/>
      <c r="F94" s="576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4">
        <f t="shared" si="21"/>
        <v>7.8081986886007</v>
      </c>
    </row>
    <row r="95" spans="1:21">
      <c r="A95" s="116" t="str">
        <f t="shared" si="17"/>
        <v>7122p</v>
      </c>
      <c r="B95" s="575" t="str">
        <f>+VLOOKUP(LEFT($A95,LEN(A95)-1)*1,Master!$D$29:$G$228,4,FALSE)</f>
        <v>Doprinosi za zdravstveno osiguranje</v>
      </c>
      <c r="C95" s="576"/>
      <c r="D95" s="576"/>
      <c r="E95" s="576"/>
      <c r="F95" s="576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4">
        <f t="shared" si="21"/>
        <v>4.0418037813006764</v>
      </c>
    </row>
    <row r="96" spans="1:21">
      <c r="A96" s="116" t="str">
        <f t="shared" si="17"/>
        <v>7123p</v>
      </c>
      <c r="B96" s="575" t="str">
        <f>+VLOOKUP(LEFT($A96,LEN(A96)-1)*1,Master!$D$29:$G$228,4,FALSE)</f>
        <v>Doprinosi za osiguranje od nezaposlenosti</v>
      </c>
      <c r="C96" s="576"/>
      <c r="D96" s="576"/>
      <c r="E96" s="576"/>
      <c r="F96" s="576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4">
        <f t="shared" si="21"/>
        <v>0.37739904074144265</v>
      </c>
    </row>
    <row r="97" spans="1:23">
      <c r="A97" s="116" t="str">
        <f t="shared" si="17"/>
        <v>7124p</v>
      </c>
      <c r="B97" s="575" t="str">
        <f>+VLOOKUP(LEFT($A97,LEN(A97)-1)*1,Master!$D$29:$G$228,4,FALSE)</f>
        <v>Ostali doprinosi</v>
      </c>
      <c r="C97" s="576"/>
      <c r="D97" s="576"/>
      <c r="E97" s="576"/>
      <c r="F97" s="576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4">
        <f t="shared" si="21"/>
        <v>0.32147705410665273</v>
      </c>
    </row>
    <row r="98" spans="1:23">
      <c r="A98" s="116" t="str">
        <f t="shared" si="17"/>
        <v>713p</v>
      </c>
      <c r="B98" s="585" t="str">
        <f>+VLOOKUP(LEFT($A98,LEN(A98)-1)*1,Master!$D$29:$G$228,4,FALSE)</f>
        <v>Takse</v>
      </c>
      <c r="C98" s="586"/>
      <c r="D98" s="586"/>
      <c r="E98" s="586"/>
      <c r="F98" s="586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5">
        <f t="shared" si="21"/>
        <v>0.27557339372126122</v>
      </c>
    </row>
    <row r="99" spans="1:23">
      <c r="A99" s="116" t="str">
        <f t="shared" si="17"/>
        <v>714p</v>
      </c>
      <c r="B99" s="585" t="str">
        <f>+VLOOKUP(LEFT($A99,LEN(A99)-1)*1,Master!$D$29:$G$228,4,FALSE)</f>
        <v>Naknade</v>
      </c>
      <c r="C99" s="586"/>
      <c r="D99" s="586"/>
      <c r="E99" s="586"/>
      <c r="F99" s="586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5">
        <f t="shared" si="21"/>
        <v>0.87442029964197865</v>
      </c>
    </row>
    <row r="100" spans="1:23">
      <c r="A100" s="116" t="str">
        <f t="shared" si="17"/>
        <v>715p</v>
      </c>
      <c r="B100" s="585" t="str">
        <f>+VLOOKUP(LEFT($A100,LEN(A100)-1)*1,Master!$D$29:$G$228,4,FALSE)</f>
        <v>Ostali prihodi</v>
      </c>
      <c r="C100" s="586"/>
      <c r="D100" s="586"/>
      <c r="E100" s="586"/>
      <c r="F100" s="586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5">
        <f t="shared" si="21"/>
        <v>1.4196769637950202</v>
      </c>
    </row>
    <row r="101" spans="1:23">
      <c r="A101" s="116" t="str">
        <f t="shared" si="17"/>
        <v>73p</v>
      </c>
      <c r="B101" s="585" t="str">
        <f>+VLOOKUP(LEFT($A101,LEN(A101)-1)*1,Master!$D$29:$G$228,4,FALSE)</f>
        <v>Primici od otplate kredita i sredstva prenesena iz prethodne godine</v>
      </c>
      <c r="C101" s="586"/>
      <c r="D101" s="586"/>
      <c r="E101" s="586"/>
      <c r="F101" s="586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5">
        <f t="shared" si="21"/>
        <v>0.19907921041280252</v>
      </c>
    </row>
    <row r="102" spans="1:23" ht="13.5" thickBot="1">
      <c r="A102" s="116" t="str">
        <f t="shared" si="17"/>
        <v>74p</v>
      </c>
      <c r="B102" s="589" t="str">
        <f>+VLOOKUP(LEFT($A102,LEN(A102)-1)*1,Master!$D$29:$G$228,4,FALSE)</f>
        <v>Donacije i transferi</v>
      </c>
      <c r="C102" s="590"/>
      <c r="D102" s="590"/>
      <c r="E102" s="590"/>
      <c r="F102" s="590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6">
        <f t="shared" si="21"/>
        <v>1.3997347237199673</v>
      </c>
    </row>
    <row r="103" spans="1:23" ht="13.5" thickBot="1">
      <c r="A103" s="116" t="str">
        <f t="shared" si="17"/>
        <v>4p</v>
      </c>
      <c r="B103" s="591" t="str">
        <f>+VLOOKUP(LEFT($A103,LEN(A103)-1)*1,Master!$D$29:$G$228,4,FALSE)</f>
        <v>Izdaci budžeta</v>
      </c>
      <c r="C103" s="592"/>
      <c r="D103" s="592"/>
      <c r="E103" s="592"/>
      <c r="F103" s="592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1">
        <f>+SUM(G103:R103)</f>
        <v>2055535193.0642829</v>
      </c>
      <c r="T103" s="478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593" t="str">
        <f>+VLOOKUP(LEFT($A104,LEN(A104)-1)*1,Master!$D$29:$G$228,4,FALSE)</f>
        <v>Tekući izdaci</v>
      </c>
      <c r="C104" s="594"/>
      <c r="D104" s="594"/>
      <c r="E104" s="594"/>
      <c r="F104" s="594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3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75" t="str">
        <f>+VLOOKUP(LEFT($A105,LEN(A105)-1)*1,Master!$D$29:$G$228,4,FALSE)</f>
        <v>Bruto zarade i doprinosi na teret poslodavca</v>
      </c>
      <c r="C105" s="576"/>
      <c r="D105" s="576"/>
      <c r="E105" s="576"/>
      <c r="F105" s="576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4">
        <f t="shared" si="21"/>
        <v>11.278641018850019</v>
      </c>
    </row>
    <row r="106" spans="1:23">
      <c r="A106" s="116" t="str">
        <f t="shared" si="17"/>
        <v>412p</v>
      </c>
      <c r="B106" s="575" t="str">
        <f>+VLOOKUP(LEFT($A106,LEN(A106)-1)*1,Master!$D$29:$G$228,4,FALSE)</f>
        <v>Ostala lična primanja</v>
      </c>
      <c r="C106" s="576"/>
      <c r="D106" s="576"/>
      <c r="E106" s="576"/>
      <c r="F106" s="576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4">
        <f t="shared" si="21"/>
        <v>0.26959439934434715</v>
      </c>
    </row>
    <row r="107" spans="1:23">
      <c r="A107" s="116" t="str">
        <f t="shared" si="17"/>
        <v>413p</v>
      </c>
      <c r="B107" s="575" t="str">
        <f>+VLOOKUP(LEFT($A107,LEN(A107)-1)*1,Master!$D$29:$G$228,4,FALSE)</f>
        <v>Rashodi za materijal</v>
      </c>
      <c r="C107" s="576"/>
      <c r="D107" s="576"/>
      <c r="E107" s="576"/>
      <c r="F107" s="576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4">
        <f t="shared" si="21"/>
        <v>0.6893019837812191</v>
      </c>
    </row>
    <row r="108" spans="1:23">
      <c r="A108" s="116" t="str">
        <f t="shared" si="17"/>
        <v>414p</v>
      </c>
      <c r="B108" s="575" t="str">
        <f>+VLOOKUP(LEFT($A108,LEN(A108)-1)*1,Master!$D$29:$G$228,4,FALSE)</f>
        <v>Rashodi za usluge</v>
      </c>
      <c r="C108" s="576"/>
      <c r="D108" s="576"/>
      <c r="E108" s="576"/>
      <c r="F108" s="576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4">
        <f t="shared" si="21"/>
        <v>1.3532731210369666</v>
      </c>
    </row>
    <row r="109" spans="1:23">
      <c r="A109" s="116" t="str">
        <f t="shared" si="17"/>
        <v>415p</v>
      </c>
      <c r="B109" s="575" t="str">
        <f>+VLOOKUP(LEFT($A109,LEN(A109)-1)*1,Master!$D$29:$G$228,4,FALSE)</f>
        <v>Rashodi za tekuće održavanje</v>
      </c>
      <c r="C109" s="576"/>
      <c r="D109" s="576"/>
      <c r="E109" s="576"/>
      <c r="F109" s="576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4">
        <f t="shared" si="21"/>
        <v>0.50341789889142918</v>
      </c>
    </row>
    <row r="110" spans="1:23">
      <c r="A110" s="116" t="str">
        <f t="shared" si="17"/>
        <v>416p</v>
      </c>
      <c r="B110" s="575" t="str">
        <f>+VLOOKUP(LEFT($A110,LEN(A110)-1)*1,Master!$D$29:$G$228,4,FALSE)</f>
        <v>Kamate</v>
      </c>
      <c r="C110" s="576"/>
      <c r="D110" s="576"/>
      <c r="E110" s="576"/>
      <c r="F110" s="576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4">
        <f t="shared" si="21"/>
        <v>2.4387566176569671</v>
      </c>
    </row>
    <row r="111" spans="1:23">
      <c r="A111" s="116" t="str">
        <f t="shared" si="17"/>
        <v>417p</v>
      </c>
      <c r="B111" s="575" t="str">
        <f>+VLOOKUP(LEFT($A111,LEN(A111)-1)*1,Master!$D$29:$G$228,4,FALSE)</f>
        <v>Renta</v>
      </c>
      <c r="C111" s="576"/>
      <c r="D111" s="576"/>
      <c r="E111" s="576"/>
      <c r="F111" s="576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4">
        <f t="shared" si="21"/>
        <v>0.23455438597247985</v>
      </c>
    </row>
    <row r="112" spans="1:23">
      <c r="A112" s="116" t="str">
        <f t="shared" si="17"/>
        <v>418p</v>
      </c>
      <c r="B112" s="575" t="str">
        <f>+VLOOKUP(LEFT($A112,LEN(A112)-1)*1,Master!$D$29:$G$228,4,FALSE)</f>
        <v>Subvencije</v>
      </c>
      <c r="C112" s="576"/>
      <c r="D112" s="576"/>
      <c r="E112" s="576"/>
      <c r="F112" s="576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4">
        <f t="shared" si="21"/>
        <v>1.095014621489885</v>
      </c>
    </row>
    <row r="113" spans="1:22">
      <c r="A113" s="116" t="str">
        <f t="shared" si="17"/>
        <v>419p</v>
      </c>
      <c r="B113" s="575" t="str">
        <f>+VLOOKUP(LEFT($A113,LEN(A113)-1)*1,Master!$D$29:$G$228,4,FALSE)</f>
        <v>Ostali izdaci</v>
      </c>
      <c r="C113" s="576"/>
      <c r="D113" s="576"/>
      <c r="E113" s="576"/>
      <c r="F113" s="576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4">
        <f t="shared" si="21"/>
        <v>0.97937629944355764</v>
      </c>
    </row>
    <row r="114" spans="1:22">
      <c r="A114" s="116" t="str">
        <f t="shared" si="17"/>
        <v>42p</v>
      </c>
      <c r="B114" s="599" t="str">
        <f>+VLOOKUP(LEFT($A114,LEN(A114)-1)*1,Master!$D$29:$G$228,4,FALSE)</f>
        <v>Transferi za socijalnu zaštitu</v>
      </c>
      <c r="C114" s="600"/>
      <c r="D114" s="600"/>
      <c r="E114" s="600"/>
      <c r="F114" s="600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5">
        <f t="shared" si="21"/>
        <v>12.924380405253846</v>
      </c>
    </row>
    <row r="115" spans="1:22">
      <c r="A115" s="116" t="str">
        <f t="shared" si="17"/>
        <v>421p</v>
      </c>
      <c r="B115" s="575" t="str">
        <f>+VLOOKUP(LEFT($A115,LEN(A115)-1)*1,Master!$D$29:$G$228,4,FALSE)</f>
        <v>Prava iz oblasti socijalne zaštite</v>
      </c>
      <c r="C115" s="576"/>
      <c r="D115" s="576"/>
      <c r="E115" s="576"/>
      <c r="F115" s="576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4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75" t="str">
        <f>+VLOOKUP(LEFT($A116,LEN(A116)-1)*1,Master!$D$29:$G$228,4,FALSE)</f>
        <v>Sredstva za tehnološke viškove</v>
      </c>
      <c r="C116" s="576"/>
      <c r="D116" s="576"/>
      <c r="E116" s="576"/>
      <c r="F116" s="576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4">
        <f t="shared" si="21"/>
        <v>0.40028421558900928</v>
      </c>
    </row>
    <row r="117" spans="1:22">
      <c r="A117" s="116" t="str">
        <f t="shared" si="26"/>
        <v>423p</v>
      </c>
      <c r="B117" s="575" t="str">
        <f>+VLOOKUP(LEFT($A117,LEN(A117)-1)*1,Master!$D$29:$G$228,4,FALSE)</f>
        <v>Prava iz oblasti penzijskog i invalidskog osiguranja</v>
      </c>
      <c r="C117" s="576"/>
      <c r="D117" s="576"/>
      <c r="E117" s="576"/>
      <c r="F117" s="576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4">
        <f t="shared" si="21"/>
        <v>9.6073360637104752</v>
      </c>
    </row>
    <row r="118" spans="1:22">
      <c r="A118" s="116" t="str">
        <f t="shared" si="26"/>
        <v>424p</v>
      </c>
      <c r="B118" s="575" t="str">
        <f>+VLOOKUP(LEFT($A118,LEN(A118)-1)*1,Master!$D$29:$G$228,4,FALSE)</f>
        <v>Ostala prava iz oblasti zdravstvene zaštite</v>
      </c>
      <c r="C118" s="576"/>
      <c r="D118" s="576"/>
      <c r="E118" s="576"/>
      <c r="F118" s="576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4">
        <f t="shared" si="21"/>
        <v>0.32998317732821458</v>
      </c>
    </row>
    <row r="119" spans="1:22">
      <c r="A119" s="116" t="str">
        <f t="shared" si="26"/>
        <v>425p</v>
      </c>
      <c r="B119" s="575" t="str">
        <f>+VLOOKUP(LEFT($A119,LEN(A119)-1)*1,Master!$D$29:$G$228,4,FALSE)</f>
        <v>Ostala prava iz zdravstvenog osiguranja</v>
      </c>
      <c r="C119" s="576"/>
      <c r="D119" s="576"/>
      <c r="E119" s="576"/>
      <c r="F119" s="576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4">
        <f t="shared" si="21"/>
        <v>0.24802657119440971</v>
      </c>
    </row>
    <row r="120" spans="1:22">
      <c r="A120" s="116" t="str">
        <f t="shared" si="26"/>
        <v>43p</v>
      </c>
      <c r="B120" s="595" t="str">
        <f>+VLOOKUP(LEFT($A120,LEN(A120)-1)*1,Master!$D$29:$G$228,4,FALSE)</f>
        <v xml:space="preserve">Transferi institucijama, pojedincima, nevladinom i javnom sektoru </v>
      </c>
      <c r="C120" s="596"/>
      <c r="D120" s="596"/>
      <c r="E120" s="596"/>
      <c r="F120" s="596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5">
        <f t="shared" si="21"/>
        <v>5.6085441784928598</v>
      </c>
    </row>
    <row r="121" spans="1:22">
      <c r="A121" s="116" t="str">
        <f t="shared" si="26"/>
        <v>44p</v>
      </c>
      <c r="B121" s="595" t="str">
        <f>+VLOOKUP(LEFT($A121,LEN(A121)-1)*1,Master!$D$29:$G$228,4,FALSE)</f>
        <v>Kapitalni izdaci</v>
      </c>
      <c r="C121" s="596"/>
      <c r="D121" s="596"/>
      <c r="E121" s="596"/>
      <c r="F121" s="596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5">
        <f t="shared" si="21"/>
        <v>5.0803331212526421</v>
      </c>
    </row>
    <row r="122" spans="1:22">
      <c r="A122" s="116" t="str">
        <f t="shared" si="26"/>
        <v>451p</v>
      </c>
      <c r="B122" s="597" t="str">
        <f>+VLOOKUP(LEFT($A122,LEN(A122)-1)*1,Master!$D$29:$G$228,4,FALSE)</f>
        <v>Pozajmice i krediti</v>
      </c>
      <c r="C122" s="598"/>
      <c r="D122" s="598"/>
      <c r="E122" s="598"/>
      <c r="F122" s="598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4">
        <f t="shared" si="21"/>
        <v>3.3515959970668155E-2</v>
      </c>
    </row>
    <row r="123" spans="1:22">
      <c r="A123" s="116" t="str">
        <f t="shared" si="26"/>
        <v>47p</v>
      </c>
      <c r="B123" s="597" t="str">
        <f>+VLOOKUP(LEFT($A123,LEN(A123)-1)*1,Master!$D$29:$G$228,4,FALSE)</f>
        <v>Rezerve</v>
      </c>
      <c r="C123" s="598"/>
      <c r="D123" s="598"/>
      <c r="E123" s="598"/>
      <c r="F123" s="598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4">
        <f t="shared" si="21"/>
        <v>1.535889466419359</v>
      </c>
    </row>
    <row r="124" spans="1:22">
      <c r="A124" s="116" t="str">
        <f t="shared" si="26"/>
        <v>462p</v>
      </c>
      <c r="B124" s="597" t="str">
        <f>+VLOOKUP(LEFT($A124,LEN(A124)-1)*1,Master!$D$29:$G$228,4,FALSE)</f>
        <v>Otplata garancija</v>
      </c>
      <c r="C124" s="598"/>
      <c r="D124" s="598"/>
      <c r="E124" s="598"/>
      <c r="F124" s="598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4">
        <f t="shared" si="21"/>
        <v>8.3250657809601863E-2</v>
      </c>
    </row>
    <row r="125" spans="1:22">
      <c r="A125" s="117" t="str">
        <f t="shared" si="26"/>
        <v>4630p</v>
      </c>
      <c r="B125" s="597" t="str">
        <f>+VLOOKUP(LEFT($A125,LEN(A125)-1)*1,Master!$D$29:$G$228,4,FALSE)</f>
        <v>Otplata obaveza iz prethodnog perioda</v>
      </c>
      <c r="C125" s="598"/>
      <c r="D125" s="598"/>
      <c r="E125" s="598"/>
      <c r="F125" s="598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2">
        <f t="shared" si="21"/>
        <v>0.22496855174049943</v>
      </c>
      <c r="V125" s="257"/>
    </row>
    <row r="126" spans="1:22" ht="13.5" thickBot="1">
      <c r="A126" s="116" t="str">
        <f t="shared" si="26"/>
        <v>1005p</v>
      </c>
      <c r="B126" s="597" t="str">
        <f>+VLOOKUP(LEFT($A126,LEN(A126)-1)*1,Master!$D$29:$G$228,4,FALSE)</f>
        <v>Neto povećanje obaveza</v>
      </c>
      <c r="C126" s="598"/>
      <c r="D126" s="598"/>
      <c r="E126" s="598"/>
      <c r="F126" s="598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9">
        <f t="shared" si="21"/>
        <v>0</v>
      </c>
    </row>
    <row r="127" spans="1:22" ht="13.5" thickBot="1">
      <c r="A127" s="117" t="str">
        <f t="shared" si="26"/>
        <v>1000p</v>
      </c>
      <c r="B127" s="605" t="str">
        <f>+VLOOKUP(LEFT($A127,LEN(A127)-1)*1,Master!$D$29:$G$225,4,FALSE)</f>
        <v>Suficit / deficit</v>
      </c>
      <c r="C127" s="606"/>
      <c r="D127" s="606"/>
      <c r="E127" s="606"/>
      <c r="F127" s="606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70">
        <f t="shared" si="21"/>
        <v>-3.781420603985318</v>
      </c>
      <c r="U127" s="257"/>
    </row>
    <row r="128" spans="1:22" ht="13.5" thickBot="1">
      <c r="A128" s="117" t="str">
        <f t="shared" si="26"/>
        <v>1001p</v>
      </c>
      <c r="B128" s="607" t="str">
        <f>+VLOOKUP(LEFT($A128,LEN(A128)-1)*1,Master!$D$29:$G$225,4,FALSE)</f>
        <v>Primarni suficit/deficit</v>
      </c>
      <c r="C128" s="608"/>
      <c r="D128" s="608"/>
      <c r="E128" s="608"/>
      <c r="F128" s="608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70">
        <f t="shared" si="21"/>
        <v>-1.3426639863283505</v>
      </c>
    </row>
    <row r="129" spans="1:22">
      <c r="A129" s="117" t="str">
        <f t="shared" si="26"/>
        <v>46p</v>
      </c>
      <c r="B129" s="599" t="str">
        <f>+VLOOKUP(LEFT($A129,LEN(A129)-1)*1,Master!$D$29:$G$225,4,FALSE)</f>
        <v>Otplata dugova</v>
      </c>
      <c r="C129" s="600"/>
      <c r="D129" s="600"/>
      <c r="E129" s="600"/>
      <c r="F129" s="600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6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1">
        <f t="shared" si="21"/>
        <v>9.4014988176105767</v>
      </c>
    </row>
    <row r="130" spans="1:22">
      <c r="A130" s="117" t="str">
        <f t="shared" si="26"/>
        <v>4611p</v>
      </c>
      <c r="B130" s="603" t="str">
        <f>+VLOOKUP(LEFT($A130,LEN(A130)-1)*1,Master!$D$29:$G$225,4,FALSE)</f>
        <v>Otplata hartija od vrijednosti i kredita rezidentima</v>
      </c>
      <c r="C130" s="604"/>
      <c r="D130" s="604"/>
      <c r="E130" s="604"/>
      <c r="F130" s="604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5">
        <v>294018.01</v>
      </c>
      <c r="N130" s="485">
        <v>1750047.75</v>
      </c>
      <c r="O130" s="485">
        <v>2421267.87</v>
      </c>
      <c r="P130" s="485">
        <v>3875503.62</v>
      </c>
      <c r="Q130" s="485">
        <v>3741551.76</v>
      </c>
      <c r="R130" s="485">
        <v>2536618.6</v>
      </c>
      <c r="S130" s="103">
        <f t="shared" si="20"/>
        <v>85893831.950000018</v>
      </c>
      <c r="T130" s="472">
        <f t="shared" si="21"/>
        <v>1.8525176195919428</v>
      </c>
    </row>
    <row r="131" spans="1:22" ht="13.5" thickBot="1">
      <c r="A131" s="117" t="str">
        <f t="shared" si="26"/>
        <v>4612p</v>
      </c>
      <c r="B131" s="597" t="str">
        <f>+VLOOKUP(LEFT($A131,LEN(A131)-1)*1,Master!$D$29:$G$225,4,FALSE)</f>
        <v>Otplata hartija od vrijednosti i kredita nerezidentima</v>
      </c>
      <c r="C131" s="598"/>
      <c r="D131" s="598"/>
      <c r="E131" s="598"/>
      <c r="F131" s="598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5">
        <v>25464619.924741425</v>
      </c>
      <c r="N131" s="485">
        <v>3126864.3779565003</v>
      </c>
      <c r="O131" s="485">
        <v>11497770.422649164</v>
      </c>
      <c r="P131" s="485">
        <v>3625120.5096505</v>
      </c>
      <c r="Q131" s="485">
        <v>4121213.775667767</v>
      </c>
      <c r="R131" s="485">
        <v>4218746.7266666656</v>
      </c>
      <c r="S131" s="103">
        <f t="shared" si="20"/>
        <v>350016062.22733206</v>
      </c>
      <c r="T131" s="472">
        <f t="shared" si="21"/>
        <v>7.5489811980186357</v>
      </c>
      <c r="V131" s="257"/>
    </row>
    <row r="132" spans="1:22" ht="13.5" thickBot="1">
      <c r="A132" s="117" t="str">
        <f t="shared" si="26"/>
        <v>4418p</v>
      </c>
      <c r="B132" s="591" t="str">
        <f>+VLOOKUP(LEFT($A132,LEN(A132)-1)*1,Master!$D$29:$G$225,4,FALSE)</f>
        <v>Izdaci za kupovinu hartija od vrijednosti</v>
      </c>
      <c r="C132" s="592"/>
      <c r="D132" s="592"/>
      <c r="E132" s="592"/>
      <c r="F132" s="592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49">
        <f t="shared" si="20"/>
        <v>590000</v>
      </c>
      <c r="T132" s="479">
        <f t="shared" si="21"/>
        <v>1.2724841478669716E-2</v>
      </c>
    </row>
    <row r="133" spans="1:22" ht="13.5" thickBot="1">
      <c r="A133" s="117" t="str">
        <f t="shared" si="26"/>
        <v>1002p</v>
      </c>
      <c r="B133" s="601" t="str">
        <f>+VLOOKUP(LEFT($A133,LEN(A133)-1)*1,Master!$D$29:$G$225,4,FALSE)</f>
        <v>Nedostajuća sredstva</v>
      </c>
      <c r="C133" s="602"/>
      <c r="D133" s="602"/>
      <c r="E133" s="602"/>
      <c r="F133" s="602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4">
        <f t="shared" si="21"/>
        <v>-13.195644263074563</v>
      </c>
    </row>
    <row r="134" spans="1:22" ht="13.5" thickBot="1">
      <c r="A134" s="117" t="str">
        <f t="shared" si="26"/>
        <v>1003p</v>
      </c>
      <c r="B134" s="591" t="str">
        <f>+VLOOKUP(LEFT($A134,LEN(A134)-1)*1,Master!$D$29:$G$225,4,FALSE)</f>
        <v>Finansiranje</v>
      </c>
      <c r="C134" s="592"/>
      <c r="D134" s="592"/>
      <c r="E134" s="592"/>
      <c r="F134" s="592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5">
        <f t="shared" si="21"/>
        <v>13.195644263074563</v>
      </c>
    </row>
    <row r="135" spans="1:22">
      <c r="A135" s="117" t="str">
        <f t="shared" si="26"/>
        <v>7511p</v>
      </c>
      <c r="B135" s="603" t="str">
        <f>+VLOOKUP(LEFT($A135,LEN(A135)-1)*1,Master!$D$29:$G$225,4,FALSE)</f>
        <v>Pozajmice i krediti od domaćih izvora</v>
      </c>
      <c r="C135" s="604"/>
      <c r="D135" s="604"/>
      <c r="E135" s="604"/>
      <c r="F135" s="604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2">
        <f t="shared" si="21"/>
        <v>0</v>
      </c>
    </row>
    <row r="136" spans="1:22">
      <c r="A136" s="117" t="str">
        <f t="shared" si="26"/>
        <v>7512p</v>
      </c>
      <c r="B136" s="597" t="str">
        <f>+VLOOKUP(LEFT($A136,LEN(A136)-1)*1,Master!$D$29:$G$225,4,FALSE)</f>
        <v>Pozajmice i krediti od inostranih izvora</v>
      </c>
      <c r="C136" s="598"/>
      <c r="D136" s="598"/>
      <c r="E136" s="598"/>
      <c r="F136" s="598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2">
        <f t="shared" si="21"/>
        <v>3.5586421084415303</v>
      </c>
    </row>
    <row r="137" spans="1:22">
      <c r="A137" s="117" t="str">
        <f t="shared" si="26"/>
        <v>72p</v>
      </c>
      <c r="B137" s="597" t="str">
        <f>+VLOOKUP(LEFT($A137,LEN(A137)-1)*1,Master!$D$29:$G$225,4,FALSE)</f>
        <v>Primici od prodaje imovine</v>
      </c>
      <c r="C137" s="598"/>
      <c r="D137" s="598"/>
      <c r="E137" s="598"/>
      <c r="F137" s="598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2">
        <f t="shared" si="21"/>
        <v>0.12940516757969203</v>
      </c>
    </row>
    <row r="138" spans="1:22" ht="13.5" thickBot="1">
      <c r="A138" s="117" t="str">
        <f t="shared" si="26"/>
        <v>1004p</v>
      </c>
      <c r="B138" s="98" t="str">
        <f>+VLOOKUP(LEFT($A138,LEN(A138)-1)*1,Master!$D$29:$G$225,4,FALSE)</f>
        <v>Povećanje / smanjenje depozita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6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7"/>
    </row>
    <row r="145" spans="19:19">
      <c r="S145" s="311"/>
    </row>
    <row r="146" spans="19:19">
      <c r="S146" s="311"/>
    </row>
  </sheetData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57"/>
  <sheetViews>
    <sheetView zoomScaleNormal="100" workbookViewId="0">
      <pane ySplit="1" topLeftCell="A38" activePane="bottomLeft" state="frozen"/>
      <selection pane="bottomLeft" activeCell="I53" sqref="I5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2"/>
    </row>
    <row r="5" spans="1:20" s="1" customFormat="1" ht="26.25" customHeight="1">
      <c r="A5" s="231"/>
      <c r="B5" s="126"/>
      <c r="C5" s="126"/>
      <c r="D5" s="126"/>
      <c r="E5" s="500">
        <f>+SUM(G10:I10)</f>
        <v>375366881.69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777</v>
      </c>
      <c r="H6" s="234" t="s">
        <v>778</v>
      </c>
      <c r="I6" s="234" t="s">
        <v>779</v>
      </c>
      <c r="J6" s="234" t="s">
        <v>780</v>
      </c>
      <c r="K6" s="234" t="s">
        <v>781</v>
      </c>
      <c r="L6" s="234" t="s">
        <v>782</v>
      </c>
      <c r="M6" s="234" t="s">
        <v>783</v>
      </c>
      <c r="N6" s="234" t="s">
        <v>784</v>
      </c>
      <c r="O6" s="234" t="s">
        <v>785</v>
      </c>
      <c r="P6" s="234" t="s">
        <v>786</v>
      </c>
      <c r="Q6" s="234" t="s">
        <v>787</v>
      </c>
      <c r="R6" s="234" t="s">
        <v>788</v>
      </c>
      <c r="S6" s="233"/>
      <c r="T6" s="233"/>
    </row>
    <row r="7" spans="1:20" ht="15" customHeight="1" thickBot="1">
      <c r="A7" s="144"/>
      <c r="B7" s="555" t="str">
        <f>+Master!G251</f>
        <v>Ostvarenje budžeta</v>
      </c>
      <c r="C7" s="536"/>
      <c r="D7" s="536"/>
      <c r="E7" s="536"/>
      <c r="F7" s="536"/>
      <c r="G7" s="544">
        <v>2020</v>
      </c>
      <c r="H7" s="545"/>
      <c r="I7" s="545"/>
      <c r="J7" s="545"/>
      <c r="K7" s="545"/>
      <c r="L7" s="545"/>
      <c r="M7" s="545"/>
      <c r="N7" s="545"/>
      <c r="O7" s="545"/>
      <c r="P7" s="545"/>
      <c r="Q7" s="545"/>
      <c r="R7" s="548"/>
      <c r="S7" s="235" t="str">
        <f>+Master!G248</f>
        <v>BDP</v>
      </c>
      <c r="T7" s="236">
        <v>4185600000</v>
      </c>
    </row>
    <row r="8" spans="1:20" ht="16.5" customHeight="1">
      <c r="A8" s="144"/>
      <c r="B8" s="537"/>
      <c r="C8" s="538"/>
      <c r="D8" s="538"/>
      <c r="E8" s="538"/>
      <c r="F8" s="539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44" t="str">
        <f>+Master!G246</f>
        <v>Jan - Dec</v>
      </c>
      <c r="T8" s="548"/>
    </row>
    <row r="9" spans="1:20" ht="13.5" thickBot="1">
      <c r="A9" s="144"/>
      <c r="B9" s="540"/>
      <c r="C9" s="541"/>
      <c r="D9" s="541"/>
      <c r="E9" s="541"/>
      <c r="F9" s="542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03" t="str">
        <f>+VLOOKUP($A10,Master!$D$29:$G$225,4,FALSE)</f>
        <v>Prihodi budžeta</v>
      </c>
      <c r="C10" s="504"/>
      <c r="D10" s="504"/>
      <c r="E10" s="504"/>
      <c r="F10" s="504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4">
        <f>+S10/$T$7*100</f>
        <v>39.146813852016443</v>
      </c>
    </row>
    <row r="11" spans="1:20">
      <c r="A11" s="150">
        <v>711</v>
      </c>
      <c r="B11" s="505" t="str">
        <f>+VLOOKUP($A11,Master!$D$29:$G$225,4,FALSE)</f>
        <v>Porezi</v>
      </c>
      <c r="C11" s="506"/>
      <c r="D11" s="506"/>
      <c r="E11" s="506"/>
      <c r="F11" s="506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5">
        <f t="shared" ref="T11:T64" si="4">+S11/$T$7*100</f>
        <v>23.081609190558101</v>
      </c>
    </row>
    <row r="12" spans="1:20">
      <c r="A12" s="150">
        <v>7111</v>
      </c>
      <c r="B12" s="507" t="str">
        <f>+VLOOKUP($A12,Master!$D$29:$G$225,4,FALSE)</f>
        <v>Porez na dohodak fizičkih lica</v>
      </c>
      <c r="C12" s="508"/>
      <c r="D12" s="508"/>
      <c r="E12" s="508"/>
      <c r="F12" s="508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6">
        <f t="shared" si="4"/>
        <v>2.827361163990826</v>
      </c>
    </row>
    <row r="13" spans="1:20">
      <c r="A13" s="150">
        <v>7112</v>
      </c>
      <c r="B13" s="507" t="str">
        <f>+VLOOKUP($A13,Master!$D$29:$G$225,4,FALSE)</f>
        <v>Porez na dobit pravnih lica</v>
      </c>
      <c r="C13" s="508"/>
      <c r="D13" s="508"/>
      <c r="E13" s="508"/>
      <c r="F13" s="508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6">
        <f t="shared" si="4"/>
        <v>1.8736944908734712</v>
      </c>
    </row>
    <row r="14" spans="1:20">
      <c r="A14" s="150">
        <v>7113</v>
      </c>
      <c r="B14" s="507" t="str">
        <f>+VLOOKUP($A14,Master!$D$29:$G$225,4,FALSE)</f>
        <v>Porez na promet nepokretnosti</v>
      </c>
      <c r="C14" s="508"/>
      <c r="D14" s="508"/>
      <c r="E14" s="508"/>
      <c r="F14" s="508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6">
        <f t="shared" si="4"/>
        <v>3.6875256116207955E-2</v>
      </c>
    </row>
    <row r="15" spans="1:20">
      <c r="A15" s="150">
        <v>7114</v>
      </c>
      <c r="B15" s="507" t="str">
        <f>+VLOOKUP($A15,Master!$D$29:$G$225,4,FALSE)</f>
        <v>Porez na dodatu vrijednost</v>
      </c>
      <c r="C15" s="508"/>
      <c r="D15" s="508"/>
      <c r="E15" s="508"/>
      <c r="F15" s="508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6">
        <f t="shared" si="4"/>
        <v>12.657215500525613</v>
      </c>
    </row>
    <row r="16" spans="1:20">
      <c r="A16" s="150">
        <v>7115</v>
      </c>
      <c r="B16" s="507" t="str">
        <f>+VLOOKUP($A16,Master!$D$29:$G$225,4,FALSE)</f>
        <v>Akcize</v>
      </c>
      <c r="C16" s="508"/>
      <c r="D16" s="508"/>
      <c r="E16" s="508"/>
      <c r="F16" s="508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6">
        <f t="shared" si="4"/>
        <v>4.9071243733276004</v>
      </c>
    </row>
    <row r="17" spans="1:25">
      <c r="A17" s="150">
        <v>7116</v>
      </c>
      <c r="B17" s="507" t="str">
        <f>+VLOOKUP($A17,Master!$D$29:$G$225,4,FALSE)</f>
        <v>Porez na međunarodnu trgovinu i transakcije</v>
      </c>
      <c r="C17" s="508"/>
      <c r="D17" s="508"/>
      <c r="E17" s="508"/>
      <c r="F17" s="508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6">
        <f t="shared" si="4"/>
        <v>0.5408522474675076</v>
      </c>
    </row>
    <row r="18" spans="1:25">
      <c r="A18" s="150">
        <v>7118</v>
      </c>
      <c r="B18" s="507" t="str">
        <f>+VLOOKUP($A18,Master!$D$29:$G$225,4,FALSE)</f>
        <v>Ostali državni porezi</v>
      </c>
      <c r="C18" s="508"/>
      <c r="D18" s="508"/>
      <c r="E18" s="508"/>
      <c r="F18" s="508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6">
        <f t="shared" si="4"/>
        <v>0.23848615825688071</v>
      </c>
    </row>
    <row r="19" spans="1:25">
      <c r="A19" s="150">
        <v>712</v>
      </c>
      <c r="B19" s="511" t="str">
        <f>+VLOOKUP($A19,Master!$D$29:$G$225,4,FALSE)</f>
        <v>Doprinosi</v>
      </c>
      <c r="C19" s="512"/>
      <c r="D19" s="512"/>
      <c r="E19" s="512"/>
      <c r="F19" s="512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7">
        <f t="shared" si="4"/>
        <v>12.686844691083715</v>
      </c>
    </row>
    <row r="20" spans="1:25">
      <c r="A20" s="150">
        <v>7121</v>
      </c>
      <c r="B20" s="507" t="str">
        <f>+VLOOKUP($A20,Master!$D$29:$G$225,4,FALSE)</f>
        <v>Doprinosi za penzijsko i invalidsko osiguranje</v>
      </c>
      <c r="C20" s="508"/>
      <c r="D20" s="508"/>
      <c r="E20" s="508"/>
      <c r="F20" s="508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6">
        <f t="shared" si="4"/>
        <v>7.9034619619648323</v>
      </c>
    </row>
    <row r="21" spans="1:25">
      <c r="A21" s="150">
        <v>7122</v>
      </c>
      <c r="B21" s="507" t="str">
        <f>+VLOOKUP($A21,Master!$D$29:$G$225,4,FALSE)</f>
        <v>Doprinosi za zdravstveno osiguranje</v>
      </c>
      <c r="C21" s="508"/>
      <c r="D21" s="508"/>
      <c r="E21" s="508"/>
      <c r="F21" s="508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6">
        <f t="shared" si="4"/>
        <v>4.0988543831230881</v>
      </c>
    </row>
    <row r="22" spans="1:25">
      <c r="A22" s="150">
        <v>7123</v>
      </c>
      <c r="B22" s="507" t="str">
        <f>+VLOOKUP($A22,Master!$D$29:$G$225,4,FALSE)</f>
        <v>Doprinosi za osiguranje od nezaposlenosti</v>
      </c>
      <c r="C22" s="508"/>
      <c r="D22" s="508"/>
      <c r="E22" s="508"/>
      <c r="F22" s="508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6">
        <f t="shared" si="4"/>
        <v>0.3683970890672783</v>
      </c>
    </row>
    <row r="23" spans="1:25">
      <c r="A23" s="150">
        <v>7124</v>
      </c>
      <c r="B23" s="507" t="str">
        <f>+VLOOKUP($A23,Master!$D$29:$G$225,4,FALSE)</f>
        <v>Ostali doprinosi</v>
      </c>
      <c r="C23" s="508"/>
      <c r="D23" s="508"/>
      <c r="E23" s="508"/>
      <c r="F23" s="508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6">
        <f t="shared" si="4"/>
        <v>0.31613125692851679</v>
      </c>
      <c r="Y23" s="305"/>
    </row>
    <row r="24" spans="1:25">
      <c r="A24" s="150">
        <v>713</v>
      </c>
      <c r="B24" s="509" t="str">
        <f>+VLOOKUP($A24,Master!$D$29:$G$225,4,FALSE)</f>
        <v>Takse</v>
      </c>
      <c r="C24" s="510"/>
      <c r="D24" s="510"/>
      <c r="E24" s="510"/>
      <c r="F24" s="510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7">
        <f t="shared" si="4"/>
        <v>0.25411990754013764</v>
      </c>
      <c r="Y24" s="305"/>
    </row>
    <row r="25" spans="1:25">
      <c r="A25" s="150">
        <v>714</v>
      </c>
      <c r="B25" s="509" t="str">
        <f>+VLOOKUP($A25,Master!$D$29:$G$225,4,FALSE)</f>
        <v>Naknade</v>
      </c>
      <c r="C25" s="510"/>
      <c r="D25" s="510"/>
      <c r="E25" s="510"/>
      <c r="F25" s="510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7">
        <f t="shared" si="4"/>
        <v>0.66463075926987769</v>
      </c>
      <c r="W25" s="292"/>
    </row>
    <row r="26" spans="1:25">
      <c r="A26" s="150">
        <v>715</v>
      </c>
      <c r="B26" s="509" t="str">
        <f>+VLOOKUP($A26,Master!$D$29:$G$225,4,FALSE)</f>
        <v>Ostali prihodi</v>
      </c>
      <c r="C26" s="510"/>
      <c r="D26" s="510"/>
      <c r="E26" s="510"/>
      <c r="F26" s="510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7">
        <f t="shared" si="4"/>
        <v>0.89869098313264495</v>
      </c>
      <c r="W26" s="311"/>
    </row>
    <row r="27" spans="1:25">
      <c r="A27" s="150">
        <v>73</v>
      </c>
      <c r="B27" s="509" t="str">
        <f>+VLOOKUP($A27,Master!$D$29:$G$225,4,FALSE)</f>
        <v>Primici od otplate kredita i sredstva prenesena iz prethodne godine</v>
      </c>
      <c r="C27" s="510"/>
      <c r="D27" s="510"/>
      <c r="E27" s="510"/>
      <c r="F27" s="510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7">
        <f t="shared" si="4"/>
        <v>0.17715297090022936</v>
      </c>
    </row>
    <row r="28" spans="1:25" ht="13.5" thickBot="1">
      <c r="A28" s="150">
        <v>74</v>
      </c>
      <c r="B28" s="513" t="str">
        <f>+VLOOKUP($A28,Master!$D$29:$G$225,4,FALSE)</f>
        <v>Donacije i transferi</v>
      </c>
      <c r="C28" s="514"/>
      <c r="D28" s="514"/>
      <c r="E28" s="514"/>
      <c r="F28" s="514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8">
        <f t="shared" si="4"/>
        <v>1.3837653495317279</v>
      </c>
    </row>
    <row r="29" spans="1:25" ht="13.5" thickBot="1">
      <c r="A29" s="150">
        <v>4</v>
      </c>
      <c r="B29" s="515" t="str">
        <f>+VLOOKUP($A29,Master!$D$29:$G$225,4,FALSE)</f>
        <v>Izdaci budžeta</v>
      </c>
      <c r="C29" s="516"/>
      <c r="D29" s="516"/>
      <c r="E29" s="516"/>
      <c r="F29" s="516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39">
        <f t="shared" si="4"/>
        <v>49.328204113627663</v>
      </c>
    </row>
    <row r="30" spans="1:25">
      <c r="A30" s="150">
        <v>41</v>
      </c>
      <c r="B30" s="519" t="str">
        <f>+VLOOKUP($A30,Master!$D$29:$G$225,4,FALSE)</f>
        <v>Tekući izdaci</v>
      </c>
      <c r="C30" s="520"/>
      <c r="D30" s="520"/>
      <c r="E30" s="520"/>
      <c r="F30" s="520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4">
        <f t="shared" si="3"/>
        <v>858015865.80999994</v>
      </c>
      <c r="T30" s="435">
        <f t="shared" si="4"/>
        <v>20.499232268014143</v>
      </c>
    </row>
    <row r="31" spans="1:25">
      <c r="A31" s="150">
        <v>411</v>
      </c>
      <c r="B31" s="507" t="str">
        <f>+VLOOKUP($A31,Master!$D$29:$G$225,4,FALSE)</f>
        <v>Bruto zarade i doprinosi na teret poslodavca</v>
      </c>
      <c r="C31" s="508"/>
      <c r="D31" s="508"/>
      <c r="E31" s="508"/>
      <c r="F31" s="508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6">
        <f t="shared" si="4"/>
        <v>11.92533854405581</v>
      </c>
    </row>
    <row r="32" spans="1:25">
      <c r="A32" s="150">
        <v>412</v>
      </c>
      <c r="B32" s="507" t="str">
        <f>+VLOOKUP($A32,Master!$D$29:$G$225,4,FALSE)</f>
        <v>Ostala lična primanja</v>
      </c>
      <c r="C32" s="508"/>
      <c r="D32" s="508"/>
      <c r="E32" s="508"/>
      <c r="F32" s="508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6">
        <f t="shared" si="4"/>
        <v>0.30866892512423549</v>
      </c>
    </row>
    <row r="33" spans="1:23">
      <c r="A33" s="150">
        <v>413</v>
      </c>
      <c r="B33" s="507" t="str">
        <f>+VLOOKUP($A33,Master!$D$29:$G$225,4,FALSE)</f>
        <v>Rashodi za materijal</v>
      </c>
      <c r="C33" s="508"/>
      <c r="D33" s="508"/>
      <c r="E33" s="508"/>
      <c r="F33" s="508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6">
        <f t="shared" si="4"/>
        <v>0.95395377293577988</v>
      </c>
      <c r="V33" s="291"/>
    </row>
    <row r="34" spans="1:23" s="361" customFormat="1">
      <c r="A34" s="360">
        <v>414</v>
      </c>
      <c r="B34" s="556" t="str">
        <f>+VLOOKUP($A34,Master!$D$29:$G$225,4,FALSE)</f>
        <v>Rashodi za usluge</v>
      </c>
      <c r="C34" s="557"/>
      <c r="D34" s="557"/>
      <c r="E34" s="557"/>
      <c r="F34" s="557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6">
        <f t="shared" si="4"/>
        <v>1.7738425862480884</v>
      </c>
      <c r="U34" s="258"/>
    </row>
    <row r="35" spans="1:23">
      <c r="A35" s="150">
        <v>415</v>
      </c>
      <c r="B35" s="507" t="str">
        <f>+VLOOKUP($A35,Master!$D$29:$G$225,4,FALSE)</f>
        <v>Rashodi za tekuće održavanje</v>
      </c>
      <c r="C35" s="508"/>
      <c r="D35" s="508"/>
      <c r="E35" s="508"/>
      <c r="F35" s="508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6">
        <f t="shared" si="4"/>
        <v>0.58208342388188083</v>
      </c>
    </row>
    <row r="36" spans="1:23">
      <c r="A36" s="150">
        <v>416</v>
      </c>
      <c r="B36" s="507" t="str">
        <f>+VLOOKUP($A36,Master!$D$29:$G$225,4,FALSE)</f>
        <v>Kamate</v>
      </c>
      <c r="C36" s="508"/>
      <c r="D36" s="508"/>
      <c r="E36" s="508"/>
      <c r="F36" s="508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6">
        <f t="shared" si="4"/>
        <v>2.6545515183008415</v>
      </c>
    </row>
    <row r="37" spans="1:23">
      <c r="A37" s="150">
        <v>417</v>
      </c>
      <c r="B37" s="507" t="str">
        <f>+VLOOKUP($A37,Master!$D$29:$G$225,4,FALSE)</f>
        <v>Renta</v>
      </c>
      <c r="C37" s="508"/>
      <c r="D37" s="508"/>
      <c r="E37" s="508"/>
      <c r="F37" s="508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6">
        <f t="shared" si="4"/>
        <v>0.27163620030581043</v>
      </c>
    </row>
    <row r="38" spans="1:23">
      <c r="A38" s="150">
        <v>418</v>
      </c>
      <c r="B38" s="507" t="str">
        <f>+VLOOKUP($A38,Master!$D$29:$G$225,4,FALSE)</f>
        <v>Subvencije</v>
      </c>
      <c r="C38" s="508"/>
      <c r="D38" s="508"/>
      <c r="E38" s="508"/>
      <c r="F38" s="508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6">
        <f t="shared" si="4"/>
        <v>0.86783859709480116</v>
      </c>
    </row>
    <row r="39" spans="1:23" s="361" customFormat="1">
      <c r="A39" s="360">
        <v>419</v>
      </c>
      <c r="B39" s="556" t="str">
        <f>+VLOOKUP($A39,Master!$D$29:$G$225,4,FALSE)</f>
        <v>Ostali izdaci</v>
      </c>
      <c r="C39" s="557"/>
      <c r="D39" s="557"/>
      <c r="E39" s="557"/>
      <c r="F39" s="557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6">
        <f t="shared" si="4"/>
        <v>1.1613187000668961</v>
      </c>
      <c r="U39" s="258"/>
    </row>
    <row r="40" spans="1:23">
      <c r="A40" s="150">
        <v>42</v>
      </c>
      <c r="B40" s="523" t="str">
        <f>+VLOOKUP($A40,Master!$D$29:$G$225,4,FALSE)</f>
        <v>Transferi za socijalnu zaštitu</v>
      </c>
      <c r="C40" s="524"/>
      <c r="D40" s="524"/>
      <c r="E40" s="524"/>
      <c r="F40" s="524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7">
        <f t="shared" si="4"/>
        <v>13.347643551701072</v>
      </c>
      <c r="U40" s="242"/>
      <c r="W40" s="309"/>
    </row>
    <row r="41" spans="1:23">
      <c r="A41" s="150">
        <v>421</v>
      </c>
      <c r="B41" s="507" t="str">
        <f>+VLOOKUP($A41,Master!$D$29:$G$225,4,FALSE)</f>
        <v>Prava iz oblasti socijalne zaštite</v>
      </c>
      <c r="C41" s="508"/>
      <c r="D41" s="508"/>
      <c r="E41" s="508"/>
      <c r="F41" s="508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6">
        <f t="shared" si="4"/>
        <v>1.9227658534021408</v>
      </c>
      <c r="U41" s="242"/>
    </row>
    <row r="42" spans="1:23">
      <c r="A42" s="150">
        <v>422</v>
      </c>
      <c r="B42" s="507" t="str">
        <f>+VLOOKUP($A42,Master!$D$29:$G$225,4,FALSE)</f>
        <v>Sredstva za tehnološke viškove</v>
      </c>
      <c r="C42" s="508"/>
      <c r="D42" s="508"/>
      <c r="E42" s="508"/>
      <c r="F42" s="508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6">
        <f t="shared" si="4"/>
        <v>0.48018163704128441</v>
      </c>
      <c r="U42" s="242"/>
    </row>
    <row r="43" spans="1:23">
      <c r="A43" s="150">
        <v>423</v>
      </c>
      <c r="B43" s="507" t="str">
        <f>+VLOOKUP($A43,Master!$D$29:$G$225,4,FALSE)</f>
        <v>Prava iz oblasti penzijskog i invalidskog osiguranja</v>
      </c>
      <c r="C43" s="508"/>
      <c r="D43" s="508"/>
      <c r="E43" s="508"/>
      <c r="F43" s="508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6">
        <f t="shared" si="4"/>
        <v>10.22724545775994</v>
      </c>
      <c r="U43" s="242"/>
    </row>
    <row r="44" spans="1:23">
      <c r="A44" s="150">
        <v>424</v>
      </c>
      <c r="B44" s="507" t="str">
        <f>+VLOOKUP($A44,Master!$D$29:$G$225,4,FALSE)</f>
        <v>Ostala prava iz oblasti zdravstvene zaštite</v>
      </c>
      <c r="C44" s="508"/>
      <c r="D44" s="508"/>
      <c r="E44" s="508"/>
      <c r="F44" s="508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6">
        <f t="shared" si="4"/>
        <v>0.48311802370030571</v>
      </c>
      <c r="U44" s="242"/>
    </row>
    <row r="45" spans="1:23" s="361" customFormat="1">
      <c r="A45" s="360">
        <v>425</v>
      </c>
      <c r="B45" s="558" t="str">
        <f>+VLOOKUP($A45,Master!$D$29:$G$225,4,FALSE)</f>
        <v>Ostala prava iz zdravstvenog osiguranja</v>
      </c>
      <c r="C45" s="559"/>
      <c r="D45" s="559"/>
      <c r="E45" s="559"/>
      <c r="F45" s="559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6">
        <f t="shared" si="4"/>
        <v>0.23433257979740058</v>
      </c>
      <c r="U45" s="242"/>
    </row>
    <row r="46" spans="1:23">
      <c r="A46" s="150">
        <v>43</v>
      </c>
      <c r="B46" s="521" t="str">
        <f>+VLOOKUP($A46,Master!$D$29:$G$225,4,FALSE)</f>
        <v xml:space="preserve">Transferi institucijama, pojedincima, nevladinom i javnom sektoru </v>
      </c>
      <c r="C46" s="522"/>
      <c r="D46" s="522"/>
      <c r="E46" s="522"/>
      <c r="F46" s="522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7">
        <f t="shared" si="4"/>
        <v>6.7194405222668205</v>
      </c>
      <c r="U46" s="242"/>
    </row>
    <row r="47" spans="1:23">
      <c r="A47" s="150">
        <v>44</v>
      </c>
      <c r="B47" s="521" t="str">
        <f>+VLOOKUP($A47,Master!$D$29:$G$225,4,FALSE)</f>
        <v>Kapitalni izdaci</v>
      </c>
      <c r="C47" s="522"/>
      <c r="D47" s="522"/>
      <c r="E47" s="522"/>
      <c r="F47" s="522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7">
        <f t="shared" si="4"/>
        <v>5.4935233579415135</v>
      </c>
      <c r="U47" s="242"/>
    </row>
    <row r="48" spans="1:23">
      <c r="A48" s="150">
        <v>451</v>
      </c>
      <c r="B48" s="560" t="str">
        <f>+VLOOKUP($A48,Master!$D$29:$G$225,4,FALSE)</f>
        <v>Pozajmice i krediti</v>
      </c>
      <c r="C48" s="561"/>
      <c r="D48" s="561"/>
      <c r="E48" s="561"/>
      <c r="F48" s="561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6">
        <f t="shared" si="4"/>
        <v>3.8500262805810398E-2</v>
      </c>
      <c r="U48" s="242"/>
    </row>
    <row r="49" spans="1:22" s="361" customFormat="1">
      <c r="A49" s="360">
        <v>47</v>
      </c>
      <c r="B49" s="565" t="str">
        <f>+VLOOKUP($A49,Master!$D$29:$G$225,4,FALSE)</f>
        <v>Rezerve</v>
      </c>
      <c r="C49" s="566"/>
      <c r="D49" s="566"/>
      <c r="E49" s="566"/>
      <c r="F49" s="566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6">
        <f t="shared" si="4"/>
        <v>2.7812908352446479</v>
      </c>
      <c r="U49" s="242"/>
    </row>
    <row r="50" spans="1:22" ht="13.5" thickBot="1">
      <c r="A50" s="150">
        <v>462</v>
      </c>
      <c r="B50" s="527" t="str">
        <f>+VLOOKUP($A50,Master!$D$29:$G$225,4,FALSE)</f>
        <v>Otplata garancija</v>
      </c>
      <c r="C50" s="528"/>
      <c r="D50" s="528"/>
      <c r="E50" s="528"/>
      <c r="F50" s="528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6">
        <f t="shared" si="4"/>
        <v>0</v>
      </c>
      <c r="U50" s="242"/>
      <c r="V50" s="293"/>
    </row>
    <row r="51" spans="1:22" ht="13.5" thickBot="1">
      <c r="A51" s="144">
        <v>4630</v>
      </c>
      <c r="B51" s="567" t="str">
        <f>+VLOOKUP($A51,Master!$D$29:$G$225,4,TRUE)</f>
        <v>Otplata obaveza iz prethodnog perioda</v>
      </c>
      <c r="C51" s="568"/>
      <c r="D51" s="568"/>
      <c r="E51" s="568"/>
      <c r="F51" s="568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5">
        <f>+SUM(G51:R51)</f>
        <v>18775484.700000003</v>
      </c>
      <c r="T51" s="440">
        <f t="shared" si="4"/>
        <v>0.44857331565366981</v>
      </c>
      <c r="U51" s="242"/>
    </row>
    <row r="52" spans="1:22" ht="13.5" thickBot="1">
      <c r="A52" s="70">
        <v>1005</v>
      </c>
      <c r="B52" s="569" t="str">
        <f>+VLOOKUP($A52,Master!$D$29:$G$227,4,FALSE)</f>
        <v>Neto povećanje obaveza</v>
      </c>
      <c r="C52" s="570"/>
      <c r="D52" s="570"/>
      <c r="E52" s="570"/>
      <c r="F52" s="570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1">
        <f t="shared" si="4"/>
        <v>0</v>
      </c>
    </row>
    <row r="53" spans="1:22" ht="13.5" thickBot="1">
      <c r="A53" s="144">
        <v>1000</v>
      </c>
      <c r="B53" s="529" t="str">
        <f>+VLOOKUP($A53,Master!$D$29:$G$225,4,FALSE)</f>
        <v>Suficit / deficit</v>
      </c>
      <c r="C53" s="530"/>
      <c r="D53" s="530"/>
      <c r="E53" s="530"/>
      <c r="F53" s="530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2">
        <f t="shared" si="4"/>
        <v>-10.181390261611241</v>
      </c>
    </row>
    <row r="54" spans="1:22" ht="13.5" thickBot="1">
      <c r="A54" s="144">
        <v>1001</v>
      </c>
      <c r="B54" s="531" t="str">
        <f>+VLOOKUP($A54,Master!$D$29:$G$225,4,FALSE)</f>
        <v>Primarni suficit/deficit</v>
      </c>
      <c r="C54" s="532"/>
      <c r="D54" s="532"/>
      <c r="E54" s="532"/>
      <c r="F54" s="532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2">
        <f t="shared" si="4"/>
        <v>-7.5268387433103978</v>
      </c>
    </row>
    <row r="55" spans="1:22">
      <c r="A55" s="144">
        <v>46</v>
      </c>
      <c r="B55" s="553" t="str">
        <f>+VLOOKUP($A55,Master!$D$29:$G$225,4,FALSE)</f>
        <v>Otplata dugova</v>
      </c>
      <c r="C55" s="554"/>
      <c r="D55" s="554"/>
      <c r="E55" s="554"/>
      <c r="F55" s="554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3">
        <f t="shared" si="4"/>
        <v>15.90801867426414</v>
      </c>
      <c r="V55" s="309"/>
    </row>
    <row r="56" spans="1:22">
      <c r="A56" s="144">
        <v>4611</v>
      </c>
      <c r="B56" s="549" t="str">
        <f>+VLOOKUP($A56,Master!$D$29:$G$225,4,FALSE)</f>
        <v>Otplata hartija od vrijednosti i kredita rezidentima</v>
      </c>
      <c r="C56" s="550"/>
      <c r="D56" s="550"/>
      <c r="E56" s="550"/>
      <c r="F56" s="550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4">
        <f t="shared" si="4"/>
        <v>5.8341507953459475</v>
      </c>
      <c r="V56" s="353"/>
    </row>
    <row r="57" spans="1:22" ht="13.5" thickBot="1">
      <c r="A57" s="144">
        <v>4612</v>
      </c>
      <c r="B57" s="525" t="str">
        <f>+VLOOKUP($A57,Master!$D$29:$G$225,4,FALSE)</f>
        <v>Otplata hartija od vrijednosti i kredita nerezidentima</v>
      </c>
      <c r="C57" s="526"/>
      <c r="D57" s="526"/>
      <c r="E57" s="526"/>
      <c r="F57" s="526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4">
        <f t="shared" si="4"/>
        <v>10.073867878918195</v>
      </c>
      <c r="V57" s="318"/>
    </row>
    <row r="58" spans="1:22" ht="13.5" thickBot="1">
      <c r="A58" s="144">
        <v>4418</v>
      </c>
      <c r="B58" s="517" t="str">
        <f>+VLOOKUP($A58,Master!$D$29:$G$225,4,FALSE)</f>
        <v>Izdaci za kupovinu hartija od vrijednosti</v>
      </c>
      <c r="C58" s="518"/>
      <c r="D58" s="518"/>
      <c r="E58" s="518"/>
      <c r="F58" s="518"/>
      <c r="G58" s="460">
        <f>+INDEX(DataEx!$1:$1048576,MATCH('2020'!$A58,DataEx!$D:$D,0),MATCH('2020'!G$6,DataEx!$7:$7,0))</f>
        <v>0</v>
      </c>
      <c r="H58" s="460">
        <f>+INDEX(DataEx!$1:$1048576,MATCH('2020'!$A58,DataEx!$D:$D,0),MATCH('2020'!H$6,DataEx!$7:$7,0))</f>
        <v>0</v>
      </c>
      <c r="I58" s="460">
        <f>+INDEX(DataEx!$1:$1048576,MATCH('2020'!$A58,DataEx!$D:$D,0),MATCH('2020'!I$6,DataEx!$7:$7,0))</f>
        <v>0</v>
      </c>
      <c r="J58" s="460">
        <f>+INDEX(DataEx!$1:$1048576,MATCH('2020'!$A58,DataEx!$D:$D,0),MATCH('2020'!J$6,DataEx!$7:$7,0))</f>
        <v>0</v>
      </c>
      <c r="K58" s="460">
        <f>+INDEX(DataEx!$1:$1048576,MATCH('2020'!$A58,DataEx!$D:$D,0),MATCH('2020'!K$6,DataEx!$7:$7,0))</f>
        <v>0</v>
      </c>
      <c r="L58" s="460">
        <f>+INDEX(DataEx!$1:$1048576,MATCH('2020'!$A58,DataEx!$D:$D,0),MATCH('2020'!L$6,DataEx!$7:$7,0))</f>
        <v>0</v>
      </c>
      <c r="M58" s="460">
        <f>+INDEX(DataEx!$1:$1048576,MATCH('2020'!$A58,DataEx!$D:$D,0),MATCH('2020'!M$6,DataEx!$7:$7,0))</f>
        <v>0</v>
      </c>
      <c r="N58" s="460">
        <f>+INDEX(DataEx!$1:$1048576,MATCH('2020'!$A58,DataEx!$D:$D,0),MATCH('2020'!N$6,DataEx!$7:$7,0))</f>
        <v>0</v>
      </c>
      <c r="O58" s="460">
        <f>+INDEX(DataEx!$1:$1048576,MATCH('2020'!$A58,DataEx!$D:$D,0),MATCH('2020'!O$6,DataEx!$7:$7,0))</f>
        <v>940769.61</v>
      </c>
      <c r="P58" s="460">
        <f>+INDEX(DataEx!$1:$1048576,MATCH('2020'!$A58,DataEx!$D:$D,0),MATCH('2020'!P$6,DataEx!$7:$7,0))</f>
        <v>0</v>
      </c>
      <c r="Q58" s="460">
        <f>+INDEX(DataEx!$1:$1048576,MATCH('2020'!$A58,DataEx!$D:$D,0),MATCH('2020'!Q$6,DataEx!$7:$7,0))</f>
        <v>0</v>
      </c>
      <c r="R58" s="461">
        <f>+INDEX(DataEx!$1:$1048576,MATCH('2020'!$A58,DataEx!$D:$D,0),MATCH('2020'!R$6,DataEx!$7:$7,0))</f>
        <v>0</v>
      </c>
      <c r="S58" s="249">
        <f>SUM(G58:R58)</f>
        <v>940769.61</v>
      </c>
      <c r="T58" s="445">
        <f t="shared" si="4"/>
        <v>2.2476338159403669E-2</v>
      </c>
      <c r="V58" s="318"/>
    </row>
    <row r="59" spans="1:22" ht="13.5" thickBot="1">
      <c r="A59" s="144">
        <v>1002</v>
      </c>
      <c r="B59" s="551" t="str">
        <f>+VLOOKUP($A59,Master!$D$29:$G$225,4,FALSE)</f>
        <v>Nedostajuća sredstva</v>
      </c>
      <c r="C59" s="552"/>
      <c r="D59" s="552"/>
      <c r="E59" s="552"/>
      <c r="F59" s="552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6">
        <f t="shared" si="4"/>
        <v>-26.111885274034783</v>
      </c>
    </row>
    <row r="60" spans="1:22" ht="13.5" thickBot="1">
      <c r="A60" s="144">
        <v>1003</v>
      </c>
      <c r="B60" s="515" t="str">
        <f>+VLOOKUP($A60,Master!$D$29:$G$225,4,FALSE)</f>
        <v>Finansiranje</v>
      </c>
      <c r="C60" s="516"/>
      <c r="D60" s="516"/>
      <c r="E60" s="516"/>
      <c r="F60" s="516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7">
        <f t="shared" si="4"/>
        <v>26.111885274034783</v>
      </c>
    </row>
    <row r="61" spans="1:22">
      <c r="A61" s="144">
        <v>7511</v>
      </c>
      <c r="B61" s="549" t="str">
        <f>+VLOOKUP($A61,Master!$D$29:$G$225,4,FALSE)</f>
        <v>Pozajmice i krediti od domaćih izvora</v>
      </c>
      <c r="C61" s="550"/>
      <c r="D61" s="550"/>
      <c r="E61" s="550"/>
      <c r="F61" s="550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4">
        <f t="shared" si="4"/>
        <v>4.0025816879300455</v>
      </c>
    </row>
    <row r="62" spans="1:22">
      <c r="A62" s="144">
        <v>7512</v>
      </c>
      <c r="B62" s="525" t="str">
        <f>+VLOOKUP($A62,Master!$D$29:$G$225,4,FALSE)</f>
        <v>Pozajmice i krediti od inostranih izvora</v>
      </c>
      <c r="C62" s="526"/>
      <c r="D62" s="526"/>
      <c r="E62" s="526"/>
      <c r="F62" s="526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4">
        <f t="shared" si="4"/>
        <v>28.329148839353973</v>
      </c>
    </row>
    <row r="63" spans="1:22">
      <c r="A63" s="144">
        <v>72</v>
      </c>
      <c r="B63" s="525" t="str">
        <f>+VLOOKUP($A63,Master!$D$29:$G$225,4,FALSE)</f>
        <v>Primici od prodaje imovine</v>
      </c>
      <c r="C63" s="526"/>
      <c r="D63" s="526"/>
      <c r="E63" s="526"/>
      <c r="F63" s="526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4">
        <f t="shared" si="4"/>
        <v>0.20420611047400611</v>
      </c>
    </row>
    <row r="64" spans="1:22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8">
        <f t="shared" si="4"/>
        <v>-6.4240513637232448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77" t="str">
        <f>+Master!G252</f>
        <v>Plan ostvarenja budžeta</v>
      </c>
      <c r="C100" s="578"/>
      <c r="D100" s="578"/>
      <c r="E100" s="578"/>
      <c r="F100" s="578"/>
      <c r="G100" s="562">
        <v>2020</v>
      </c>
      <c r="H100" s="563"/>
      <c r="I100" s="563"/>
      <c r="J100" s="563"/>
      <c r="K100" s="563"/>
      <c r="L100" s="563"/>
      <c r="M100" s="563"/>
      <c r="N100" s="563"/>
      <c r="O100" s="563"/>
      <c r="P100" s="563"/>
      <c r="Q100" s="563"/>
      <c r="R100" s="564"/>
      <c r="S100" s="107" t="str">
        <f>+S7</f>
        <v>BDP</v>
      </c>
      <c r="T100" s="108">
        <v>4607300000</v>
      </c>
    </row>
    <row r="101" spans="1:21" ht="15.75" customHeight="1">
      <c r="B101" s="579"/>
      <c r="C101" s="580"/>
      <c r="D101" s="580"/>
      <c r="E101" s="580"/>
      <c r="F101" s="581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62" t="str">
        <f>+Master!G246</f>
        <v>Jan - Dec</v>
      </c>
      <c r="T101" s="564">
        <f>+T8</f>
        <v>0</v>
      </c>
    </row>
    <row r="102" spans="1:21" ht="13.5" thickBot="1">
      <c r="B102" s="582"/>
      <c r="C102" s="583"/>
      <c r="D102" s="583"/>
      <c r="E102" s="583"/>
      <c r="F102" s="584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571" t="str">
        <f>+VLOOKUP(LEFT($A103,LEN(A103)-1)*1,Master!$D$29:$G$225,4,FALSE)</f>
        <v>Prihodi budžeta</v>
      </c>
      <c r="C103" s="572"/>
      <c r="D103" s="572"/>
      <c r="E103" s="572"/>
      <c r="F103" s="572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3">
        <f>+SUM(G103:R103)</f>
        <v>1704989389.157774</v>
      </c>
      <c r="T103" s="454">
        <f>+S103/$T$100*100</f>
        <v>37.006259396127319</v>
      </c>
    </row>
    <row r="104" spans="1:21">
      <c r="A104" s="116" t="str">
        <f t="shared" si="16"/>
        <v>711p</v>
      </c>
      <c r="B104" s="573" t="str">
        <f>+VLOOKUP(LEFT($A104,LEN(A104)-1)*1,Master!$D$29:$G$225,4,FALSE)</f>
        <v>Porezi</v>
      </c>
      <c r="C104" s="574"/>
      <c r="D104" s="574"/>
      <c r="E104" s="574"/>
      <c r="F104" s="574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5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75" t="str">
        <f>+VLOOKUP(LEFT($A105,LEN(A105)-1)*1,Master!$D$29:$G$228,4,FALSE)</f>
        <v>Porez na dohodak fizičkih lica</v>
      </c>
      <c r="C105" s="576"/>
      <c r="D105" s="576"/>
      <c r="E105" s="576"/>
      <c r="F105" s="576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6">
        <f t="shared" si="20"/>
        <v>2.4452362067202373</v>
      </c>
    </row>
    <row r="106" spans="1:21">
      <c r="A106" s="116" t="str">
        <f t="shared" si="16"/>
        <v>7112p</v>
      </c>
      <c r="B106" s="575" t="str">
        <f>+VLOOKUP(LEFT($A106,LEN(A106)-1)*1,Master!$D$29:$G$228,4,FALSE)</f>
        <v>Porez na dobit pravnih lica</v>
      </c>
      <c r="C106" s="576"/>
      <c r="D106" s="576"/>
      <c r="E106" s="576"/>
      <c r="F106" s="576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6">
        <f t="shared" si="20"/>
        <v>1.4671745812461314</v>
      </c>
    </row>
    <row r="107" spans="1:21">
      <c r="A107" s="116" t="str">
        <f t="shared" si="16"/>
        <v>7113p</v>
      </c>
      <c r="B107" s="575" t="str">
        <f>+VLOOKUP(LEFT($A107,LEN(A107)-1)*1,Master!$D$29:$G$228,4,FALSE)</f>
        <v>Porez na promet nepokretnosti</v>
      </c>
      <c r="C107" s="576"/>
      <c r="D107" s="576"/>
      <c r="E107" s="576"/>
      <c r="F107" s="576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6">
        <f t="shared" si="20"/>
        <v>4.1303611443361622E-2</v>
      </c>
    </row>
    <row r="108" spans="1:21">
      <c r="A108" s="116" t="str">
        <f t="shared" si="16"/>
        <v>7114p</v>
      </c>
      <c r="B108" s="575" t="str">
        <f>+VLOOKUP(LEFT($A108,LEN(A108)-1)*1,Master!$D$29:$G$228,4,FALSE)</f>
        <v>Porez na dodatu vrijednost</v>
      </c>
      <c r="C108" s="576"/>
      <c r="D108" s="576"/>
      <c r="E108" s="576"/>
      <c r="F108" s="576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6">
        <f t="shared" si="20"/>
        <v>13.365384391976216</v>
      </c>
    </row>
    <row r="109" spans="1:21">
      <c r="A109" s="116" t="str">
        <f t="shared" si="16"/>
        <v>7115p</v>
      </c>
      <c r="B109" s="575" t="str">
        <f>+VLOOKUP(LEFT($A109,LEN(A109)-1)*1,Master!$D$29:$G$228,4,FALSE)</f>
        <v>Akcize</v>
      </c>
      <c r="C109" s="576"/>
      <c r="D109" s="576"/>
      <c r="E109" s="576"/>
      <c r="F109" s="576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6">
        <f t="shared" si="20"/>
        <v>4.8051517235226715</v>
      </c>
    </row>
    <row r="110" spans="1:21">
      <c r="A110" s="116" t="str">
        <f t="shared" si="16"/>
        <v>7116p</v>
      </c>
      <c r="B110" s="575" t="str">
        <f>+VLOOKUP(LEFT($A110,LEN(A110)-1)*1,Master!$D$29:$G$228,4,FALSE)</f>
        <v>Porez na međunarodnu trgovinu i transakcije</v>
      </c>
      <c r="C110" s="576"/>
      <c r="D110" s="576"/>
      <c r="E110" s="576"/>
      <c r="F110" s="576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6">
        <f t="shared" si="20"/>
        <v>0.58139087437023862</v>
      </c>
    </row>
    <row r="111" spans="1:21">
      <c r="A111" s="116" t="str">
        <f t="shared" si="16"/>
        <v>7118p</v>
      </c>
      <c r="B111" s="575" t="str">
        <f>+VLOOKUP(LEFT($A111,LEN(A111)-1)*1,Master!$D$29:$G$228,4,FALSE)</f>
        <v>Ostali državni porezi</v>
      </c>
      <c r="C111" s="576"/>
      <c r="D111" s="576"/>
      <c r="E111" s="576"/>
      <c r="F111" s="576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6">
        <f t="shared" si="20"/>
        <v>0.20229513960237019</v>
      </c>
    </row>
    <row r="112" spans="1:21">
      <c r="A112" s="116" t="str">
        <f t="shared" si="16"/>
        <v>712p</v>
      </c>
      <c r="B112" s="587" t="str">
        <f>+VLOOKUP(LEFT($A112,LEN(A112)-1)*1,Master!$D$29:$G$228,4,FALSE)</f>
        <v>Doprinosi</v>
      </c>
      <c r="C112" s="588"/>
      <c r="D112" s="588"/>
      <c r="E112" s="588"/>
      <c r="F112" s="588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7">
        <f t="shared" si="20"/>
        <v>10.68956613019113</v>
      </c>
    </row>
    <row r="113" spans="1:20">
      <c r="A113" s="116" t="str">
        <f t="shared" si="16"/>
        <v>7121p</v>
      </c>
      <c r="B113" s="575" t="str">
        <f>+VLOOKUP(LEFT($A113,LEN(A113)-1)*1,Master!$D$29:$G$228,4,FALSE)</f>
        <v>Doprinosi za penzijsko i invalidsko osiguranje</v>
      </c>
      <c r="C113" s="576"/>
      <c r="D113" s="576"/>
      <c r="E113" s="576"/>
      <c r="F113" s="576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6">
        <f t="shared" si="20"/>
        <v>6.6171744431734636</v>
      </c>
    </row>
    <row r="114" spans="1:20">
      <c r="A114" s="116" t="str">
        <f t="shared" si="16"/>
        <v>7122p</v>
      </c>
      <c r="B114" s="575" t="str">
        <f>+VLOOKUP(LEFT($A114,LEN(A114)-1)*1,Master!$D$29:$G$228,4,FALSE)</f>
        <v>Doprinosi za zdravstveno osiguranje</v>
      </c>
      <c r="C114" s="576"/>
      <c r="D114" s="576"/>
      <c r="E114" s="576"/>
      <c r="F114" s="576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6">
        <f t="shared" si="20"/>
        <v>3.4819631387690197</v>
      </c>
    </row>
    <row r="115" spans="1:20">
      <c r="A115" s="116" t="str">
        <f t="shared" si="16"/>
        <v>7123p</v>
      </c>
      <c r="B115" s="575" t="str">
        <f>+VLOOKUP(LEFT($A115,LEN(A115)-1)*1,Master!$D$29:$G$228,4,FALSE)</f>
        <v>Doprinosi za osiguranje od nezaposlenosti</v>
      </c>
      <c r="C115" s="576"/>
      <c r="D115" s="576"/>
      <c r="E115" s="576"/>
      <c r="F115" s="576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6">
        <f t="shared" si="20"/>
        <v>0.31374529664462025</v>
      </c>
    </row>
    <row r="116" spans="1:20">
      <c r="A116" s="116" t="str">
        <f t="shared" si="16"/>
        <v>7124p</v>
      </c>
      <c r="B116" s="575" t="str">
        <f>+VLOOKUP(LEFT($A116,LEN(A116)-1)*1,Master!$D$29:$G$228,4,FALSE)</f>
        <v>Ostali doprinosi</v>
      </c>
      <c r="C116" s="576"/>
      <c r="D116" s="576"/>
      <c r="E116" s="576"/>
      <c r="F116" s="576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6">
        <f t="shared" si="20"/>
        <v>0.2766832516040264</v>
      </c>
    </row>
    <row r="117" spans="1:20">
      <c r="A117" s="116" t="str">
        <f t="shared" si="16"/>
        <v>713p</v>
      </c>
      <c r="B117" s="585" t="str">
        <f>+VLOOKUP(LEFT($A117,LEN(A117)-1)*1,Master!$D$29:$G$228,4,FALSE)</f>
        <v>Takse</v>
      </c>
      <c r="C117" s="586"/>
      <c r="D117" s="586"/>
      <c r="E117" s="586"/>
      <c r="F117" s="586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7">
        <f t="shared" si="20"/>
        <v>0.26451836008573354</v>
      </c>
    </row>
    <row r="118" spans="1:20">
      <c r="A118" s="116" t="str">
        <f t="shared" si="16"/>
        <v>714p</v>
      </c>
      <c r="B118" s="585" t="str">
        <f>+VLOOKUP(LEFT($A118,LEN(A118)-1)*1,Master!$D$29:$G$228,4,FALSE)</f>
        <v>Naknade</v>
      </c>
      <c r="C118" s="586"/>
      <c r="D118" s="586"/>
      <c r="E118" s="586"/>
      <c r="F118" s="586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7">
        <f t="shared" si="20"/>
        <v>0.53882429835369972</v>
      </c>
    </row>
    <row r="119" spans="1:20">
      <c r="A119" s="116" t="str">
        <f t="shared" si="16"/>
        <v>715p</v>
      </c>
      <c r="B119" s="585" t="str">
        <f>+VLOOKUP(LEFT($A119,LEN(A119)-1)*1,Master!$D$29:$G$228,4,FALSE)</f>
        <v>Ostali prihodi</v>
      </c>
      <c r="C119" s="586"/>
      <c r="D119" s="586"/>
      <c r="E119" s="586"/>
      <c r="F119" s="586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7">
        <f t="shared" si="20"/>
        <v>1.148755088100482</v>
      </c>
    </row>
    <row r="120" spans="1:20">
      <c r="A120" s="116" t="str">
        <f t="shared" si="16"/>
        <v>73p</v>
      </c>
      <c r="B120" s="585" t="str">
        <f>+VLOOKUP(LEFT($A120,LEN(A120)-1)*1,Master!$D$29:$G$228,4,FALSE)</f>
        <v>Primici od otplate kredita i sredstva prenesena iz prethodne godine</v>
      </c>
      <c r="C120" s="586"/>
      <c r="D120" s="586"/>
      <c r="E120" s="586"/>
      <c r="F120" s="586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7">
        <f t="shared" si="20"/>
        <v>0.37142952358214143</v>
      </c>
    </row>
    <row r="121" spans="1:20" ht="13.5" thickBot="1">
      <c r="A121" s="116" t="str">
        <f t="shared" si="16"/>
        <v>74p</v>
      </c>
      <c r="B121" s="589" t="str">
        <f>+VLOOKUP(LEFT($A121,LEN(A121)-1)*1,Master!$D$29:$G$228,4,FALSE)</f>
        <v>Donacije i transferi</v>
      </c>
      <c r="C121" s="590"/>
      <c r="D121" s="590"/>
      <c r="E121" s="590"/>
      <c r="F121" s="590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8">
        <f t="shared" si="20"/>
        <v>1.0852294669329108</v>
      </c>
    </row>
    <row r="122" spans="1:20" ht="13.5" thickBot="1">
      <c r="A122" s="116" t="str">
        <f t="shared" si="16"/>
        <v>4p</v>
      </c>
      <c r="B122" s="591" t="str">
        <f>+VLOOKUP(LEFT($A122,LEN(A122)-1)*1,Master!$D$29:$G$228,4,FALSE)</f>
        <v>Izdaci budžeta</v>
      </c>
      <c r="C122" s="592"/>
      <c r="D122" s="592"/>
      <c r="E122" s="592"/>
      <c r="F122" s="592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1">
        <f>+SUM(G122:R122)</f>
        <v>2040879206.795902</v>
      </c>
      <c r="T122" s="452">
        <f t="shared" si="20"/>
        <v>44.296642432572263</v>
      </c>
    </row>
    <row r="123" spans="1:20">
      <c r="A123" s="116" t="str">
        <f t="shared" si="16"/>
        <v>41p</v>
      </c>
      <c r="B123" s="593" t="str">
        <f>+VLOOKUP(LEFT($A123,LEN(A123)-1)*1,Master!$D$29:$G$228,4,FALSE)</f>
        <v>Tekući izdaci</v>
      </c>
      <c r="C123" s="594"/>
      <c r="D123" s="594"/>
      <c r="E123" s="594"/>
      <c r="F123" s="594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5">
        <f t="shared" si="20"/>
        <v>18.234006898745513</v>
      </c>
    </row>
    <row r="124" spans="1:20">
      <c r="A124" s="116" t="str">
        <f t="shared" si="16"/>
        <v>411p</v>
      </c>
      <c r="B124" s="575" t="str">
        <f>+VLOOKUP(LEFT($A124,LEN(A124)-1)*1,Master!$D$29:$G$228,4,FALSE)</f>
        <v>Bruto zarade i doprinosi na teret poslodavca</v>
      </c>
      <c r="C124" s="576"/>
      <c r="D124" s="576"/>
      <c r="E124" s="576"/>
      <c r="F124" s="576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6">
        <f t="shared" si="20"/>
        <v>10.81917370889675</v>
      </c>
    </row>
    <row r="125" spans="1:20">
      <c r="A125" s="116" t="str">
        <f t="shared" si="16"/>
        <v>412p</v>
      </c>
      <c r="B125" s="575" t="str">
        <f>+VLOOKUP(LEFT($A125,LEN(A125)-1)*1,Master!$D$29:$G$228,4,FALSE)</f>
        <v>Ostala lična primanja</v>
      </c>
      <c r="C125" s="576"/>
      <c r="D125" s="576"/>
      <c r="E125" s="576"/>
      <c r="F125" s="576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6">
        <f t="shared" si="20"/>
        <v>0.32417865148785635</v>
      </c>
    </row>
    <row r="126" spans="1:20">
      <c r="A126" s="116" t="str">
        <f t="shared" si="16"/>
        <v>413p</v>
      </c>
      <c r="B126" s="575" t="str">
        <f>+VLOOKUP(LEFT($A126,LEN(A126)-1)*1,Master!$D$29:$G$228,4,FALSE)</f>
        <v>Rashodi za materijal</v>
      </c>
      <c r="C126" s="576"/>
      <c r="D126" s="576"/>
      <c r="E126" s="576"/>
      <c r="F126" s="576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6">
        <f t="shared" si="20"/>
        <v>0.77555155266429454</v>
      </c>
    </row>
    <row r="127" spans="1:20">
      <c r="A127" s="116" t="str">
        <f t="shared" si="16"/>
        <v>414p</v>
      </c>
      <c r="B127" s="575" t="str">
        <f>+VLOOKUP(LEFT($A127,LEN(A127)-1)*1,Master!$D$29:$G$228,4,FALSE)</f>
        <v>Rashodi za usluge</v>
      </c>
      <c r="C127" s="576"/>
      <c r="D127" s="576"/>
      <c r="E127" s="576"/>
      <c r="F127" s="576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6">
        <f t="shared" si="20"/>
        <v>1.3413157254791312</v>
      </c>
    </row>
    <row r="128" spans="1:20">
      <c r="A128" s="116" t="str">
        <f t="shared" si="16"/>
        <v>415p</v>
      </c>
      <c r="B128" s="575" t="str">
        <f>+VLOOKUP(LEFT($A128,LEN(A128)-1)*1,Master!$D$29:$G$228,4,FALSE)</f>
        <v>Rashodi za tekuće održavanje</v>
      </c>
      <c r="C128" s="576"/>
      <c r="D128" s="576"/>
      <c r="E128" s="576"/>
      <c r="F128" s="576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6">
        <f t="shared" si="20"/>
        <v>0.56486301651726611</v>
      </c>
    </row>
    <row r="129" spans="1:20">
      <c r="A129" s="116" t="str">
        <f t="shared" si="16"/>
        <v>416p</v>
      </c>
      <c r="B129" s="575" t="str">
        <f>+VLOOKUP(LEFT($A129,LEN(A129)-1)*1,Master!$D$29:$G$228,4,FALSE)</f>
        <v>Kamate</v>
      </c>
      <c r="C129" s="576"/>
      <c r="D129" s="576"/>
      <c r="E129" s="576"/>
      <c r="F129" s="576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6">
        <f t="shared" si="20"/>
        <v>2.2430494311201787</v>
      </c>
    </row>
    <row r="130" spans="1:20">
      <c r="A130" s="116" t="str">
        <f t="shared" si="16"/>
        <v>417p</v>
      </c>
      <c r="B130" s="575" t="str">
        <f>+VLOOKUP(LEFT($A130,LEN(A130)-1)*1,Master!$D$29:$G$228,4,FALSE)</f>
        <v>Renta</v>
      </c>
      <c r="C130" s="576"/>
      <c r="D130" s="576"/>
      <c r="E130" s="576"/>
      <c r="F130" s="576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6">
        <f t="shared" si="20"/>
        <v>0.24149152996331913</v>
      </c>
    </row>
    <row r="131" spans="1:20">
      <c r="A131" s="116" t="str">
        <f t="shared" si="16"/>
        <v>418p</v>
      </c>
      <c r="B131" s="575" t="str">
        <f>+VLOOKUP(LEFT($A131,LEN(A131)-1)*1,Master!$D$29:$G$228,4,FALSE)</f>
        <v>Subvencije</v>
      </c>
      <c r="C131" s="576"/>
      <c r="D131" s="576"/>
      <c r="E131" s="576"/>
      <c r="F131" s="576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6">
        <f t="shared" si="20"/>
        <v>0.84831977448831197</v>
      </c>
    </row>
    <row r="132" spans="1:20">
      <c r="A132" s="116" t="str">
        <f t="shared" si="16"/>
        <v>419p</v>
      </c>
      <c r="B132" s="575" t="str">
        <f>+VLOOKUP(LEFT($A132,LEN(A132)-1)*1,Master!$D$29:$G$228,4,FALSE)</f>
        <v>Ostali izdaci</v>
      </c>
      <c r="C132" s="576"/>
      <c r="D132" s="576"/>
      <c r="E132" s="576"/>
      <c r="F132" s="576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6">
        <f t="shared" si="20"/>
        <v>1.0760635081284049</v>
      </c>
    </row>
    <row r="133" spans="1:20">
      <c r="A133" s="116" t="str">
        <f t="shared" si="16"/>
        <v>42p</v>
      </c>
      <c r="B133" s="599" t="str">
        <f>+VLOOKUP(LEFT($A133,LEN(A133)-1)*1,Master!$D$29:$G$228,4,FALSE)</f>
        <v>Transferi za socijalnu zaštitu</v>
      </c>
      <c r="C133" s="600"/>
      <c r="D133" s="600"/>
      <c r="E133" s="600"/>
      <c r="F133" s="600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7">
        <f t="shared" si="20"/>
        <v>12.538545292470646</v>
      </c>
    </row>
    <row r="134" spans="1:20">
      <c r="A134" s="116" t="str">
        <f t="shared" si="16"/>
        <v>421p</v>
      </c>
      <c r="B134" s="575" t="str">
        <f>+VLOOKUP(LEFT($A134,LEN(A134)-1)*1,Master!$D$29:$G$228,4,FALSE)</f>
        <v>Prava iz oblasti socijalne zaštite</v>
      </c>
      <c r="C134" s="576"/>
      <c r="D134" s="576"/>
      <c r="E134" s="576"/>
      <c r="F134" s="576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6">
        <f t="shared" si="20"/>
        <v>1.8346971111062882</v>
      </c>
    </row>
    <row r="135" spans="1:20">
      <c r="A135" s="116" t="str">
        <f t="shared" si="16"/>
        <v>422p</v>
      </c>
      <c r="B135" s="575" t="str">
        <f>+VLOOKUP(LEFT($A135,LEN(A135)-1)*1,Master!$D$29:$G$228,4,FALSE)</f>
        <v>Sredstva za tehnološke viškove</v>
      </c>
      <c r="C135" s="576"/>
      <c r="D135" s="576"/>
      <c r="E135" s="576"/>
      <c r="F135" s="576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6">
        <f t="shared" si="20"/>
        <v>0.44186401406463649</v>
      </c>
    </row>
    <row r="136" spans="1:20">
      <c r="A136" s="116" t="str">
        <f t="shared" si="16"/>
        <v>423p</v>
      </c>
      <c r="B136" s="575" t="str">
        <f>+VLOOKUP(LEFT($A136,LEN(A136)-1)*1,Master!$D$29:$G$228,4,FALSE)</f>
        <v>Prava iz oblasti penzijskog i invalidskog osiguranja</v>
      </c>
      <c r="C136" s="576"/>
      <c r="D136" s="576"/>
      <c r="E136" s="576"/>
      <c r="F136" s="576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6">
        <f t="shared" si="20"/>
        <v>9.5972781138627852</v>
      </c>
    </row>
    <row r="137" spans="1:20">
      <c r="A137" s="116" t="str">
        <f t="shared" si="16"/>
        <v>424p</v>
      </c>
      <c r="B137" s="575" t="str">
        <f>+VLOOKUP(LEFT($A137,LEN(A137)-1)*1,Master!$D$29:$G$228,4,FALSE)</f>
        <v>Ostala prava iz oblasti zdravstvene zaštite</v>
      </c>
      <c r="C137" s="576"/>
      <c r="D137" s="576"/>
      <c r="E137" s="576"/>
      <c r="F137" s="576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6">
        <f t="shared" si="20"/>
        <v>0.43409374253901412</v>
      </c>
    </row>
    <row r="138" spans="1:20">
      <c r="A138" s="116" t="str">
        <f t="shared" si="16"/>
        <v>425p</v>
      </c>
      <c r="B138" s="575" t="str">
        <f>+VLOOKUP(LEFT($A138,LEN(A138)-1)*1,Master!$D$29:$G$228,4,FALSE)</f>
        <v>Ostala prava iz zdravstvenog osiguranja</v>
      </c>
      <c r="C138" s="576"/>
      <c r="D138" s="576"/>
      <c r="E138" s="576"/>
      <c r="F138" s="576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6">
        <f t="shared" si="20"/>
        <v>0.23061231089792286</v>
      </c>
    </row>
    <row r="139" spans="1:20">
      <c r="A139" s="116" t="str">
        <f t="shared" si="16"/>
        <v>43p</v>
      </c>
      <c r="B139" s="595" t="str">
        <f>+VLOOKUP(LEFT($A139,LEN(A139)-1)*1,Master!$D$29:$G$228,4,FALSE)</f>
        <v xml:space="preserve">Transferi institucijama, pojedincima, nevladinom i javnom sektoru </v>
      </c>
      <c r="C139" s="596"/>
      <c r="D139" s="596"/>
      <c r="E139" s="596"/>
      <c r="F139" s="596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7">
        <f t="shared" si="20"/>
        <v>6.0063028847698297</v>
      </c>
    </row>
    <row r="140" spans="1:20">
      <c r="A140" s="116" t="str">
        <f t="shared" si="16"/>
        <v>44p</v>
      </c>
      <c r="B140" s="595" t="str">
        <f>+VLOOKUP(LEFT($A140,LEN(A140)-1)*1,Master!$D$29:$G$228,4,FALSE)</f>
        <v>Kapitalni izdaci</v>
      </c>
      <c r="C140" s="596"/>
      <c r="D140" s="596"/>
      <c r="E140" s="596"/>
      <c r="F140" s="596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7">
        <f t="shared" si="20"/>
        <v>4.229181139713063</v>
      </c>
    </row>
    <row r="141" spans="1:20">
      <c r="A141" s="116" t="str">
        <f t="shared" si="16"/>
        <v>451p</v>
      </c>
      <c r="B141" s="597" t="str">
        <f>+VLOOKUP(LEFT($A141,LEN(A141)-1)*1,Master!$D$29:$G$228,4,FALSE)</f>
        <v>Pozajmice i krediti</v>
      </c>
      <c r="C141" s="598"/>
      <c r="D141" s="598"/>
      <c r="E141" s="598"/>
      <c r="F141" s="598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6">
        <f t="shared" si="20"/>
        <v>3.4293447355283994E-2</v>
      </c>
    </row>
    <row r="142" spans="1:20">
      <c r="A142" s="116" t="str">
        <f t="shared" si="16"/>
        <v>47p</v>
      </c>
      <c r="B142" s="597" t="str">
        <f>+VLOOKUP(LEFT($A142,LEN(A142)-1)*1,Master!$D$29:$G$228,4,FALSE)</f>
        <v>Rezerve</v>
      </c>
      <c r="C142" s="598"/>
      <c r="D142" s="598"/>
      <c r="E142" s="598"/>
      <c r="F142" s="598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6">
        <f t="shared" si="20"/>
        <v>2.9004080480975842</v>
      </c>
    </row>
    <row r="143" spans="1:20">
      <c r="A143" s="116" t="str">
        <f t="shared" si="16"/>
        <v>462p</v>
      </c>
      <c r="B143" s="597" t="str">
        <f>+VLOOKUP(LEFT($A143,LEN(A143)-1)*1,Master!$D$29:$G$228,4,FALSE)</f>
        <v>Otplata garancija</v>
      </c>
      <c r="C143" s="598"/>
      <c r="D143" s="598"/>
      <c r="E143" s="598"/>
      <c r="F143" s="598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6">
        <f t="shared" si="20"/>
        <v>0</v>
      </c>
    </row>
    <row r="144" spans="1:20">
      <c r="A144" s="117" t="str">
        <f t="shared" si="16"/>
        <v>4630p</v>
      </c>
      <c r="B144" s="597" t="str">
        <f>+VLOOKUP(LEFT($A144,LEN(A144)-1)*1,Master!$D$29:$G$228,4,FALSE)</f>
        <v>Otplata obaveza iz prethodnog perioda</v>
      </c>
      <c r="C144" s="598"/>
      <c r="D144" s="598"/>
      <c r="E144" s="598"/>
      <c r="F144" s="598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4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97" t="str">
        <f>+VLOOKUP(LEFT($A145,LEN(A145)-1)*1,Master!$D$29:$G$228,4,FALSE)</f>
        <v>Neto povećanje obaveza</v>
      </c>
      <c r="C145" s="598"/>
      <c r="D145" s="598"/>
      <c r="E145" s="598"/>
      <c r="F145" s="598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1">
        <f t="shared" si="20"/>
        <v>0</v>
      </c>
    </row>
    <row r="146" spans="1:23" ht="13.5" thickBot="1">
      <c r="A146" s="117" t="str">
        <f t="shared" si="25"/>
        <v>1000p</v>
      </c>
      <c r="B146" s="605" t="str">
        <f>+VLOOKUP(LEFT($A146,LEN(A146)-1)*1,Master!$D$29:$G$225,4,FALSE)</f>
        <v>Suficit / deficit</v>
      </c>
      <c r="C146" s="606"/>
      <c r="D146" s="606"/>
      <c r="E146" s="606"/>
      <c r="F146" s="606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2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607" t="str">
        <f>+VLOOKUP(LEFT($A147,LEN(A147)-1)*1,Master!$D$29:$G$225,4,FALSE)</f>
        <v>Primarni suficit/deficit</v>
      </c>
      <c r="C147" s="608"/>
      <c r="D147" s="608"/>
      <c r="E147" s="608"/>
      <c r="F147" s="608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2">
        <f t="shared" si="20"/>
        <v>-5.0473336053247726</v>
      </c>
    </row>
    <row r="148" spans="1:23">
      <c r="A148" s="117" t="str">
        <f t="shared" si="25"/>
        <v>46p</v>
      </c>
      <c r="B148" s="599" t="str">
        <f>+VLOOKUP(LEFT($A148,LEN(A148)-1)*1,Master!$D$29:$G$225,4,FALSE)</f>
        <v>Otplata dugova</v>
      </c>
      <c r="C148" s="600"/>
      <c r="D148" s="600"/>
      <c r="E148" s="600"/>
      <c r="F148" s="600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3">
        <f t="shared" si="20"/>
        <v>11.711631541249758</v>
      </c>
    </row>
    <row r="149" spans="1:23">
      <c r="A149" s="117" t="str">
        <f t="shared" si="25"/>
        <v>4611p</v>
      </c>
      <c r="B149" s="603" t="str">
        <f>+VLOOKUP(LEFT($A149,LEN(A149)-1)*1,Master!$D$29:$G$225,4,FALSE)</f>
        <v>Otplata hartija od vrijednosti i kredita rezidentima</v>
      </c>
      <c r="C149" s="604"/>
      <c r="D149" s="604"/>
      <c r="E149" s="604"/>
      <c r="F149" s="604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4">
        <f t="shared" si="20"/>
        <v>2.598267966053871</v>
      </c>
    </row>
    <row r="150" spans="1:23" ht="13.5" thickBot="1">
      <c r="A150" s="117" t="str">
        <f t="shared" si="25"/>
        <v>4612p</v>
      </c>
      <c r="B150" s="597" t="str">
        <f>+VLOOKUP(LEFT($A150,LEN(A150)-1)*1,Master!$D$29:$G$225,4,FALSE)</f>
        <v>Otplata hartija od vrijednosti i kredita nerezidentima</v>
      </c>
      <c r="C150" s="598"/>
      <c r="D150" s="598"/>
      <c r="E150" s="598"/>
      <c r="F150" s="598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4">
        <f t="shared" si="20"/>
        <v>9.1133635751958835</v>
      </c>
    </row>
    <row r="151" spans="1:23" ht="13.5" thickBot="1">
      <c r="A151" s="117" t="str">
        <f t="shared" si="25"/>
        <v>4418p</v>
      </c>
      <c r="B151" s="591" t="str">
        <f>+VLOOKUP(LEFT($A151,LEN(A151)-1)*1,Master!$D$29:$G$225,4,FALSE)</f>
        <v>Izdaci za kupovinu hartija od vrijednosti</v>
      </c>
      <c r="C151" s="592"/>
      <c r="D151" s="592"/>
      <c r="E151" s="592"/>
      <c r="F151" s="592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49">
        <f t="shared" si="19"/>
        <v>2010000</v>
      </c>
      <c r="T151" s="450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601" t="str">
        <f>+VLOOKUP(LEFT($A152,LEN(A152)-1)*1,Master!$D$29:$G$225,4,FALSE)</f>
        <v>Nedostajuća sredstva</v>
      </c>
      <c r="C152" s="602"/>
      <c r="D152" s="602"/>
      <c r="E152" s="602"/>
      <c r="F152" s="602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6">
        <f t="shared" si="20"/>
        <v>-19.045640996638557</v>
      </c>
    </row>
    <row r="153" spans="1:23" ht="13.5" thickBot="1">
      <c r="A153" s="117" t="str">
        <f t="shared" si="29"/>
        <v>1003p</v>
      </c>
      <c r="B153" s="591" t="str">
        <f>+VLOOKUP(LEFT($A153,LEN(A153)-1)*1,Master!$D$29:$G$225,4,FALSE)</f>
        <v>Finansiranje</v>
      </c>
      <c r="C153" s="592"/>
      <c r="D153" s="592"/>
      <c r="E153" s="592"/>
      <c r="F153" s="592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7">
        <f t="shared" si="20"/>
        <v>19.045640996638557</v>
      </c>
    </row>
    <row r="154" spans="1:23">
      <c r="A154" s="117" t="str">
        <f t="shared" si="29"/>
        <v>7511p</v>
      </c>
      <c r="B154" s="603" t="str">
        <f>+VLOOKUP(LEFT($A154,LEN(A154)-1)*1,Master!$D$29:$G$225,4,FALSE)</f>
        <v>Pozajmice i krediti od domaćih izvora</v>
      </c>
      <c r="C154" s="604"/>
      <c r="D154" s="604"/>
      <c r="E154" s="604"/>
      <c r="F154" s="604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4">
        <f t="shared" si="20"/>
        <v>0</v>
      </c>
    </row>
    <row r="155" spans="1:23">
      <c r="A155" s="117" t="str">
        <f t="shared" si="29"/>
        <v>7512p</v>
      </c>
      <c r="B155" s="597" t="str">
        <f>+VLOOKUP(LEFT($A155,LEN(A155)-1)*1,Master!$D$29:$G$225,4,FALSE)</f>
        <v>Pozajmice i krediti od inostranih izvora</v>
      </c>
      <c r="C155" s="598"/>
      <c r="D155" s="598"/>
      <c r="E155" s="598"/>
      <c r="F155" s="598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4">
        <f t="shared" si="20"/>
        <v>7.1948775823150264</v>
      </c>
    </row>
    <row r="156" spans="1:23">
      <c r="A156" s="117" t="str">
        <f t="shared" si="29"/>
        <v>72p</v>
      </c>
      <c r="B156" s="597" t="str">
        <f>+VLOOKUP(LEFT($A156,LEN(A156)-1)*1,Master!$D$29:$G$225,4,FALSE)</f>
        <v>Primici od prodaje imovine</v>
      </c>
      <c r="C156" s="598"/>
      <c r="D156" s="598"/>
      <c r="E156" s="598"/>
      <c r="F156" s="598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4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+VLOOKUP(LEFT($A157,LEN(A157)-1)*1,Master!$D$29:$G$225,4,FALSE)</f>
        <v>Povećanje / smanjenje depozita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8">
        <f t="shared" si="20"/>
        <v>11.720535298073237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Y159"/>
  <sheetViews>
    <sheetView zoomScaleNormal="100" workbookViewId="0">
      <pane ySplit="1" topLeftCell="A35" activePane="bottomLeft" state="frozen"/>
      <selection pane="bottomLeft" activeCell="I53" sqref="I5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2"/>
    </row>
    <row r="5" spans="1:20" s="1" customFormat="1" ht="26.25" customHeight="1">
      <c r="A5" s="231"/>
      <c r="B5" s="126"/>
      <c r="C5" s="126"/>
      <c r="D5" s="126"/>
      <c r="E5" s="500">
        <f>+SUM(G10:I10)</f>
        <v>371325583.83000004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758</v>
      </c>
      <c r="H6" s="234" t="s">
        <v>759</v>
      </c>
      <c r="I6" s="234" t="s">
        <v>760</v>
      </c>
      <c r="J6" s="234" t="s">
        <v>761</v>
      </c>
      <c r="K6" s="234" t="s">
        <v>762</v>
      </c>
      <c r="L6" s="234" t="s">
        <v>763</v>
      </c>
      <c r="M6" s="234" t="s">
        <v>764</v>
      </c>
      <c r="N6" s="234" t="s">
        <v>765</v>
      </c>
      <c r="O6" s="234" t="s">
        <v>766</v>
      </c>
      <c r="P6" s="234" t="s">
        <v>767</v>
      </c>
      <c r="Q6" s="234" t="s">
        <v>768</v>
      </c>
      <c r="R6" s="234" t="s">
        <v>769</v>
      </c>
      <c r="S6" s="233"/>
      <c r="T6" s="233"/>
    </row>
    <row r="7" spans="1:20" ht="15" customHeight="1" thickBot="1">
      <c r="A7" s="144"/>
      <c r="B7" s="555" t="s">
        <v>554</v>
      </c>
      <c r="C7" s="536"/>
      <c r="D7" s="536"/>
      <c r="E7" s="536"/>
      <c r="F7" s="536"/>
      <c r="G7" s="544">
        <v>2019</v>
      </c>
      <c r="H7" s="545"/>
      <c r="I7" s="545"/>
      <c r="J7" s="545"/>
      <c r="K7" s="545"/>
      <c r="L7" s="545"/>
      <c r="M7" s="545"/>
      <c r="N7" s="545"/>
      <c r="O7" s="545"/>
      <c r="P7" s="545"/>
      <c r="Q7" s="545"/>
      <c r="R7" s="548"/>
      <c r="S7" s="235" t="s">
        <v>419</v>
      </c>
      <c r="T7" s="236">
        <v>4951000000</v>
      </c>
    </row>
    <row r="8" spans="1:20" ht="16.5" customHeight="1">
      <c r="A8" s="144"/>
      <c r="B8" s="537"/>
      <c r="C8" s="538"/>
      <c r="D8" s="538"/>
      <c r="E8" s="538"/>
      <c r="F8" s="539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44" t="s">
        <v>809</v>
      </c>
      <c r="T8" s="548"/>
    </row>
    <row r="9" spans="1:20" ht="13.5" thickBot="1">
      <c r="A9" s="144"/>
      <c r="B9" s="540"/>
      <c r="C9" s="541"/>
      <c r="D9" s="541"/>
      <c r="E9" s="541"/>
      <c r="F9" s="542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15" t="s">
        <v>681</v>
      </c>
      <c r="C10" s="516"/>
      <c r="D10" s="516"/>
      <c r="E10" s="516"/>
      <c r="F10" s="516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3">
        <f>+SUM(G10:R10)</f>
        <v>1885212618.1600001</v>
      </c>
      <c r="T10" s="368">
        <f>+S10/$T$7</f>
        <v>0.38077410990910932</v>
      </c>
    </row>
    <row r="11" spans="1:20">
      <c r="A11" s="150">
        <v>711</v>
      </c>
      <c r="B11" s="505" t="s">
        <v>21</v>
      </c>
      <c r="C11" s="506"/>
      <c r="D11" s="506"/>
      <c r="E11" s="506"/>
      <c r="F11" s="506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4">
        <f t="shared" ref="S11:S63" si="3">+SUM(G11:R11)</f>
        <v>1172748653.1199999</v>
      </c>
      <c r="T11" s="369">
        <f t="shared" ref="T11:T64" si="4">+S11/$T$7</f>
        <v>0.23687106708139768</v>
      </c>
    </row>
    <row r="12" spans="1:20">
      <c r="A12" s="150">
        <v>7111</v>
      </c>
      <c r="B12" s="507" t="s">
        <v>23</v>
      </c>
      <c r="C12" s="508"/>
      <c r="D12" s="508"/>
      <c r="E12" s="508"/>
      <c r="F12" s="508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5">
        <f t="shared" si="3"/>
        <v>125000927.16</v>
      </c>
      <c r="T12" s="370">
        <f t="shared" si="4"/>
        <v>2.5247612029892952E-2</v>
      </c>
    </row>
    <row r="13" spans="1:20">
      <c r="A13" s="150">
        <v>7112</v>
      </c>
      <c r="B13" s="507" t="s">
        <v>25</v>
      </c>
      <c r="C13" s="508"/>
      <c r="D13" s="508"/>
      <c r="E13" s="508"/>
      <c r="F13" s="508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5">
        <f t="shared" si="3"/>
        <v>72815973.079999998</v>
      </c>
      <c r="T13" s="370">
        <f t="shared" si="4"/>
        <v>1.4707326414865683E-2</v>
      </c>
    </row>
    <row r="14" spans="1:20">
      <c r="A14" s="150">
        <v>7113</v>
      </c>
      <c r="B14" s="507" t="s">
        <v>27</v>
      </c>
      <c r="C14" s="508"/>
      <c r="D14" s="508"/>
      <c r="E14" s="508"/>
      <c r="F14" s="508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5">
        <f t="shared" si="3"/>
        <v>2037253.77</v>
      </c>
      <c r="T14" s="370">
        <f t="shared" si="4"/>
        <v>4.1148329024439506E-4</v>
      </c>
    </row>
    <row r="15" spans="1:20">
      <c r="A15" s="150">
        <v>7114</v>
      </c>
      <c r="B15" s="507" t="s">
        <v>29</v>
      </c>
      <c r="C15" s="508"/>
      <c r="D15" s="508"/>
      <c r="E15" s="508"/>
      <c r="F15" s="508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5">
        <f t="shared" si="3"/>
        <v>695728953.52999997</v>
      </c>
      <c r="T15" s="370">
        <f t="shared" si="4"/>
        <v>0.14052291527570188</v>
      </c>
    </row>
    <row r="16" spans="1:20">
      <c r="A16" s="150">
        <v>7115</v>
      </c>
      <c r="B16" s="507" t="s">
        <v>31</v>
      </c>
      <c r="C16" s="508"/>
      <c r="D16" s="508"/>
      <c r="E16" s="508"/>
      <c r="F16" s="508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5">
        <f t="shared" si="3"/>
        <v>235518297.74000001</v>
      </c>
      <c r="T16" s="370">
        <f t="shared" si="4"/>
        <v>4.7569844019390024E-2</v>
      </c>
    </row>
    <row r="17" spans="1:25">
      <c r="A17" s="150">
        <v>7116</v>
      </c>
      <c r="B17" s="507" t="s">
        <v>33</v>
      </c>
      <c r="C17" s="508"/>
      <c r="D17" s="508"/>
      <c r="E17" s="508"/>
      <c r="F17" s="508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5">
        <f t="shared" si="3"/>
        <v>28526540.740000002</v>
      </c>
      <c r="T17" s="370">
        <f t="shared" si="4"/>
        <v>5.7617735285800855E-3</v>
      </c>
    </row>
    <row r="18" spans="1:25">
      <c r="A18" s="150">
        <v>7118</v>
      </c>
      <c r="B18" s="507" t="s">
        <v>722</v>
      </c>
      <c r="C18" s="508"/>
      <c r="D18" s="508"/>
      <c r="E18" s="508"/>
      <c r="F18" s="508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5">
        <f t="shared" si="3"/>
        <v>13120707.100000001</v>
      </c>
      <c r="T18" s="370">
        <f t="shared" si="4"/>
        <v>2.6501125227226825E-3</v>
      </c>
    </row>
    <row r="19" spans="1:25">
      <c r="A19" s="150">
        <v>712</v>
      </c>
      <c r="B19" s="511" t="s">
        <v>37</v>
      </c>
      <c r="C19" s="512"/>
      <c r="D19" s="512"/>
      <c r="E19" s="512"/>
      <c r="F19" s="512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6">
        <f t="shared" si="3"/>
        <v>546265768.94000006</v>
      </c>
      <c r="T19" s="371">
        <f t="shared" si="4"/>
        <v>0.11033443121389619</v>
      </c>
    </row>
    <row r="20" spans="1:25">
      <c r="A20" s="150">
        <v>7121</v>
      </c>
      <c r="B20" s="507" t="s">
        <v>39</v>
      </c>
      <c r="C20" s="508"/>
      <c r="D20" s="508"/>
      <c r="E20" s="508"/>
      <c r="F20" s="508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5">
        <f>+SUM(G20:R20)</f>
        <v>329181424.36000001</v>
      </c>
      <c r="T20" s="370">
        <f t="shared" si="4"/>
        <v>6.6487865958392248E-2</v>
      </c>
    </row>
    <row r="21" spans="1:25">
      <c r="A21" s="150">
        <v>7122</v>
      </c>
      <c r="B21" s="507" t="s">
        <v>41</v>
      </c>
      <c r="C21" s="508"/>
      <c r="D21" s="508"/>
      <c r="E21" s="508"/>
      <c r="F21" s="508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5">
        <f t="shared" si="3"/>
        <v>187748508.43000001</v>
      </c>
      <c r="T21" s="370">
        <f t="shared" si="4"/>
        <v>3.7921330727125835E-2</v>
      </c>
    </row>
    <row r="22" spans="1:25">
      <c r="A22" s="150">
        <v>7123</v>
      </c>
      <c r="B22" s="507" t="s">
        <v>43</v>
      </c>
      <c r="C22" s="508"/>
      <c r="D22" s="508"/>
      <c r="E22" s="508"/>
      <c r="F22" s="508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5">
        <f t="shared" si="3"/>
        <v>15122153.449999999</v>
      </c>
      <c r="T22" s="370">
        <f t="shared" si="4"/>
        <v>3.0543634518279132E-3</v>
      </c>
    </row>
    <row r="23" spans="1:25">
      <c r="A23" s="150">
        <v>7124</v>
      </c>
      <c r="B23" s="507" t="s">
        <v>45</v>
      </c>
      <c r="C23" s="508"/>
      <c r="D23" s="508"/>
      <c r="E23" s="508"/>
      <c r="F23" s="508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5">
        <f t="shared" si="3"/>
        <v>14213682.699999999</v>
      </c>
      <c r="T23" s="370">
        <f t="shared" si="4"/>
        <v>2.8708710765501916E-3</v>
      </c>
      <c r="Y23" s="305"/>
    </row>
    <row r="24" spans="1:25">
      <c r="A24" s="150">
        <v>713</v>
      </c>
      <c r="B24" s="509" t="s">
        <v>47</v>
      </c>
      <c r="C24" s="510"/>
      <c r="D24" s="510"/>
      <c r="E24" s="510"/>
      <c r="F24" s="510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6">
        <f t="shared" si="3"/>
        <v>15661588.439999998</v>
      </c>
      <c r="T24" s="371">
        <f t="shared" si="4"/>
        <v>3.1633182064229443E-3</v>
      </c>
      <c r="Y24" s="305"/>
    </row>
    <row r="25" spans="1:25">
      <c r="A25" s="150">
        <v>714</v>
      </c>
      <c r="B25" s="509" t="s">
        <v>61</v>
      </c>
      <c r="C25" s="510"/>
      <c r="D25" s="510"/>
      <c r="E25" s="510"/>
      <c r="F25" s="510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6">
        <f t="shared" si="3"/>
        <v>28237754.950000003</v>
      </c>
      <c r="T25" s="371">
        <f t="shared" si="4"/>
        <v>5.7034447485356504E-3</v>
      </c>
      <c r="W25" s="292"/>
    </row>
    <row r="26" spans="1:25">
      <c r="A26" s="150">
        <v>715</v>
      </c>
      <c r="B26" s="509" t="s">
        <v>81</v>
      </c>
      <c r="C26" s="510"/>
      <c r="D26" s="510"/>
      <c r="E26" s="510"/>
      <c r="F26" s="510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6">
        <f t="shared" si="3"/>
        <v>75820963.530000001</v>
      </c>
      <c r="T26" s="371">
        <f t="shared" si="4"/>
        <v>1.5314272577257121E-2</v>
      </c>
      <c r="W26" s="311"/>
    </row>
    <row r="27" spans="1:25">
      <c r="A27" s="150">
        <v>73</v>
      </c>
      <c r="B27" s="509" t="s">
        <v>99</v>
      </c>
      <c r="C27" s="510"/>
      <c r="D27" s="510"/>
      <c r="E27" s="510"/>
      <c r="F27" s="510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6">
        <f t="shared" si="3"/>
        <v>8269563.3099999996</v>
      </c>
      <c r="T27" s="371">
        <f t="shared" si="4"/>
        <v>1.6702814199151686E-3</v>
      </c>
    </row>
    <row r="28" spans="1:25" ht="13.5" thickBot="1">
      <c r="A28" s="150">
        <v>74</v>
      </c>
      <c r="B28" s="513" t="s">
        <v>105</v>
      </c>
      <c r="C28" s="514"/>
      <c r="D28" s="514"/>
      <c r="E28" s="514"/>
      <c r="F28" s="514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6">
        <f t="shared" si="3"/>
        <v>38208325.869999997</v>
      </c>
      <c r="T28" s="372">
        <f t="shared" si="4"/>
        <v>7.7172946616845079E-3</v>
      </c>
    </row>
    <row r="29" spans="1:25" ht="13.5" thickBot="1">
      <c r="A29" s="150">
        <v>4</v>
      </c>
      <c r="B29" s="515" t="s">
        <v>802</v>
      </c>
      <c r="C29" s="516"/>
      <c r="D29" s="516"/>
      <c r="E29" s="516"/>
      <c r="F29" s="516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7">
        <f t="shared" si="3"/>
        <v>2028496341.4899998</v>
      </c>
      <c r="T29" s="373">
        <f t="shared" si="4"/>
        <v>0.40971447010502926</v>
      </c>
    </row>
    <row r="30" spans="1:25" ht="13.5" thickBot="1">
      <c r="A30" s="150">
        <v>40</v>
      </c>
      <c r="B30" s="517" t="s">
        <v>120</v>
      </c>
      <c r="C30" s="518"/>
      <c r="D30" s="518"/>
      <c r="E30" s="518"/>
      <c r="F30" s="518"/>
      <c r="G30" s="181">
        <f>SUM(G31:G39)</f>
        <v>50239320.530000001</v>
      </c>
      <c r="H30" s="181">
        <f t="shared" ref="H30:R30" si="6">SUM(H31:H39)</f>
        <v>54920566.579999998</v>
      </c>
      <c r="I30" s="181">
        <f t="shared" si="6"/>
        <v>84090251.579999998</v>
      </c>
      <c r="J30" s="181">
        <f t="shared" si="6"/>
        <v>75185736.689999983</v>
      </c>
      <c r="K30" s="181">
        <f t="shared" si="6"/>
        <v>67102865.320000008</v>
      </c>
      <c r="L30" s="181">
        <f t="shared" si="6"/>
        <v>65490081.909999996</v>
      </c>
      <c r="M30" s="181">
        <f t="shared" si="6"/>
        <v>70554460.75</v>
      </c>
      <c r="N30" s="181">
        <f t="shared" si="6"/>
        <v>51929647.079999998</v>
      </c>
      <c r="O30" s="181">
        <f t="shared" si="6"/>
        <v>61431440.43999999</v>
      </c>
      <c r="P30" s="181">
        <f t="shared" si="6"/>
        <v>75122823.509999976</v>
      </c>
      <c r="Q30" s="181">
        <f t="shared" si="6"/>
        <v>64847443.090000004</v>
      </c>
      <c r="R30" s="181">
        <f t="shared" si="6"/>
        <v>101858132.54000002</v>
      </c>
      <c r="S30" s="388">
        <f t="shared" si="3"/>
        <v>822772770.01999998</v>
      </c>
      <c r="T30" s="374">
        <f t="shared" si="4"/>
        <v>0.16618314886285598</v>
      </c>
      <c r="U30" s="242"/>
    </row>
    <row r="31" spans="1:25">
      <c r="A31" s="150">
        <v>411</v>
      </c>
      <c r="B31" s="507" t="s">
        <v>122</v>
      </c>
      <c r="C31" s="508"/>
      <c r="D31" s="508"/>
      <c r="E31" s="508"/>
      <c r="F31" s="508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5">
        <f>+SUM(G31:R31)</f>
        <v>472853876.71000004</v>
      </c>
      <c r="T31" s="370">
        <f t="shared" si="4"/>
        <v>9.5506741407796414E-2</v>
      </c>
      <c r="U31" s="457"/>
      <c r="W31" s="257"/>
    </row>
    <row r="32" spans="1:25">
      <c r="A32" s="150">
        <v>412</v>
      </c>
      <c r="B32" s="507" t="s">
        <v>133</v>
      </c>
      <c r="C32" s="508"/>
      <c r="D32" s="508"/>
      <c r="E32" s="508"/>
      <c r="F32" s="508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5">
        <f t="shared" si="3"/>
        <v>15228326.93</v>
      </c>
      <c r="T32" s="370">
        <f t="shared" si="4"/>
        <v>3.0758083074126437E-3</v>
      </c>
    </row>
    <row r="33" spans="1:23">
      <c r="A33" s="150">
        <v>413</v>
      </c>
      <c r="B33" s="507" t="s">
        <v>148</v>
      </c>
      <c r="C33" s="508"/>
      <c r="D33" s="508"/>
      <c r="E33" s="508"/>
      <c r="F33" s="508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5">
        <f t="shared" si="3"/>
        <v>33231725.990000002</v>
      </c>
      <c r="T33" s="370">
        <f t="shared" si="4"/>
        <v>6.7121240133306403E-3</v>
      </c>
      <c r="U33" s="293"/>
    </row>
    <row r="34" spans="1:23">
      <c r="A34" s="360">
        <v>414</v>
      </c>
      <c r="B34" s="507" t="s">
        <v>162</v>
      </c>
      <c r="C34" s="508"/>
      <c r="D34" s="508"/>
      <c r="E34" s="508"/>
      <c r="F34" s="508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5">
        <f t="shared" si="3"/>
        <v>77664645.890000001</v>
      </c>
      <c r="T34" s="370">
        <f t="shared" si="4"/>
        <v>1.5686658430620077E-2</v>
      </c>
      <c r="U34" s="311"/>
      <c r="V34" s="291"/>
    </row>
    <row r="35" spans="1:23" s="361" customFormat="1">
      <c r="A35" s="150">
        <v>415</v>
      </c>
      <c r="B35" s="556" t="s">
        <v>182</v>
      </c>
      <c r="C35" s="557"/>
      <c r="D35" s="557"/>
      <c r="E35" s="557"/>
      <c r="F35" s="557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5">
        <f t="shared" si="3"/>
        <v>22511706.030000001</v>
      </c>
      <c r="T35" s="370">
        <f t="shared" si="4"/>
        <v>4.5469008341749145E-3</v>
      </c>
      <c r="U35" s="311"/>
    </row>
    <row r="36" spans="1:23">
      <c r="A36" s="150">
        <v>416</v>
      </c>
      <c r="B36" s="507" t="s">
        <v>190</v>
      </c>
      <c r="C36" s="508"/>
      <c r="D36" s="508"/>
      <c r="E36" s="508"/>
      <c r="F36" s="508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5">
        <f t="shared" si="3"/>
        <v>105803340.84999999</v>
      </c>
      <c r="T36" s="370">
        <f t="shared" si="4"/>
        <v>2.1370095101999595E-2</v>
      </c>
      <c r="U36" s="311"/>
    </row>
    <row r="37" spans="1:23">
      <c r="A37" s="150">
        <v>417</v>
      </c>
      <c r="B37" s="507" t="s">
        <v>196</v>
      </c>
      <c r="C37" s="508"/>
      <c r="D37" s="508"/>
      <c r="E37" s="508"/>
      <c r="F37" s="508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5">
        <f>+SUM(G37:R37)</f>
        <v>10953661.65</v>
      </c>
      <c r="T37" s="370">
        <f t="shared" si="4"/>
        <v>2.2124139870733188E-3</v>
      </c>
      <c r="U37" s="311"/>
    </row>
    <row r="38" spans="1:23">
      <c r="A38" s="150">
        <v>418</v>
      </c>
      <c r="B38" s="507" t="s">
        <v>204</v>
      </c>
      <c r="C38" s="508"/>
      <c r="D38" s="508"/>
      <c r="E38" s="508"/>
      <c r="F38" s="508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5">
        <f t="shared" si="3"/>
        <v>34566147.960000001</v>
      </c>
      <c r="T38" s="370">
        <f t="shared" si="4"/>
        <v>6.9816497596445161E-3</v>
      </c>
      <c r="U38" s="311"/>
    </row>
    <row r="39" spans="1:23">
      <c r="A39" s="360">
        <v>419</v>
      </c>
      <c r="B39" s="507" t="s">
        <v>212</v>
      </c>
      <c r="C39" s="508"/>
      <c r="D39" s="508"/>
      <c r="E39" s="508"/>
      <c r="F39" s="508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5">
        <f t="shared" si="3"/>
        <v>49959338.009999998</v>
      </c>
      <c r="T39" s="370">
        <f t="shared" si="4"/>
        <v>1.0090757020803878E-2</v>
      </c>
      <c r="U39" s="311"/>
    </row>
    <row r="40" spans="1:23" s="361" customFormat="1">
      <c r="A40" s="150">
        <v>42</v>
      </c>
      <c r="B40" s="523" t="s">
        <v>230</v>
      </c>
      <c r="C40" s="524"/>
      <c r="D40" s="524"/>
      <c r="E40" s="524"/>
      <c r="F40" s="524"/>
      <c r="G40" s="193">
        <f>SUM(G41:G45)</f>
        <v>42563180.95000001</v>
      </c>
      <c r="H40" s="193">
        <f t="shared" ref="H40:R40" si="7">SUM(H41:H45)</f>
        <v>46593450.350000001</v>
      </c>
      <c r="I40" s="193">
        <f t="shared" si="7"/>
        <v>45430932.770000003</v>
      </c>
      <c r="J40" s="193">
        <f t="shared" si="7"/>
        <v>45452256.159999996</v>
      </c>
      <c r="K40" s="193">
        <f t="shared" si="7"/>
        <v>45374524.750000007</v>
      </c>
      <c r="L40" s="193">
        <f t="shared" si="7"/>
        <v>45747596.940000005</v>
      </c>
      <c r="M40" s="193">
        <f t="shared" si="7"/>
        <v>46131052.630000003</v>
      </c>
      <c r="N40" s="193">
        <f t="shared" si="7"/>
        <v>45700495.499999993</v>
      </c>
      <c r="O40" s="193">
        <f t="shared" si="7"/>
        <v>45932966.689999998</v>
      </c>
      <c r="P40" s="193">
        <f t="shared" si="7"/>
        <v>46756374.820000008</v>
      </c>
      <c r="Q40" s="193">
        <f t="shared" si="7"/>
        <v>45188893.659999996</v>
      </c>
      <c r="R40" s="193">
        <f t="shared" si="7"/>
        <v>53477174.68</v>
      </c>
      <c r="S40" s="386">
        <f t="shared" si="3"/>
        <v>554348899.89999998</v>
      </c>
      <c r="T40" s="371">
        <f t="shared" si="4"/>
        <v>0.11196705713997172</v>
      </c>
      <c r="U40" s="311"/>
    </row>
    <row r="41" spans="1:23">
      <c r="A41" s="150">
        <v>421</v>
      </c>
      <c r="B41" s="507" t="s">
        <v>232</v>
      </c>
      <c r="C41" s="508"/>
      <c r="D41" s="508"/>
      <c r="E41" s="508"/>
      <c r="F41" s="508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5">
        <f t="shared" si="3"/>
        <v>79857118.899999991</v>
      </c>
      <c r="T41" s="370">
        <f t="shared" si="4"/>
        <v>1.6129492809533425E-2</v>
      </c>
      <c r="W41" s="309"/>
    </row>
    <row r="42" spans="1:23">
      <c r="A42" s="150">
        <v>422</v>
      </c>
      <c r="B42" s="507" t="s">
        <v>248</v>
      </c>
      <c r="C42" s="508"/>
      <c r="D42" s="508"/>
      <c r="E42" s="508"/>
      <c r="F42" s="508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5">
        <f t="shared" si="3"/>
        <v>20398152.109999999</v>
      </c>
      <c r="T42" s="370">
        <f t="shared" si="4"/>
        <v>4.1200064855584726E-3</v>
      </c>
    </row>
    <row r="43" spans="1:23">
      <c r="A43" s="150">
        <v>423</v>
      </c>
      <c r="B43" s="507" t="s">
        <v>259</v>
      </c>
      <c r="C43" s="508"/>
      <c r="D43" s="508"/>
      <c r="E43" s="508"/>
      <c r="F43" s="508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5">
        <f t="shared" si="3"/>
        <v>420870901.67999995</v>
      </c>
      <c r="T43" s="370">
        <f t="shared" si="4"/>
        <v>8.5007251399717224E-2</v>
      </c>
      <c r="V43" s="291"/>
    </row>
    <row r="44" spans="1:23">
      <c r="A44" s="150">
        <v>424</v>
      </c>
      <c r="B44" s="507" t="s">
        <v>274</v>
      </c>
      <c r="C44" s="508"/>
      <c r="D44" s="508"/>
      <c r="E44" s="508"/>
      <c r="F44" s="508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5">
        <f t="shared" si="3"/>
        <v>21699290.620000005</v>
      </c>
      <c r="T44" s="370">
        <f t="shared" si="4"/>
        <v>4.3828096586548178E-3</v>
      </c>
    </row>
    <row r="45" spans="1:23">
      <c r="A45" s="360">
        <v>425</v>
      </c>
      <c r="B45" s="507" t="s">
        <v>278</v>
      </c>
      <c r="C45" s="508"/>
      <c r="D45" s="508"/>
      <c r="E45" s="508"/>
      <c r="F45" s="508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5">
        <f t="shared" si="3"/>
        <v>11523436.590000002</v>
      </c>
      <c r="T45" s="370">
        <f t="shared" si="4"/>
        <v>2.3274967865077765E-3</v>
      </c>
      <c r="U45" s="353"/>
    </row>
    <row r="46" spans="1:23" s="361" customFormat="1">
      <c r="A46" s="150">
        <v>43</v>
      </c>
      <c r="B46" s="521" t="s">
        <v>286</v>
      </c>
      <c r="C46" s="522"/>
      <c r="D46" s="522"/>
      <c r="E46" s="522"/>
      <c r="F46" s="522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6">
        <f t="shared" si="3"/>
        <v>219689949.60999998</v>
      </c>
      <c r="T46" s="371">
        <f t="shared" si="4"/>
        <v>4.4372843791153298E-2</v>
      </c>
    </row>
    <row r="47" spans="1:23">
      <c r="A47" s="150">
        <v>44</v>
      </c>
      <c r="B47" s="521" t="s">
        <v>320</v>
      </c>
      <c r="C47" s="522"/>
      <c r="D47" s="522"/>
      <c r="E47" s="522"/>
      <c r="F47" s="522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6">
        <f t="shared" si="3"/>
        <v>344885621.69999993</v>
      </c>
      <c r="T47" s="371">
        <f t="shared" si="4"/>
        <v>6.965979028479094E-2</v>
      </c>
      <c r="U47" s="291"/>
    </row>
    <row r="48" spans="1:23">
      <c r="A48" s="150">
        <v>451</v>
      </c>
      <c r="B48" s="560" t="s">
        <v>113</v>
      </c>
      <c r="C48" s="561"/>
      <c r="D48" s="561"/>
      <c r="E48" s="561"/>
      <c r="F48" s="561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5">
        <f t="shared" si="3"/>
        <v>3176935.98</v>
      </c>
      <c r="T48" s="370">
        <f t="shared" si="4"/>
        <v>6.416756170470612E-4</v>
      </c>
    </row>
    <row r="49" spans="1:22" s="361" customFormat="1">
      <c r="A49" s="360">
        <v>47</v>
      </c>
      <c r="B49" s="565" t="s">
        <v>366</v>
      </c>
      <c r="C49" s="566"/>
      <c r="D49" s="566"/>
      <c r="E49" s="566"/>
      <c r="F49" s="566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5">
        <f t="shared" si="3"/>
        <v>24296455.589999996</v>
      </c>
      <c r="T49" s="370">
        <f t="shared" si="4"/>
        <v>4.9073834760654409E-3</v>
      </c>
    </row>
    <row r="50" spans="1:22" ht="13.5" thickBot="1">
      <c r="A50" s="150">
        <v>462</v>
      </c>
      <c r="B50" s="527" t="s">
        <v>359</v>
      </c>
      <c r="C50" s="528"/>
      <c r="D50" s="528"/>
      <c r="E50" s="528"/>
      <c r="F50" s="528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5">
        <f t="shared" si="3"/>
        <v>38684699.409999996</v>
      </c>
      <c r="T50" s="375">
        <f t="shared" si="4"/>
        <v>7.8135123025651378E-3</v>
      </c>
      <c r="U50" s="292"/>
      <c r="V50" s="293"/>
    </row>
    <row r="51" spans="1:22" ht="13.5" thickBot="1">
      <c r="A51" s="144">
        <v>4630</v>
      </c>
      <c r="B51" s="567" t="s">
        <v>795</v>
      </c>
      <c r="C51" s="568"/>
      <c r="D51" s="568"/>
      <c r="E51" s="568"/>
      <c r="F51" s="568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0">
        <f>+SUM(G51:R51)</f>
        <v>20641009.280000001</v>
      </c>
      <c r="T51" s="375">
        <f>+S51/$T$7</f>
        <v>4.1690586305796811E-3</v>
      </c>
    </row>
    <row r="52" spans="1:22" ht="13.5" thickBot="1">
      <c r="A52" s="70">
        <v>1005</v>
      </c>
      <c r="B52" s="569" t="s">
        <v>685</v>
      </c>
      <c r="C52" s="570"/>
      <c r="D52" s="570"/>
      <c r="E52" s="570"/>
      <c r="F52" s="570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1">
        <f>+SUM(G52:R52)</f>
        <v>0</v>
      </c>
      <c r="T52" s="376">
        <f>+S52/$T$7</f>
        <v>0</v>
      </c>
    </row>
    <row r="53" spans="1:22" ht="13.5" thickBot="1">
      <c r="A53" s="144">
        <v>1000</v>
      </c>
      <c r="B53" s="529" t="s">
        <v>545</v>
      </c>
      <c r="C53" s="530"/>
      <c r="D53" s="530"/>
      <c r="E53" s="530"/>
      <c r="F53" s="530"/>
      <c r="G53" s="151">
        <f t="shared" ref="G53:R53" si="8">+G10-G29</f>
        <v>-32293894.080000013</v>
      </c>
      <c r="H53" s="151">
        <f t="shared" si="8"/>
        <v>-14400637.450000003</v>
      </c>
      <c r="I53" s="151">
        <f t="shared" si="8"/>
        <v>-24605259.449999988</v>
      </c>
      <c r="J53" s="151">
        <f t="shared" si="8"/>
        <v>10157505.210000008</v>
      </c>
      <c r="K53" s="151">
        <f t="shared" si="8"/>
        <v>-1970111.180000037</v>
      </c>
      <c r="L53" s="151">
        <f t="shared" si="8"/>
        <v>-836313.71000000834</v>
      </c>
      <c r="M53" s="151">
        <f t="shared" si="8"/>
        <v>-5254154.0799999833</v>
      </c>
      <c r="N53" s="151">
        <f t="shared" si="8"/>
        <v>14448916.120000005</v>
      </c>
      <c r="O53" s="151">
        <f t="shared" si="8"/>
        <v>16560443.75000003</v>
      </c>
      <c r="P53" s="151">
        <f t="shared" si="8"/>
        <v>-22562595.639999956</v>
      </c>
      <c r="Q53" s="151">
        <f t="shared" si="8"/>
        <v>-49894863.75</v>
      </c>
      <c r="R53" s="151">
        <f t="shared" si="8"/>
        <v>-32632759.069999993</v>
      </c>
      <c r="S53" s="392">
        <f t="shared" si="3"/>
        <v>-143283723.32999992</v>
      </c>
      <c r="T53" s="377">
        <f t="shared" si="4"/>
        <v>-2.8940360195920001E-2</v>
      </c>
    </row>
    <row r="54" spans="1:22" ht="13.5" thickBot="1">
      <c r="A54" s="144">
        <v>1001</v>
      </c>
      <c r="B54" s="531" t="s">
        <v>793</v>
      </c>
      <c r="C54" s="532"/>
      <c r="D54" s="532"/>
      <c r="E54" s="532"/>
      <c r="F54" s="532"/>
      <c r="G54" s="205">
        <f>+G53+G36</f>
        <v>-26139041.180000015</v>
      </c>
      <c r="H54" s="205">
        <f t="shared" ref="H54:R54" si="9">+H53+H36</f>
        <v>-13401295.910000004</v>
      </c>
      <c r="I54" s="205">
        <f t="shared" si="9"/>
        <v>4090254.2000000104</v>
      </c>
      <c r="J54" s="205">
        <f t="shared" si="9"/>
        <v>28592777.000000007</v>
      </c>
      <c r="K54" s="205">
        <f t="shared" si="9"/>
        <v>8288732.8899999633</v>
      </c>
      <c r="L54" s="205">
        <f t="shared" si="9"/>
        <v>4575453.2299999921</v>
      </c>
      <c r="M54" s="205">
        <f t="shared" si="9"/>
        <v>3793179.1200000159</v>
      </c>
      <c r="N54" s="205">
        <f t="shared" si="9"/>
        <v>15500183.450000005</v>
      </c>
      <c r="O54" s="205">
        <f t="shared" si="9"/>
        <v>19559829.68000003</v>
      </c>
      <c r="P54" s="205">
        <f t="shared" si="9"/>
        <v>-10033402.149999956</v>
      </c>
      <c r="Q54" s="205">
        <f t="shared" si="9"/>
        <v>-45439053.560000002</v>
      </c>
      <c r="R54" s="205">
        <f t="shared" si="9"/>
        <v>-26867999.249999993</v>
      </c>
      <c r="S54" s="392">
        <f t="shared" si="3"/>
        <v>-37480382.479999945</v>
      </c>
      <c r="T54" s="377">
        <f t="shared" si="4"/>
        <v>-7.5702650939204093E-3</v>
      </c>
    </row>
    <row r="55" spans="1:22">
      <c r="A55" s="144">
        <v>46</v>
      </c>
      <c r="B55" s="553" t="s">
        <v>352</v>
      </c>
      <c r="C55" s="554"/>
      <c r="D55" s="554"/>
      <c r="E55" s="554"/>
      <c r="F55" s="554"/>
      <c r="G55" s="193">
        <f t="shared" ref="G55:R55" si="10">+SUM(G56:G57)</f>
        <v>19518367.399999999</v>
      </c>
      <c r="H55" s="193">
        <f t="shared" si="10"/>
        <v>67365423.120000005</v>
      </c>
      <c r="I55" s="193">
        <f t="shared" si="10"/>
        <v>17786584.469999999</v>
      </c>
      <c r="J55" s="193">
        <f t="shared" si="10"/>
        <v>18302050.879999999</v>
      </c>
      <c r="K55" s="193">
        <f t="shared" si="10"/>
        <v>183682731.81999999</v>
      </c>
      <c r="L55" s="193">
        <f t="shared" si="10"/>
        <v>11094774.199999999</v>
      </c>
      <c r="M55" s="193">
        <f t="shared" si="10"/>
        <v>80471032.019999996</v>
      </c>
      <c r="N55" s="193">
        <f t="shared" si="10"/>
        <v>57755617.170000002</v>
      </c>
      <c r="O55" s="193">
        <f t="shared" si="10"/>
        <v>17889318.350000001</v>
      </c>
      <c r="P55" s="193">
        <f t="shared" si="10"/>
        <v>11092379.140000001</v>
      </c>
      <c r="Q55" s="193">
        <f t="shared" si="10"/>
        <v>10162494.119999999</v>
      </c>
      <c r="R55" s="193">
        <f t="shared" si="10"/>
        <v>12220480.4</v>
      </c>
      <c r="S55" s="393">
        <f t="shared" si="3"/>
        <v>507341253.08999997</v>
      </c>
      <c r="T55" s="378">
        <f t="shared" si="4"/>
        <v>0.10247248093112502</v>
      </c>
      <c r="V55" s="309"/>
    </row>
    <row r="56" spans="1:22">
      <c r="A56" s="144">
        <v>4611</v>
      </c>
      <c r="B56" s="549" t="s">
        <v>355</v>
      </c>
      <c r="C56" s="550"/>
      <c r="D56" s="550"/>
      <c r="E56" s="550"/>
      <c r="F56" s="550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4">
        <f t="shared" si="3"/>
        <v>178415558.27999997</v>
      </c>
      <c r="T56" s="379">
        <f t="shared" si="4"/>
        <v>3.6036267073318515E-2</v>
      </c>
      <c r="V56" s="353"/>
    </row>
    <row r="57" spans="1:22">
      <c r="A57" s="144">
        <v>4612</v>
      </c>
      <c r="B57" s="525" t="s">
        <v>357</v>
      </c>
      <c r="C57" s="526"/>
      <c r="D57" s="526"/>
      <c r="E57" s="526"/>
      <c r="F57" s="526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4">
        <f t="shared" si="3"/>
        <v>328925694.81</v>
      </c>
      <c r="T57" s="379">
        <f t="shared" si="4"/>
        <v>6.64362138578065E-2</v>
      </c>
      <c r="V57" s="318"/>
    </row>
    <row r="58" spans="1:22" ht="13.5" thickBot="1">
      <c r="A58" s="144">
        <v>4418</v>
      </c>
      <c r="B58" s="609" t="s">
        <v>336</v>
      </c>
      <c r="C58" s="610"/>
      <c r="D58" s="610"/>
      <c r="E58" s="610"/>
      <c r="F58" s="610"/>
      <c r="G58" s="497">
        <f>DataEx!FF167</f>
        <v>0</v>
      </c>
      <c r="H58" s="497">
        <f>DataEx!FG167</f>
        <v>35272.089999999997</v>
      </c>
      <c r="I58" s="497">
        <f>DataEx!FH167</f>
        <v>0</v>
      </c>
      <c r="J58" s="497">
        <f>DataEx!FI167</f>
        <v>39948396.369999997</v>
      </c>
      <c r="K58" s="497">
        <f>DataEx!FJ167</f>
        <v>0</v>
      </c>
      <c r="L58" s="497">
        <f>DataEx!FK167</f>
        <v>0</v>
      </c>
      <c r="M58" s="497">
        <f>DataEx!FL167</f>
        <v>0</v>
      </c>
      <c r="N58" s="497">
        <f>DataEx!FM167</f>
        <v>0</v>
      </c>
      <c r="O58" s="497">
        <f>DataEx!FN167</f>
        <v>0</v>
      </c>
      <c r="P58" s="497">
        <f>DataEx!FO167</f>
        <v>0</v>
      </c>
      <c r="Q58" s="497">
        <f>DataEx!FP167</f>
        <v>14495201.140000001</v>
      </c>
      <c r="R58" s="497">
        <f>DataEx!FQ167</f>
        <v>2849828.78</v>
      </c>
      <c r="S58" s="498">
        <f>SUM(G58:R58)</f>
        <v>57328698.380000003</v>
      </c>
      <c r="T58" s="499">
        <f>+S58/$T$7</f>
        <v>1.1579215992728742E-2</v>
      </c>
      <c r="V58" s="318"/>
    </row>
    <row r="59" spans="1:22" ht="13.5" thickBot="1">
      <c r="A59" s="144">
        <v>1002</v>
      </c>
      <c r="B59" s="551" t="s">
        <v>543</v>
      </c>
      <c r="C59" s="552"/>
      <c r="D59" s="552"/>
      <c r="E59" s="552"/>
      <c r="F59" s="552"/>
      <c r="G59" s="217">
        <f>+G53-G55-G58</f>
        <v>-51812261.480000012</v>
      </c>
      <c r="H59" s="217">
        <f t="shared" ref="H59:R59" si="11">+H53-H55-H58</f>
        <v>-81801332.660000011</v>
      </c>
      <c r="I59" s="217">
        <f t="shared" si="11"/>
        <v>-42391843.919999987</v>
      </c>
      <c r="J59" s="217">
        <f t="shared" si="11"/>
        <v>-48092942.039999992</v>
      </c>
      <c r="K59" s="217">
        <f t="shared" si="11"/>
        <v>-185652843.00000003</v>
      </c>
      <c r="L59" s="217">
        <f t="shared" si="11"/>
        <v>-11931087.910000008</v>
      </c>
      <c r="M59" s="217">
        <f t="shared" si="11"/>
        <v>-85725186.099999979</v>
      </c>
      <c r="N59" s="217">
        <f t="shared" si="11"/>
        <v>-43306701.049999997</v>
      </c>
      <c r="O59" s="217">
        <f t="shared" si="11"/>
        <v>-1328874.5999999717</v>
      </c>
      <c r="P59" s="217">
        <f t="shared" si="11"/>
        <v>-33654974.779999956</v>
      </c>
      <c r="Q59" s="217">
        <f t="shared" si="11"/>
        <v>-74552559.00999999</v>
      </c>
      <c r="R59" s="217">
        <f t="shared" si="11"/>
        <v>-47703068.249999993</v>
      </c>
      <c r="S59" s="395">
        <f t="shared" si="3"/>
        <v>-707953674.79999995</v>
      </c>
      <c r="T59" s="380">
        <f t="shared" si="4"/>
        <v>-0.14299205711977378</v>
      </c>
    </row>
    <row r="60" spans="1:22" ht="13.5" thickBot="1">
      <c r="A60" s="144">
        <v>1003</v>
      </c>
      <c r="B60" s="515" t="s">
        <v>544</v>
      </c>
      <c r="C60" s="516"/>
      <c r="D60" s="516"/>
      <c r="E60" s="516"/>
      <c r="F60" s="516"/>
      <c r="G60" s="151">
        <f>+SUM(G61:G64)</f>
        <v>51812261.480000012</v>
      </c>
      <c r="H60" s="151">
        <f t="shared" ref="H60:R60" si="12">+SUM(H61:H64)</f>
        <v>81801332.660000011</v>
      </c>
      <c r="I60" s="151">
        <f t="shared" si="12"/>
        <v>42391843.919999987</v>
      </c>
      <c r="J60" s="151">
        <f t="shared" si="12"/>
        <v>48092942.039999992</v>
      </c>
      <c r="K60" s="151">
        <f t="shared" si="12"/>
        <v>185652843.00000003</v>
      </c>
      <c r="L60" s="151">
        <f t="shared" si="12"/>
        <v>11931087.910000008</v>
      </c>
      <c r="M60" s="151">
        <f t="shared" si="12"/>
        <v>85725186.099999979</v>
      </c>
      <c r="N60" s="151">
        <f t="shared" si="12"/>
        <v>43306701.049999997</v>
      </c>
      <c r="O60" s="151">
        <f t="shared" si="12"/>
        <v>1328874.5999999717</v>
      </c>
      <c r="P60" s="151">
        <f t="shared" si="12"/>
        <v>33654974.779999971</v>
      </c>
      <c r="Q60" s="151">
        <f t="shared" si="12"/>
        <v>74552559.00999999</v>
      </c>
      <c r="R60" s="151">
        <f t="shared" si="12"/>
        <v>47703068.249999993</v>
      </c>
      <c r="S60" s="396">
        <f t="shared" si="3"/>
        <v>707953674.79999995</v>
      </c>
      <c r="T60" s="381">
        <f t="shared" si="4"/>
        <v>0.14299205711977378</v>
      </c>
    </row>
    <row r="61" spans="1:22">
      <c r="A61" s="144">
        <v>7511</v>
      </c>
      <c r="B61" s="549" t="s">
        <v>114</v>
      </c>
      <c r="C61" s="550"/>
      <c r="D61" s="550"/>
      <c r="E61" s="550"/>
      <c r="F61" s="550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4">
        <f t="shared" si="3"/>
        <v>363438000</v>
      </c>
      <c r="T61" s="379">
        <f t="shared" si="4"/>
        <v>7.3406988487174307E-2</v>
      </c>
    </row>
    <row r="62" spans="1:22">
      <c r="A62" s="144">
        <v>7512</v>
      </c>
      <c r="B62" s="525" t="s">
        <v>116</v>
      </c>
      <c r="C62" s="526"/>
      <c r="D62" s="526"/>
      <c r="E62" s="526"/>
      <c r="F62" s="526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4">
        <f t="shared" si="3"/>
        <v>651580293.42999995</v>
      </c>
      <c r="T62" s="379">
        <f t="shared" si="4"/>
        <v>0.13160579548172086</v>
      </c>
    </row>
    <row r="63" spans="1:22">
      <c r="A63" s="144">
        <v>72</v>
      </c>
      <c r="B63" s="525" t="s">
        <v>93</v>
      </c>
      <c r="C63" s="526"/>
      <c r="D63" s="526"/>
      <c r="E63" s="526"/>
      <c r="F63" s="526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4">
        <f t="shared" si="3"/>
        <v>4278082.92</v>
      </c>
      <c r="T63" s="379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3">-H59-SUM(H61:H63)</f>
        <v>23804487.060000017</v>
      </c>
      <c r="I64" s="225">
        <f t="shared" si="13"/>
        <v>28151297.249999985</v>
      </c>
      <c r="J64" s="225">
        <f t="shared" si="13"/>
        <v>-33195979.890000001</v>
      </c>
      <c r="K64" s="225">
        <f t="shared" si="13"/>
        <v>109757718.66000003</v>
      </c>
      <c r="L64" s="225">
        <f t="shared" si="13"/>
        <v>2424075.2900000084</v>
      </c>
      <c r="M64" s="225">
        <f t="shared" si="13"/>
        <v>64666609.949999981</v>
      </c>
      <c r="N64" s="225">
        <f t="shared" si="13"/>
        <v>-43258650.699999988</v>
      </c>
      <c r="O64" s="225">
        <f t="shared" si="13"/>
        <v>-7917512.7800000291</v>
      </c>
      <c r="P64" s="225">
        <f t="shared" si="13"/>
        <v>-479707297.42000002</v>
      </c>
      <c r="Q64" s="225">
        <f t="shared" si="13"/>
        <v>17128605.839999996</v>
      </c>
      <c r="R64" s="225">
        <f t="shared" si="13"/>
        <v>-1232792.0200000033</v>
      </c>
      <c r="S64" s="397">
        <f>+SUM(G64:R64)</f>
        <v>-311342701.55000001</v>
      </c>
      <c r="T64" s="382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77" t="s">
        <v>552</v>
      </c>
      <c r="C100" s="578"/>
      <c r="D100" s="578"/>
      <c r="E100" s="578"/>
      <c r="F100" s="578"/>
      <c r="G100" s="562">
        <v>2019</v>
      </c>
      <c r="H100" s="563"/>
      <c r="I100" s="563"/>
      <c r="J100" s="563"/>
      <c r="K100" s="563"/>
      <c r="L100" s="563"/>
      <c r="M100" s="563"/>
      <c r="N100" s="563"/>
      <c r="O100" s="563"/>
      <c r="P100" s="563"/>
      <c r="Q100" s="563"/>
      <c r="R100" s="564"/>
      <c r="S100" s="107" t="str">
        <f>+S7</f>
        <v>BDP</v>
      </c>
      <c r="T100" s="108">
        <f>+T7</f>
        <v>4951000000</v>
      </c>
    </row>
    <row r="101" spans="1:21" ht="15.75" customHeight="1">
      <c r="B101" s="579"/>
      <c r="C101" s="580"/>
      <c r="D101" s="580"/>
      <c r="E101" s="580"/>
      <c r="F101" s="581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62" t="s">
        <v>809</v>
      </c>
      <c r="T101" s="564">
        <f>+T8</f>
        <v>0</v>
      </c>
    </row>
    <row r="102" spans="1:21" ht="13.5" thickBot="1">
      <c r="B102" s="582"/>
      <c r="C102" s="583"/>
      <c r="D102" s="583"/>
      <c r="E102" s="583"/>
      <c r="F102" s="584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6">+CONCATENATE(A10,"p")</f>
        <v>7p</v>
      </c>
      <c r="B103" s="571" t="s">
        <v>681</v>
      </c>
      <c r="C103" s="572"/>
      <c r="D103" s="572"/>
      <c r="E103" s="572"/>
      <c r="F103" s="572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398">
        <f>+SUM(G103:R103)</f>
        <v>1834032913.7635608</v>
      </c>
      <c r="T103" s="411">
        <f>+S103/$T$7</f>
        <v>0.37043686402010922</v>
      </c>
    </row>
    <row r="104" spans="1:21">
      <c r="A104" s="116" t="str">
        <f t="shared" si="16"/>
        <v>711p</v>
      </c>
      <c r="B104" s="573" t="s">
        <v>21</v>
      </c>
      <c r="C104" s="574"/>
      <c r="D104" s="574"/>
      <c r="E104" s="574"/>
      <c r="F104" s="574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399">
        <f t="shared" ref="S104:S159" si="19">+SUM(G104:R104)</f>
        <v>1122669950.9867301</v>
      </c>
      <c r="T104" s="412">
        <f t="shared" ref="T104:T159" si="20">+S104/$T$7</f>
        <v>0.22675620096682086</v>
      </c>
      <c r="U104" s="257"/>
    </row>
    <row r="105" spans="1:21">
      <c r="A105" s="116" t="str">
        <f t="shared" si="16"/>
        <v>7111p</v>
      </c>
      <c r="B105" s="575" t="s">
        <v>23</v>
      </c>
      <c r="C105" s="576"/>
      <c r="D105" s="576"/>
      <c r="E105" s="576"/>
      <c r="F105" s="576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0">
        <f t="shared" si="19"/>
        <v>120237518.04497004</v>
      </c>
      <c r="T105" s="413">
        <f t="shared" si="20"/>
        <v>2.4285501523928506E-2</v>
      </c>
    </row>
    <row r="106" spans="1:21">
      <c r="A106" s="116" t="str">
        <f t="shared" si="16"/>
        <v>7112p</v>
      </c>
      <c r="B106" s="575" t="s">
        <v>25</v>
      </c>
      <c r="C106" s="576"/>
      <c r="D106" s="576"/>
      <c r="E106" s="576"/>
      <c r="F106" s="576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0">
        <f t="shared" si="19"/>
        <v>71194860.131909981</v>
      </c>
      <c r="T106" s="413">
        <f t="shared" si="20"/>
        <v>1.4379894997356086E-2</v>
      </c>
    </row>
    <row r="107" spans="1:21">
      <c r="A107" s="116" t="str">
        <f t="shared" si="16"/>
        <v>7113p</v>
      </c>
      <c r="B107" s="575" t="s">
        <v>27</v>
      </c>
      <c r="C107" s="576"/>
      <c r="D107" s="576"/>
      <c r="E107" s="576"/>
      <c r="F107" s="576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0">
        <f t="shared" si="19"/>
        <v>1862816.4104000002</v>
      </c>
      <c r="T107" s="413">
        <f t="shared" si="20"/>
        <v>3.7625053734599074E-4</v>
      </c>
    </row>
    <row r="108" spans="1:21">
      <c r="A108" s="116" t="str">
        <f t="shared" si="16"/>
        <v>7114p</v>
      </c>
      <c r="B108" s="575" t="s">
        <v>29</v>
      </c>
      <c r="C108" s="576"/>
      <c r="D108" s="576"/>
      <c r="E108" s="576"/>
      <c r="F108" s="576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0">
        <f t="shared" si="19"/>
        <v>657905657.67184997</v>
      </c>
      <c r="T108" s="413">
        <f t="shared" si="20"/>
        <v>0.1328833887440618</v>
      </c>
    </row>
    <row r="109" spans="1:21">
      <c r="A109" s="116" t="str">
        <f t="shared" si="16"/>
        <v>7115p</v>
      </c>
      <c r="B109" s="575" t="s">
        <v>31</v>
      </c>
      <c r="C109" s="576"/>
      <c r="D109" s="576"/>
      <c r="E109" s="576"/>
      <c r="F109" s="576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0">
        <f t="shared" si="19"/>
        <v>234801605.29820004</v>
      </c>
      <c r="T109" s="413">
        <f t="shared" si="20"/>
        <v>4.7425086911371449E-2</v>
      </c>
    </row>
    <row r="110" spans="1:21">
      <c r="A110" s="116" t="str">
        <f t="shared" si="16"/>
        <v>7116p</v>
      </c>
      <c r="B110" s="575" t="s">
        <v>33</v>
      </c>
      <c r="C110" s="576"/>
      <c r="D110" s="576"/>
      <c r="E110" s="576"/>
      <c r="F110" s="576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0">
        <f t="shared" si="19"/>
        <v>27167589.829800002</v>
      </c>
      <c r="T110" s="413">
        <f t="shared" si="20"/>
        <v>5.4872934416885484E-3</v>
      </c>
    </row>
    <row r="111" spans="1:21">
      <c r="A111" s="116" t="str">
        <f t="shared" si="16"/>
        <v>7118p</v>
      </c>
      <c r="B111" s="575" t="s">
        <v>722</v>
      </c>
      <c r="C111" s="576"/>
      <c r="D111" s="576"/>
      <c r="E111" s="576"/>
      <c r="F111" s="576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0">
        <f t="shared" si="19"/>
        <v>9499903.5996000003</v>
      </c>
      <c r="T111" s="413">
        <f t="shared" si="20"/>
        <v>1.918784811068471E-3</v>
      </c>
    </row>
    <row r="112" spans="1:21">
      <c r="A112" s="116" t="str">
        <f t="shared" si="16"/>
        <v>712p</v>
      </c>
      <c r="B112" s="587" t="s">
        <v>37</v>
      </c>
      <c r="C112" s="588"/>
      <c r="D112" s="588"/>
      <c r="E112" s="588"/>
      <c r="F112" s="588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01">
        <f t="shared" si="19"/>
        <v>534213514.07533062</v>
      </c>
      <c r="T112" s="414">
        <f t="shared" si="20"/>
        <v>0.10790012403056566</v>
      </c>
    </row>
    <row r="113" spans="1:20">
      <c r="A113" s="116" t="str">
        <f t="shared" si="16"/>
        <v>7121p</v>
      </c>
      <c r="B113" s="575" t="s">
        <v>39</v>
      </c>
      <c r="C113" s="576"/>
      <c r="D113" s="576"/>
      <c r="E113" s="576"/>
      <c r="F113" s="576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0">
        <f t="shared" si="19"/>
        <v>327876749.17454183</v>
      </c>
      <c r="T113" s="413">
        <f t="shared" si="20"/>
        <v>6.6224348449715573E-2</v>
      </c>
    </row>
    <row r="114" spans="1:20">
      <c r="A114" s="116" t="str">
        <f t="shared" si="16"/>
        <v>7122p</v>
      </c>
      <c r="B114" s="575" t="s">
        <v>41</v>
      </c>
      <c r="C114" s="576"/>
      <c r="D114" s="576"/>
      <c r="E114" s="576"/>
      <c r="F114" s="576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0">
        <f t="shared" si="19"/>
        <v>178851341.72447601</v>
      </c>
      <c r="T114" s="413">
        <f t="shared" si="20"/>
        <v>3.6124286351136341E-2</v>
      </c>
    </row>
    <row r="115" spans="1:20">
      <c r="A115" s="116" t="str">
        <f t="shared" si="16"/>
        <v>7123p</v>
      </c>
      <c r="B115" s="575" t="s">
        <v>43</v>
      </c>
      <c r="C115" s="576"/>
      <c r="D115" s="576"/>
      <c r="E115" s="576"/>
      <c r="F115" s="576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0">
        <f t="shared" si="19"/>
        <v>14950709.439620741</v>
      </c>
      <c r="T115" s="413">
        <f t="shared" si="20"/>
        <v>3.0197352938034216E-3</v>
      </c>
    </row>
    <row r="116" spans="1:20">
      <c r="A116" s="116" t="str">
        <f t="shared" si="16"/>
        <v>7124p</v>
      </c>
      <c r="B116" s="575" t="s">
        <v>45</v>
      </c>
      <c r="C116" s="576"/>
      <c r="D116" s="576"/>
      <c r="E116" s="576"/>
      <c r="F116" s="576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0">
        <f t="shared" si="19"/>
        <v>12534713.736692008</v>
      </c>
      <c r="T116" s="413">
        <f t="shared" si="20"/>
        <v>2.5317539359103226E-3</v>
      </c>
    </row>
    <row r="117" spans="1:20">
      <c r="A117" s="116" t="str">
        <f t="shared" si="16"/>
        <v>713p</v>
      </c>
      <c r="B117" s="585" t="s">
        <v>47</v>
      </c>
      <c r="C117" s="586"/>
      <c r="D117" s="586"/>
      <c r="E117" s="586"/>
      <c r="F117" s="586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1">
        <f t="shared" si="19"/>
        <v>15318488.925500004</v>
      </c>
      <c r="T117" s="414">
        <f t="shared" si="20"/>
        <v>3.0940191729953554E-3</v>
      </c>
    </row>
    <row r="118" spans="1:20">
      <c r="A118" s="116" t="str">
        <f t="shared" si="16"/>
        <v>714p</v>
      </c>
      <c r="B118" s="585" t="s">
        <v>61</v>
      </c>
      <c r="C118" s="586"/>
      <c r="D118" s="586"/>
      <c r="E118" s="586"/>
      <c r="F118" s="586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1">
        <f t="shared" si="19"/>
        <v>31390844.861600004</v>
      </c>
      <c r="T118" s="414">
        <f t="shared" si="20"/>
        <v>6.3403039510401948E-3</v>
      </c>
    </row>
    <row r="119" spans="1:20">
      <c r="A119" s="116" t="str">
        <f t="shared" si="16"/>
        <v>715p</v>
      </c>
      <c r="B119" s="585" t="s">
        <v>81</v>
      </c>
      <c r="C119" s="586"/>
      <c r="D119" s="586"/>
      <c r="E119" s="586"/>
      <c r="F119" s="586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1">
        <f t="shared" si="19"/>
        <v>77448450.912399963</v>
      </c>
      <c r="T119" s="414">
        <f t="shared" si="20"/>
        <v>1.5642991499171876E-2</v>
      </c>
    </row>
    <row r="120" spans="1:20">
      <c r="A120" s="116" t="str">
        <f t="shared" si="16"/>
        <v>73p</v>
      </c>
      <c r="B120" s="585" t="s">
        <v>99</v>
      </c>
      <c r="C120" s="586"/>
      <c r="D120" s="586"/>
      <c r="E120" s="586"/>
      <c r="F120" s="586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1">
        <f t="shared" si="19"/>
        <v>8511664.0019999985</v>
      </c>
      <c r="T120" s="414">
        <f t="shared" si="20"/>
        <v>1.7191807719652591E-3</v>
      </c>
    </row>
    <row r="121" spans="1:20" ht="13.5" thickBot="1">
      <c r="A121" s="116" t="str">
        <f t="shared" si="16"/>
        <v>74p</v>
      </c>
      <c r="B121" s="589" t="s">
        <v>105</v>
      </c>
      <c r="C121" s="590"/>
      <c r="D121" s="590"/>
      <c r="E121" s="590"/>
      <c r="F121" s="590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2">
        <f t="shared" si="19"/>
        <v>44480000</v>
      </c>
      <c r="T121" s="415">
        <f t="shared" si="20"/>
        <v>8.98404362754999E-3</v>
      </c>
    </row>
    <row r="122" spans="1:20" ht="13.5" thickBot="1">
      <c r="A122" s="116" t="str">
        <f t="shared" si="16"/>
        <v>4p</v>
      </c>
      <c r="B122" s="591" t="s">
        <v>811</v>
      </c>
      <c r="C122" s="592"/>
      <c r="D122" s="592"/>
      <c r="E122" s="592"/>
      <c r="F122" s="592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03">
        <f>+SUM(G122:R122)</f>
        <v>1976630978.4000001</v>
      </c>
      <c r="T122" s="416">
        <f t="shared" si="20"/>
        <v>0.39923873528580089</v>
      </c>
    </row>
    <row r="123" spans="1:20" ht="13.5" thickBot="1">
      <c r="A123" s="116" t="str">
        <f t="shared" si="16"/>
        <v>40p</v>
      </c>
      <c r="B123" s="611" t="s">
        <v>774</v>
      </c>
      <c r="C123" s="612"/>
      <c r="D123" s="612"/>
      <c r="E123" s="612"/>
      <c r="F123" s="612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04">
        <f t="shared" si="19"/>
        <v>1680705978.4000001</v>
      </c>
      <c r="T123" s="417">
        <f t="shared" si="20"/>
        <v>0.33946798190264593</v>
      </c>
    </row>
    <row r="124" spans="1:20">
      <c r="A124" s="116" t="e">
        <f>+CONCATENATE(#REF!,"p")</f>
        <v>#REF!</v>
      </c>
      <c r="B124" s="593" t="e">
        <v>#REF!</v>
      </c>
      <c r="C124" s="594"/>
      <c r="D124" s="594"/>
      <c r="E124" s="594"/>
      <c r="F124" s="594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399">
        <f t="shared" si="19"/>
        <v>846670934.61000013</v>
      </c>
      <c r="T124" s="412">
        <f t="shared" si="20"/>
        <v>0.17101008576247226</v>
      </c>
    </row>
    <row r="125" spans="1:20">
      <c r="A125" s="116" t="str">
        <f t="shared" ref="A125:A133" si="25">+CONCATENATE(A31,"p")</f>
        <v>411p</v>
      </c>
      <c r="B125" s="575" t="s">
        <v>122</v>
      </c>
      <c r="C125" s="576"/>
      <c r="D125" s="576"/>
      <c r="E125" s="576"/>
      <c r="F125" s="576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0">
        <f t="shared" si="19"/>
        <v>472054247.1500001</v>
      </c>
      <c r="T125" s="413">
        <f t="shared" si="20"/>
        <v>9.5345232710563541E-2</v>
      </c>
    </row>
    <row r="126" spans="1:20">
      <c r="A126" s="116" t="str">
        <f t="shared" si="25"/>
        <v>412p</v>
      </c>
      <c r="B126" s="575" t="s">
        <v>133</v>
      </c>
      <c r="C126" s="576"/>
      <c r="D126" s="576"/>
      <c r="E126" s="576"/>
      <c r="F126" s="576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0">
        <f t="shared" si="19"/>
        <v>15077125.449999996</v>
      </c>
      <c r="T126" s="413">
        <f t="shared" si="20"/>
        <v>3.0452687234902029E-3</v>
      </c>
    </row>
    <row r="127" spans="1:20">
      <c r="A127" s="116" t="str">
        <f t="shared" si="25"/>
        <v>413p</v>
      </c>
      <c r="B127" s="575" t="s">
        <v>148</v>
      </c>
      <c r="C127" s="576"/>
      <c r="D127" s="576"/>
      <c r="E127" s="576"/>
      <c r="F127" s="576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0">
        <f t="shared" si="19"/>
        <v>36652827.660000004</v>
      </c>
      <c r="T127" s="413">
        <f t="shared" si="20"/>
        <v>7.4031160694809136E-3</v>
      </c>
    </row>
    <row r="128" spans="1:20">
      <c r="A128" s="116" t="str">
        <f t="shared" si="25"/>
        <v>414p</v>
      </c>
      <c r="B128" s="575" t="s">
        <v>162</v>
      </c>
      <c r="C128" s="576"/>
      <c r="D128" s="576"/>
      <c r="E128" s="576"/>
      <c r="F128" s="576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0">
        <f t="shared" si="19"/>
        <v>63127045.969999991</v>
      </c>
      <c r="T128" s="413">
        <f t="shared" si="20"/>
        <v>1.2750362748939606E-2</v>
      </c>
    </row>
    <row r="129" spans="1:20">
      <c r="A129" s="116" t="str">
        <f t="shared" si="25"/>
        <v>415p</v>
      </c>
      <c r="B129" s="575" t="s">
        <v>182</v>
      </c>
      <c r="C129" s="576"/>
      <c r="D129" s="576"/>
      <c r="E129" s="576"/>
      <c r="F129" s="576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0">
        <f t="shared" si="19"/>
        <v>23117903.600000001</v>
      </c>
      <c r="T129" s="413">
        <f t="shared" si="20"/>
        <v>4.6693402544940423E-3</v>
      </c>
    </row>
    <row r="130" spans="1:20">
      <c r="A130" s="116" t="str">
        <f t="shared" si="25"/>
        <v>416p</v>
      </c>
      <c r="B130" s="575" t="s">
        <v>190</v>
      </c>
      <c r="C130" s="576"/>
      <c r="D130" s="576"/>
      <c r="E130" s="576"/>
      <c r="F130" s="576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0">
        <f t="shared" si="19"/>
        <v>95752699.999999985</v>
      </c>
      <c r="T130" s="413">
        <f t="shared" si="20"/>
        <v>1.9340072712583315E-2</v>
      </c>
    </row>
    <row r="131" spans="1:20">
      <c r="A131" s="116" t="str">
        <f t="shared" si="25"/>
        <v>417p</v>
      </c>
      <c r="B131" s="575" t="s">
        <v>196</v>
      </c>
      <c r="C131" s="576"/>
      <c r="D131" s="576"/>
      <c r="E131" s="576"/>
      <c r="F131" s="576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0">
        <f t="shared" si="19"/>
        <v>9821101.7599999998</v>
      </c>
      <c r="T131" s="413">
        <f t="shared" si="20"/>
        <v>1.9836602221773377E-3</v>
      </c>
    </row>
    <row r="132" spans="1:20">
      <c r="A132" s="116" t="str">
        <f t="shared" si="25"/>
        <v>418p</v>
      </c>
      <c r="B132" s="575" t="s">
        <v>204</v>
      </c>
      <c r="C132" s="576"/>
      <c r="D132" s="576"/>
      <c r="E132" s="576"/>
      <c r="F132" s="576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0">
        <f t="shared" si="19"/>
        <v>30814599.999999993</v>
      </c>
      <c r="T132" s="413">
        <f t="shared" si="20"/>
        <v>6.2239143607352035E-3</v>
      </c>
    </row>
    <row r="133" spans="1:20">
      <c r="A133" s="116" t="str">
        <f t="shared" si="25"/>
        <v>419p</v>
      </c>
      <c r="B133" s="575" t="s">
        <v>212</v>
      </c>
      <c r="C133" s="576"/>
      <c r="D133" s="576"/>
      <c r="E133" s="576"/>
      <c r="F133" s="576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0">
        <f t="shared" si="19"/>
        <v>41196323.400000006</v>
      </c>
      <c r="T133" s="413">
        <f t="shared" si="20"/>
        <v>8.3208086043223602E-3</v>
      </c>
    </row>
    <row r="134" spans="1:20">
      <c r="A134" s="116" t="e">
        <f>+CONCATENATE(#REF!,"p")</f>
        <v>#REF!</v>
      </c>
      <c r="B134" s="575" t="e">
        <v>#REF!</v>
      </c>
      <c r="C134" s="576"/>
      <c r="D134" s="576"/>
      <c r="E134" s="576"/>
      <c r="F134" s="576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0">
        <f t="shared" si="19"/>
        <v>59057059.620000012</v>
      </c>
      <c r="T134" s="413">
        <f t="shared" si="20"/>
        <v>1.1928309355685722E-2</v>
      </c>
    </row>
    <row r="135" spans="1:20">
      <c r="A135" s="116" t="str">
        <f t="shared" ref="A135:A142" si="26">+CONCATENATE(A40,"p")</f>
        <v>42p</v>
      </c>
      <c r="B135" s="599" t="s">
        <v>230</v>
      </c>
      <c r="C135" s="600"/>
      <c r="D135" s="600"/>
      <c r="E135" s="600"/>
      <c r="F135" s="600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01">
        <f t="shared" si="19"/>
        <v>557842584.41999996</v>
      </c>
      <c r="T135" s="414">
        <f t="shared" si="20"/>
        <v>0.11267270943647748</v>
      </c>
    </row>
    <row r="136" spans="1:20">
      <c r="A136" s="116" t="str">
        <f t="shared" si="26"/>
        <v>421p</v>
      </c>
      <c r="B136" s="575" t="s">
        <v>232</v>
      </c>
      <c r="C136" s="576"/>
      <c r="D136" s="576"/>
      <c r="E136" s="576"/>
      <c r="F136" s="576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0">
        <f t="shared" si="19"/>
        <v>80990000.000000015</v>
      </c>
      <c r="T136" s="413">
        <f t="shared" si="20"/>
        <v>1.6358311452231874E-2</v>
      </c>
    </row>
    <row r="137" spans="1:20">
      <c r="A137" s="116" t="str">
        <f t="shared" si="26"/>
        <v>422p</v>
      </c>
      <c r="B137" s="575" t="s">
        <v>248</v>
      </c>
      <c r="C137" s="576"/>
      <c r="D137" s="576"/>
      <c r="E137" s="576"/>
      <c r="F137" s="576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0">
        <f t="shared" si="19"/>
        <v>18202468.969999999</v>
      </c>
      <c r="T137" s="413">
        <f t="shared" si="20"/>
        <v>3.6765237265198947E-3</v>
      </c>
    </row>
    <row r="138" spans="1:20">
      <c r="A138" s="116" t="str">
        <f t="shared" si="26"/>
        <v>423p</v>
      </c>
      <c r="B138" s="575" t="s">
        <v>259</v>
      </c>
      <c r="C138" s="576"/>
      <c r="D138" s="576"/>
      <c r="E138" s="576"/>
      <c r="F138" s="576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0">
        <f t="shared" si="19"/>
        <v>429025014.44999993</v>
      </c>
      <c r="T138" s="413">
        <f t="shared" si="20"/>
        <v>8.6654214189052697E-2</v>
      </c>
    </row>
    <row r="139" spans="1:20">
      <c r="A139" s="116" t="str">
        <f t="shared" si="26"/>
        <v>424p</v>
      </c>
      <c r="B139" s="575" t="s">
        <v>274</v>
      </c>
      <c r="C139" s="576"/>
      <c r="D139" s="576"/>
      <c r="E139" s="576"/>
      <c r="F139" s="576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0">
        <f t="shared" si="19"/>
        <v>19000100</v>
      </c>
      <c r="T139" s="413">
        <f t="shared" si="20"/>
        <v>3.8376287618662897E-3</v>
      </c>
    </row>
    <row r="140" spans="1:20">
      <c r="A140" s="116" t="str">
        <f t="shared" si="26"/>
        <v>425p</v>
      </c>
      <c r="B140" s="575" t="s">
        <v>278</v>
      </c>
      <c r="C140" s="576"/>
      <c r="D140" s="576"/>
      <c r="E140" s="576"/>
      <c r="F140" s="576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0">
        <f t="shared" si="19"/>
        <v>10625001</v>
      </c>
      <c r="T140" s="413">
        <f t="shared" si="20"/>
        <v>2.1460313068067055E-3</v>
      </c>
    </row>
    <row r="141" spans="1:20">
      <c r="A141" s="116" t="str">
        <f t="shared" si="26"/>
        <v>43p</v>
      </c>
      <c r="B141" s="595" t="s">
        <v>286</v>
      </c>
      <c r="C141" s="596"/>
      <c r="D141" s="596"/>
      <c r="E141" s="596"/>
      <c r="F141" s="596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1">
        <f>+SUM(G141:R141)</f>
        <v>220947786.96000001</v>
      </c>
      <c r="T141" s="414">
        <f t="shared" si="20"/>
        <v>4.4626901022015754E-2</v>
      </c>
    </row>
    <row r="142" spans="1:20">
      <c r="A142" s="116" t="str">
        <f t="shared" si="26"/>
        <v>44p</v>
      </c>
      <c r="B142" s="595" t="s">
        <v>812</v>
      </c>
      <c r="C142" s="596"/>
      <c r="D142" s="596"/>
      <c r="E142" s="596"/>
      <c r="F142" s="596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1">
        <f t="shared" si="19"/>
        <v>295925000</v>
      </c>
      <c r="T142" s="414">
        <f t="shared" si="20"/>
        <v>5.977075338315492E-2</v>
      </c>
    </row>
    <row r="143" spans="1:20">
      <c r="A143" s="116" t="str">
        <f t="shared" ref="A143:A145" si="28">+CONCATENATE(A48,"p")</f>
        <v>451p</v>
      </c>
      <c r="B143" s="597" t="s">
        <v>113</v>
      </c>
      <c r="C143" s="598"/>
      <c r="D143" s="598"/>
      <c r="E143" s="598"/>
      <c r="F143" s="598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0">
        <f t="shared" si="19"/>
        <v>2280000.9999999995</v>
      </c>
      <c r="T143" s="413">
        <f t="shared" si="20"/>
        <v>4.6051322965057553E-4</v>
      </c>
    </row>
    <row r="144" spans="1:20">
      <c r="A144" s="116" t="str">
        <f t="shared" si="28"/>
        <v>47p</v>
      </c>
      <c r="B144" s="597" t="s">
        <v>366</v>
      </c>
      <c r="C144" s="598"/>
      <c r="D144" s="598"/>
      <c r="E144" s="598"/>
      <c r="F144" s="598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0">
        <f t="shared" si="19"/>
        <v>24999999.999999996</v>
      </c>
      <c r="T144" s="413">
        <f t="shared" si="20"/>
        <v>5.0494849525348409E-3</v>
      </c>
    </row>
    <row r="145" spans="1:20">
      <c r="A145" s="116" t="str">
        <f t="shared" si="28"/>
        <v>462p</v>
      </c>
      <c r="B145" s="597" t="s">
        <v>359</v>
      </c>
      <c r="C145" s="598"/>
      <c r="D145" s="598"/>
      <c r="E145" s="598"/>
      <c r="F145" s="598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0">
        <f t="shared" si="19"/>
        <v>9434672.4100000001</v>
      </c>
      <c r="T145" s="413">
        <f t="shared" si="20"/>
        <v>1.9056094546556252E-3</v>
      </c>
    </row>
    <row r="146" spans="1:20">
      <c r="A146" s="117" t="str">
        <f>+CONCATENATE(A51,"p")</f>
        <v>4630p</v>
      </c>
      <c r="B146" s="597" t="s">
        <v>365</v>
      </c>
      <c r="C146" s="598"/>
      <c r="D146" s="598"/>
      <c r="E146" s="598"/>
      <c r="F146" s="598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5">
        <f>+SUM(G146:R146)</f>
        <v>18529999</v>
      </c>
      <c r="T146" s="418">
        <f>+S146/$T$7</f>
        <v>3.7426780448394266E-3</v>
      </c>
    </row>
    <row r="147" spans="1:20" ht="13.5" thickBot="1">
      <c r="A147" s="116"/>
      <c r="B147" s="613" t="s">
        <v>686</v>
      </c>
      <c r="C147" s="614"/>
      <c r="D147" s="614"/>
      <c r="E147" s="614"/>
      <c r="F147" s="614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1">
        <f>SUM(G147:R147)</f>
        <v>0</v>
      </c>
      <c r="T147" s="376">
        <f t="shared" si="20"/>
        <v>0</v>
      </c>
    </row>
    <row r="148" spans="1:20" ht="13.5" thickBot="1">
      <c r="A148" s="117" t="str">
        <f>+CONCATENATE(A53,"p")</f>
        <v>1000p</v>
      </c>
      <c r="B148" s="605" t="s">
        <v>545</v>
      </c>
      <c r="C148" s="606"/>
      <c r="D148" s="606"/>
      <c r="E148" s="606"/>
      <c r="F148" s="606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06">
        <f t="shared" si="19"/>
        <v>-142598064.63643947</v>
      </c>
      <c r="T148" s="419">
        <f t="shared" si="20"/>
        <v>-2.8801871265691673E-2</v>
      </c>
    </row>
    <row r="149" spans="1:20" ht="13.5" thickBot="1">
      <c r="A149" s="117" t="str">
        <f>+CONCATENATE(A54,"p")</f>
        <v>1001p</v>
      </c>
      <c r="B149" s="607" t="s">
        <v>813</v>
      </c>
      <c r="C149" s="608"/>
      <c r="D149" s="608"/>
      <c r="E149" s="608"/>
      <c r="F149" s="608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06">
        <f t="shared" si="19"/>
        <v>-46845364.63643948</v>
      </c>
      <c r="T149" s="419">
        <f t="shared" si="20"/>
        <v>-9.4617985531083582E-3</v>
      </c>
    </row>
    <row r="150" spans="1:20">
      <c r="A150" s="117" t="str">
        <f>+CONCATENATE(A55,"p")</f>
        <v>46p</v>
      </c>
      <c r="B150" s="599" t="s">
        <v>352</v>
      </c>
      <c r="C150" s="600"/>
      <c r="D150" s="600"/>
      <c r="E150" s="600"/>
      <c r="F150" s="600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07">
        <f t="shared" si="19"/>
        <v>373600000</v>
      </c>
      <c r="T150" s="420">
        <f t="shared" si="20"/>
        <v>7.5459503130680672E-2</v>
      </c>
    </row>
    <row r="151" spans="1:20">
      <c r="A151" s="117" t="str">
        <f>+CONCATENATE(A56,"p")</f>
        <v>4611p</v>
      </c>
      <c r="B151" s="603" t="s">
        <v>355</v>
      </c>
      <c r="C151" s="604"/>
      <c r="D151" s="604"/>
      <c r="E151" s="604"/>
      <c r="F151" s="604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5">
        <f t="shared" si="19"/>
        <v>44100000.039999999</v>
      </c>
      <c r="T151" s="418">
        <f t="shared" si="20"/>
        <v>8.9072914643506355E-3</v>
      </c>
    </row>
    <row r="152" spans="1:20">
      <c r="A152" s="117" t="str">
        <f>+CONCATENATE(A57,"p")</f>
        <v>4612p</v>
      </c>
      <c r="B152" s="597" t="s">
        <v>357</v>
      </c>
      <c r="C152" s="598"/>
      <c r="D152" s="598"/>
      <c r="E152" s="598"/>
      <c r="F152" s="598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5">
        <f t="shared" si="19"/>
        <v>329499999.95999998</v>
      </c>
      <c r="T152" s="418">
        <f t="shared" si="20"/>
        <v>6.6552211666330033E-2</v>
      </c>
    </row>
    <row r="153" spans="1:20" ht="13.5" thickBot="1">
      <c r="A153" s="117"/>
      <c r="B153" s="609" t="s">
        <v>336</v>
      </c>
      <c r="C153" s="610"/>
      <c r="D153" s="610"/>
      <c r="E153" s="610"/>
      <c r="F153" s="610"/>
      <c r="G153" s="494">
        <v>26666.67</v>
      </c>
      <c r="H153" s="494">
        <v>26666.67</v>
      </c>
      <c r="I153" s="494">
        <v>26666.67</v>
      </c>
      <c r="J153" s="494">
        <v>39926666.670000002</v>
      </c>
      <c r="K153" s="494">
        <v>26666.67</v>
      </c>
      <c r="L153" s="494">
        <v>26666.67</v>
      </c>
      <c r="M153" s="494">
        <v>26666.67</v>
      </c>
      <c r="N153" s="494">
        <v>26666.67</v>
      </c>
      <c r="O153" s="494">
        <v>26666.67</v>
      </c>
      <c r="P153" s="494">
        <v>26666.67</v>
      </c>
      <c r="Q153" s="494">
        <v>26666.67</v>
      </c>
      <c r="R153" s="494">
        <v>26666.63</v>
      </c>
      <c r="S153" s="495">
        <f t="shared" si="19"/>
        <v>40220000.000000015</v>
      </c>
      <c r="T153" s="496">
        <f t="shared" si="20"/>
        <v>8.1236113916380564E-3</v>
      </c>
    </row>
    <row r="154" spans="1:20" ht="13.5" thickBot="1">
      <c r="A154" s="117" t="str">
        <f t="shared" ref="A154:A159" si="32">+CONCATENATE(A59,"p")</f>
        <v>1002p</v>
      </c>
      <c r="B154" s="601" t="s">
        <v>543</v>
      </c>
      <c r="C154" s="602"/>
      <c r="D154" s="602"/>
      <c r="E154" s="602"/>
      <c r="F154" s="602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08">
        <f t="shared" si="19"/>
        <v>-556418064.63643956</v>
      </c>
      <c r="T154" s="421">
        <f t="shared" si="20"/>
        <v>-0.11238498578801041</v>
      </c>
    </row>
    <row r="155" spans="1:20" ht="13.5" thickBot="1">
      <c r="A155" s="117" t="str">
        <f t="shared" si="32"/>
        <v>1003p</v>
      </c>
      <c r="B155" s="591" t="s">
        <v>544</v>
      </c>
      <c r="C155" s="592"/>
      <c r="D155" s="592"/>
      <c r="E155" s="592"/>
      <c r="F155" s="592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09">
        <f t="shared" si="19"/>
        <v>556418064.63643956</v>
      </c>
      <c r="T155" s="422">
        <f t="shared" si="20"/>
        <v>0.11238498578801041</v>
      </c>
    </row>
    <row r="156" spans="1:20">
      <c r="A156" s="117" t="str">
        <f t="shared" si="32"/>
        <v>7511p</v>
      </c>
      <c r="B156" s="603" t="s">
        <v>114</v>
      </c>
      <c r="C156" s="604"/>
      <c r="D156" s="604"/>
      <c r="E156" s="604"/>
      <c r="F156" s="604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5">
        <f t="shared" si="19"/>
        <v>190000000</v>
      </c>
      <c r="T156" s="418">
        <f t="shared" si="20"/>
        <v>3.8376085639264798E-2</v>
      </c>
    </row>
    <row r="157" spans="1:20">
      <c r="A157" s="117" t="str">
        <f t="shared" si="32"/>
        <v>7512p</v>
      </c>
      <c r="B157" s="597" t="s">
        <v>116</v>
      </c>
      <c r="C157" s="598"/>
      <c r="D157" s="598"/>
      <c r="E157" s="598"/>
      <c r="F157" s="598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5">
        <f t="shared" si="19"/>
        <v>180405268.74155378</v>
      </c>
      <c r="T157" s="418">
        <f t="shared" si="20"/>
        <v>3.6438147594739199E-2</v>
      </c>
    </row>
    <row r="158" spans="1:20">
      <c r="A158" s="117" t="str">
        <f t="shared" si="32"/>
        <v>72p</v>
      </c>
      <c r="B158" s="597" t="s">
        <v>93</v>
      </c>
      <c r="C158" s="598"/>
      <c r="D158" s="598"/>
      <c r="E158" s="598"/>
      <c r="F158" s="598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5">
        <f t="shared" si="19"/>
        <v>6000000</v>
      </c>
      <c r="T158" s="418">
        <f t="shared" si="20"/>
        <v>1.211876388608362E-3</v>
      </c>
    </row>
    <row r="159" spans="1:20" ht="13.5" thickBot="1">
      <c r="A159" s="117" t="str">
        <f t="shared" si="32"/>
        <v>1004p</v>
      </c>
      <c r="B159" s="98" t="s">
        <v>549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10">
        <f t="shared" si="19"/>
        <v>180012795.89488566</v>
      </c>
      <c r="T159" s="423">
        <f t="shared" si="20"/>
        <v>3.6358876165398034E-2</v>
      </c>
    </row>
  </sheetData>
  <mergeCells count="116"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Y162"/>
  <sheetViews>
    <sheetView zoomScaleNormal="100" workbookViewId="0">
      <pane ySplit="1" topLeftCell="A29" activePane="bottomLeft" state="frozen"/>
      <selection pane="bottomLeft" activeCell="I23" sqref="I23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742</v>
      </c>
      <c r="H6" s="234" t="s">
        <v>743</v>
      </c>
      <c r="I6" s="234" t="s">
        <v>744</v>
      </c>
      <c r="J6" s="234" t="s">
        <v>745</v>
      </c>
      <c r="K6" s="234" t="s">
        <v>746</v>
      </c>
      <c r="L6" s="234" t="s">
        <v>747</v>
      </c>
      <c r="M6" s="234" t="s">
        <v>748</v>
      </c>
      <c r="N6" s="234" t="s">
        <v>749</v>
      </c>
      <c r="O6" s="234" t="s">
        <v>750</v>
      </c>
      <c r="P6" s="234" t="s">
        <v>751</v>
      </c>
      <c r="Q6" s="234" t="s">
        <v>752</v>
      </c>
      <c r="R6" s="234" t="s">
        <v>753</v>
      </c>
      <c r="S6" s="233"/>
      <c r="T6" s="233"/>
    </row>
    <row r="7" spans="1:20" ht="15" customHeight="1" thickBot="1">
      <c r="A7" s="144"/>
      <c r="B7" s="555" t="s">
        <v>554</v>
      </c>
      <c r="C7" s="536"/>
      <c r="D7" s="536"/>
      <c r="E7" s="536"/>
      <c r="F7" s="536"/>
      <c r="G7" s="544">
        <v>2018</v>
      </c>
      <c r="H7" s="545"/>
      <c r="I7" s="545"/>
      <c r="J7" s="545"/>
      <c r="K7" s="545"/>
      <c r="L7" s="545"/>
      <c r="M7" s="545"/>
      <c r="N7" s="545"/>
      <c r="O7" s="545"/>
      <c r="P7" s="545"/>
      <c r="Q7" s="545"/>
      <c r="R7" s="548"/>
      <c r="S7" s="235" t="s">
        <v>419</v>
      </c>
      <c r="T7" s="236">
        <v>4663130000</v>
      </c>
    </row>
    <row r="8" spans="1:20" ht="16.5" customHeight="1">
      <c r="A8" s="144"/>
      <c r="B8" s="537"/>
      <c r="C8" s="538"/>
      <c r="D8" s="538"/>
      <c r="E8" s="538"/>
      <c r="F8" s="539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44" t="s">
        <v>809</v>
      </c>
      <c r="T8" s="548"/>
    </row>
    <row r="9" spans="1:20" ht="13.5" thickBot="1">
      <c r="A9" s="144"/>
      <c r="B9" s="540"/>
      <c r="C9" s="541"/>
      <c r="D9" s="541"/>
      <c r="E9" s="541"/>
      <c r="F9" s="542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03" t="s">
        <v>681</v>
      </c>
      <c r="C10" s="504"/>
      <c r="D10" s="504"/>
      <c r="E10" s="504"/>
      <c r="F10" s="504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3">
        <f>+SUM(G10:R10)</f>
        <v>1746018287.1400003</v>
      </c>
      <c r="T10" s="368">
        <f>+S10/$T$7</f>
        <v>0.3744305406754691</v>
      </c>
    </row>
    <row r="11" spans="1:20">
      <c r="A11" s="150">
        <v>711</v>
      </c>
      <c r="B11" s="505" t="s">
        <v>21</v>
      </c>
      <c r="C11" s="506"/>
      <c r="D11" s="506"/>
      <c r="E11" s="506"/>
      <c r="F11" s="506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4">
        <f t="shared" ref="S11:S66" si="3">+SUM(G11:R11)</f>
        <v>1068947201.3</v>
      </c>
      <c r="T11" s="369">
        <f t="shared" ref="T11:T67" si="4">+S11/$T$7</f>
        <v>0.22923384106812375</v>
      </c>
    </row>
    <row r="12" spans="1:20">
      <c r="A12" s="150">
        <v>7111</v>
      </c>
      <c r="B12" s="507" t="s">
        <v>23</v>
      </c>
      <c r="C12" s="508"/>
      <c r="D12" s="508"/>
      <c r="E12" s="508"/>
      <c r="F12" s="508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5">
        <f t="shared" si="3"/>
        <v>124898382.06000002</v>
      </c>
      <c r="T12" s="370">
        <f t="shared" si="4"/>
        <v>2.6784237638667593E-2</v>
      </c>
    </row>
    <row r="13" spans="1:20">
      <c r="A13" s="150">
        <v>7112</v>
      </c>
      <c r="B13" s="507" t="s">
        <v>25</v>
      </c>
      <c r="C13" s="508"/>
      <c r="D13" s="508"/>
      <c r="E13" s="508"/>
      <c r="F13" s="508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5">
        <f t="shared" si="3"/>
        <v>68172478.429999992</v>
      </c>
      <c r="T13" s="370">
        <f t="shared" si="4"/>
        <v>1.4619467703023505E-2</v>
      </c>
    </row>
    <row r="14" spans="1:20">
      <c r="A14" s="150">
        <v>7113</v>
      </c>
      <c r="B14" s="507" t="s">
        <v>27</v>
      </c>
      <c r="C14" s="508"/>
      <c r="D14" s="508"/>
      <c r="E14" s="508"/>
      <c r="F14" s="508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5">
        <f t="shared" si="3"/>
        <v>1836094.52</v>
      </c>
      <c r="T14" s="370">
        <f t="shared" si="4"/>
        <v>3.9374722986491905E-4</v>
      </c>
    </row>
    <row r="15" spans="1:20">
      <c r="A15" s="150">
        <v>7114</v>
      </c>
      <c r="B15" s="507" t="s">
        <v>29</v>
      </c>
      <c r="C15" s="508"/>
      <c r="D15" s="508"/>
      <c r="E15" s="508"/>
      <c r="F15" s="508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5">
        <f t="shared" si="3"/>
        <v>616913678.91000009</v>
      </c>
      <c r="T15" s="370">
        <f t="shared" si="4"/>
        <v>0.13229604984420337</v>
      </c>
    </row>
    <row r="16" spans="1:20">
      <c r="A16" s="150">
        <v>7115</v>
      </c>
      <c r="B16" s="507" t="s">
        <v>31</v>
      </c>
      <c r="C16" s="508"/>
      <c r="D16" s="508"/>
      <c r="E16" s="508"/>
      <c r="F16" s="508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5">
        <f t="shared" si="3"/>
        <v>221178044.41</v>
      </c>
      <c r="T16" s="370">
        <f t="shared" si="4"/>
        <v>4.7431241335755166E-2</v>
      </c>
    </row>
    <row r="17" spans="1:25">
      <c r="A17" s="150">
        <v>7116</v>
      </c>
      <c r="B17" s="507" t="s">
        <v>33</v>
      </c>
      <c r="C17" s="508"/>
      <c r="D17" s="508"/>
      <c r="E17" s="508"/>
      <c r="F17" s="508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5">
        <f t="shared" si="3"/>
        <v>26634891.989999998</v>
      </c>
      <c r="T17" s="370">
        <f t="shared" si="4"/>
        <v>5.7118055876632214E-3</v>
      </c>
    </row>
    <row r="18" spans="1:25">
      <c r="A18" s="150">
        <v>7118</v>
      </c>
      <c r="B18" s="507" t="s">
        <v>722</v>
      </c>
      <c r="C18" s="508"/>
      <c r="D18" s="508"/>
      <c r="E18" s="508"/>
      <c r="F18" s="508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5">
        <f t="shared" si="3"/>
        <v>9313630.9799999986</v>
      </c>
      <c r="T18" s="370">
        <f t="shared" si="4"/>
        <v>1.9972917289460082E-3</v>
      </c>
    </row>
    <row r="19" spans="1:25">
      <c r="A19" s="150">
        <v>712</v>
      </c>
      <c r="B19" s="511" t="s">
        <v>37</v>
      </c>
      <c r="C19" s="512"/>
      <c r="D19" s="512"/>
      <c r="E19" s="512"/>
      <c r="F19" s="512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6">
        <f t="shared" si="3"/>
        <v>524440114.39999998</v>
      </c>
      <c r="T19" s="371">
        <f t="shared" si="4"/>
        <v>0.11246525711271184</v>
      </c>
    </row>
    <row r="20" spans="1:25">
      <c r="A20" s="150">
        <v>7121</v>
      </c>
      <c r="B20" s="507" t="s">
        <v>39</v>
      </c>
      <c r="C20" s="508"/>
      <c r="D20" s="508"/>
      <c r="E20" s="508"/>
      <c r="F20" s="508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5">
        <f t="shared" si="3"/>
        <v>316982958.28000003</v>
      </c>
      <c r="T20" s="370">
        <f t="shared" si="4"/>
        <v>6.7976436059041898E-2</v>
      </c>
    </row>
    <row r="21" spans="1:25">
      <c r="A21" s="150">
        <v>7122</v>
      </c>
      <c r="B21" s="507" t="s">
        <v>41</v>
      </c>
      <c r="C21" s="508"/>
      <c r="D21" s="508"/>
      <c r="E21" s="508"/>
      <c r="F21" s="508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5">
        <f t="shared" si="3"/>
        <v>182045765.34999999</v>
      </c>
      <c r="T21" s="370">
        <f t="shared" si="4"/>
        <v>3.9039393143661019E-2</v>
      </c>
    </row>
    <row r="22" spans="1:25">
      <c r="A22" s="150">
        <v>7123</v>
      </c>
      <c r="B22" s="507" t="s">
        <v>43</v>
      </c>
      <c r="C22" s="508"/>
      <c r="D22" s="508"/>
      <c r="E22" s="508"/>
      <c r="F22" s="508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5">
        <f t="shared" si="3"/>
        <v>13590597.370000001</v>
      </c>
      <c r="T22" s="370">
        <f t="shared" si="4"/>
        <v>2.9144796242009125E-3</v>
      </c>
    </row>
    <row r="23" spans="1:25">
      <c r="A23" s="150">
        <v>7124</v>
      </c>
      <c r="B23" s="507" t="s">
        <v>45</v>
      </c>
      <c r="C23" s="508"/>
      <c r="D23" s="508"/>
      <c r="E23" s="508"/>
      <c r="F23" s="508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5">
        <f t="shared" si="3"/>
        <v>11820793.4</v>
      </c>
      <c r="T23" s="370">
        <f t="shared" si="4"/>
        <v>2.5349482858080304E-3</v>
      </c>
      <c r="Y23" s="305"/>
    </row>
    <row r="24" spans="1:25">
      <c r="A24" s="150">
        <v>713</v>
      </c>
      <c r="B24" s="509" t="s">
        <v>47</v>
      </c>
      <c r="C24" s="510"/>
      <c r="D24" s="510"/>
      <c r="E24" s="510"/>
      <c r="F24" s="510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6">
        <f t="shared" si="3"/>
        <v>16901007.650000002</v>
      </c>
      <c r="T24" s="371">
        <f t="shared" si="4"/>
        <v>3.6243912672389582E-3</v>
      </c>
      <c r="Y24" s="305"/>
    </row>
    <row r="25" spans="1:25">
      <c r="A25" s="150">
        <v>714</v>
      </c>
      <c r="B25" s="509" t="s">
        <v>61</v>
      </c>
      <c r="C25" s="510"/>
      <c r="D25" s="510"/>
      <c r="E25" s="510"/>
      <c r="F25" s="510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6">
        <f t="shared" si="3"/>
        <v>26419539.080000002</v>
      </c>
      <c r="T25" s="371">
        <f t="shared" si="4"/>
        <v>5.6656235361227337E-3</v>
      </c>
      <c r="W25" s="292"/>
    </row>
    <row r="26" spans="1:25">
      <c r="A26" s="150">
        <v>715</v>
      </c>
      <c r="B26" s="509" t="s">
        <v>81</v>
      </c>
      <c r="C26" s="510"/>
      <c r="D26" s="510"/>
      <c r="E26" s="510"/>
      <c r="F26" s="510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6">
        <f t="shared" si="3"/>
        <v>71315064.620000005</v>
      </c>
      <c r="T26" s="371">
        <f t="shared" si="4"/>
        <v>1.529338976610131E-2</v>
      </c>
    </row>
    <row r="27" spans="1:25">
      <c r="A27" s="150">
        <v>73</v>
      </c>
      <c r="B27" s="509" t="s">
        <v>99</v>
      </c>
      <c r="C27" s="510"/>
      <c r="D27" s="510"/>
      <c r="E27" s="510"/>
      <c r="F27" s="510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6">
        <f t="shared" si="3"/>
        <v>11285945.1</v>
      </c>
      <c r="T27" s="371">
        <f t="shared" si="4"/>
        <v>2.4202510116595505E-3</v>
      </c>
    </row>
    <row r="28" spans="1:25" ht="13.5" thickBot="1">
      <c r="A28" s="150">
        <v>74</v>
      </c>
      <c r="B28" s="513" t="s">
        <v>105</v>
      </c>
      <c r="C28" s="514"/>
      <c r="D28" s="514"/>
      <c r="E28" s="514"/>
      <c r="F28" s="514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6">
        <f t="shared" si="3"/>
        <v>26709414.990000006</v>
      </c>
      <c r="T28" s="372">
        <f t="shared" si="4"/>
        <v>5.7277869135108836E-3</v>
      </c>
    </row>
    <row r="29" spans="1:25" ht="13.5" thickBot="1">
      <c r="A29" s="150">
        <v>4</v>
      </c>
      <c r="B29" s="515" t="s">
        <v>802</v>
      </c>
      <c r="C29" s="516"/>
      <c r="D29" s="516"/>
      <c r="E29" s="516"/>
      <c r="F29" s="516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7">
        <f t="shared" si="3"/>
        <v>1914918461.6599998</v>
      </c>
      <c r="T29" s="373">
        <f t="shared" si="4"/>
        <v>0.41065088506217923</v>
      </c>
    </row>
    <row r="30" spans="1:25" ht="13.5" thickBot="1">
      <c r="A30" s="150">
        <v>40</v>
      </c>
      <c r="B30" s="517" t="s">
        <v>774</v>
      </c>
      <c r="C30" s="518"/>
      <c r="D30" s="518"/>
      <c r="E30" s="518"/>
      <c r="F30" s="518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8">
        <f t="shared" si="3"/>
        <v>1671556011.4800003</v>
      </c>
      <c r="T30" s="374">
        <f t="shared" si="4"/>
        <v>0.35846223705536845</v>
      </c>
    </row>
    <row r="31" spans="1:25">
      <c r="A31" s="150">
        <v>41</v>
      </c>
      <c r="B31" s="519" t="s">
        <v>120</v>
      </c>
      <c r="C31" s="520"/>
      <c r="D31" s="520"/>
      <c r="E31" s="520"/>
      <c r="F31" s="520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89">
        <f t="shared" si="3"/>
        <v>866631492.57999992</v>
      </c>
      <c r="T31" s="369">
        <f t="shared" si="4"/>
        <v>0.185847594336851</v>
      </c>
    </row>
    <row r="32" spans="1:25">
      <c r="A32" s="150">
        <v>411</v>
      </c>
      <c r="B32" s="507" t="s">
        <v>122</v>
      </c>
      <c r="C32" s="508"/>
      <c r="D32" s="508"/>
      <c r="E32" s="508"/>
      <c r="F32" s="508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5">
        <f t="shared" si="3"/>
        <v>459796234.55000001</v>
      </c>
      <c r="T32" s="370">
        <f t="shared" si="4"/>
        <v>9.860249114864908E-2</v>
      </c>
    </row>
    <row r="33" spans="1:22">
      <c r="A33" s="150">
        <v>412</v>
      </c>
      <c r="B33" s="507" t="s">
        <v>133</v>
      </c>
      <c r="C33" s="508"/>
      <c r="D33" s="508"/>
      <c r="E33" s="508"/>
      <c r="F33" s="508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5">
        <f t="shared" si="3"/>
        <v>13212940.209999999</v>
      </c>
      <c r="T33" s="370">
        <f t="shared" si="4"/>
        <v>2.8334917126479424E-3</v>
      </c>
      <c r="U33" s="293"/>
    </row>
    <row r="34" spans="1:22">
      <c r="A34" s="150">
        <v>413</v>
      </c>
      <c r="B34" s="507" t="s">
        <v>148</v>
      </c>
      <c r="C34" s="508"/>
      <c r="D34" s="508"/>
      <c r="E34" s="508"/>
      <c r="F34" s="508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5">
        <f t="shared" si="3"/>
        <v>36731134.720000006</v>
      </c>
      <c r="T34" s="370">
        <f t="shared" si="4"/>
        <v>7.8769270254099733E-3</v>
      </c>
      <c r="U34" s="311"/>
      <c r="V34" s="291"/>
    </row>
    <row r="35" spans="1:22">
      <c r="A35" s="150">
        <v>414</v>
      </c>
      <c r="B35" s="507" t="s">
        <v>162</v>
      </c>
      <c r="C35" s="508"/>
      <c r="D35" s="508"/>
      <c r="E35" s="508"/>
      <c r="F35" s="508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5">
        <f t="shared" si="3"/>
        <v>75138922.689999998</v>
      </c>
      <c r="T35" s="370">
        <f t="shared" si="4"/>
        <v>1.6113409381681404E-2</v>
      </c>
    </row>
    <row r="36" spans="1:22">
      <c r="A36" s="150">
        <v>415</v>
      </c>
      <c r="B36" s="507" t="s">
        <v>182</v>
      </c>
      <c r="C36" s="508"/>
      <c r="D36" s="508"/>
      <c r="E36" s="508"/>
      <c r="F36" s="508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5">
        <f t="shared" si="3"/>
        <v>20973232.77</v>
      </c>
      <c r="T36" s="370">
        <f t="shared" si="4"/>
        <v>4.4976727584262076E-3</v>
      </c>
    </row>
    <row r="37" spans="1:22">
      <c r="A37" s="150">
        <v>416</v>
      </c>
      <c r="B37" s="507" t="s">
        <v>190</v>
      </c>
      <c r="C37" s="508"/>
      <c r="D37" s="508"/>
      <c r="E37" s="508"/>
      <c r="F37" s="508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5">
        <f>+SUM(G37:R37)</f>
        <v>97597309.48999998</v>
      </c>
      <c r="T37" s="370">
        <f t="shared" si="4"/>
        <v>2.0929570801157159E-2</v>
      </c>
    </row>
    <row r="38" spans="1:22">
      <c r="A38" s="150">
        <v>417</v>
      </c>
      <c r="B38" s="507" t="s">
        <v>196</v>
      </c>
      <c r="C38" s="508"/>
      <c r="D38" s="508"/>
      <c r="E38" s="508"/>
      <c r="F38" s="508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5">
        <f t="shared" si="3"/>
        <v>10693128.550000001</v>
      </c>
      <c r="T38" s="370">
        <f t="shared" si="4"/>
        <v>2.2931225485886093E-3</v>
      </c>
    </row>
    <row r="39" spans="1:22">
      <c r="A39" s="150">
        <v>418</v>
      </c>
      <c r="B39" s="507" t="s">
        <v>204</v>
      </c>
      <c r="C39" s="508"/>
      <c r="D39" s="508"/>
      <c r="E39" s="508"/>
      <c r="F39" s="508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5">
        <f t="shared" si="3"/>
        <v>30560884.969999999</v>
      </c>
      <c r="T39" s="370">
        <f t="shared" si="4"/>
        <v>6.5537278544668493E-3</v>
      </c>
    </row>
    <row r="40" spans="1:22">
      <c r="A40" s="150">
        <v>419</v>
      </c>
      <c r="B40" s="507" t="s">
        <v>212</v>
      </c>
      <c r="C40" s="508"/>
      <c r="D40" s="508"/>
      <c r="E40" s="508"/>
      <c r="F40" s="508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5">
        <f t="shared" si="3"/>
        <v>43556427.669999994</v>
      </c>
      <c r="T40" s="370">
        <f t="shared" si="4"/>
        <v>9.3405990547121773E-3</v>
      </c>
    </row>
    <row r="41" spans="1:22">
      <c r="A41" s="150">
        <v>440</v>
      </c>
      <c r="B41" s="507" t="s">
        <v>803</v>
      </c>
      <c r="C41" s="508"/>
      <c r="D41" s="508"/>
      <c r="E41" s="508"/>
      <c r="F41" s="508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5">
        <f t="shared" si="3"/>
        <v>78371276.960000008</v>
      </c>
      <c r="T41" s="370">
        <f t="shared" si="4"/>
        <v>1.6806582051111595E-2</v>
      </c>
    </row>
    <row r="42" spans="1:22">
      <c r="A42" s="150">
        <v>42</v>
      </c>
      <c r="B42" s="523" t="s">
        <v>230</v>
      </c>
      <c r="C42" s="524"/>
      <c r="D42" s="524"/>
      <c r="E42" s="524"/>
      <c r="F42" s="524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6">
        <f t="shared" si="3"/>
        <v>544485571.48000002</v>
      </c>
      <c r="T42" s="371">
        <f t="shared" si="4"/>
        <v>0.11676397001155876</v>
      </c>
    </row>
    <row r="43" spans="1:22">
      <c r="A43" s="150">
        <v>421</v>
      </c>
      <c r="B43" s="507" t="s">
        <v>232</v>
      </c>
      <c r="C43" s="508"/>
      <c r="D43" s="508"/>
      <c r="E43" s="508"/>
      <c r="F43" s="508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5">
        <f t="shared" si="3"/>
        <v>82294784.480000004</v>
      </c>
      <c r="T43" s="370">
        <f t="shared" si="4"/>
        <v>1.7647971315404031E-2</v>
      </c>
    </row>
    <row r="44" spans="1:22">
      <c r="A44" s="150">
        <v>422</v>
      </c>
      <c r="B44" s="507" t="s">
        <v>248</v>
      </c>
      <c r="C44" s="508"/>
      <c r="D44" s="508"/>
      <c r="E44" s="508"/>
      <c r="F44" s="508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5">
        <f t="shared" si="3"/>
        <v>14196791.939999998</v>
      </c>
      <c r="T44" s="370">
        <f t="shared" si="4"/>
        <v>3.0444769800541693E-3</v>
      </c>
    </row>
    <row r="45" spans="1:22">
      <c r="A45" s="150">
        <v>423</v>
      </c>
      <c r="B45" s="507" t="s">
        <v>259</v>
      </c>
      <c r="C45" s="508"/>
      <c r="D45" s="508"/>
      <c r="E45" s="508"/>
      <c r="F45" s="508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5">
        <f t="shared" si="3"/>
        <v>414750265.80000001</v>
      </c>
      <c r="T45" s="370">
        <f t="shared" si="4"/>
        <v>8.8942462637756181E-2</v>
      </c>
    </row>
    <row r="46" spans="1:22">
      <c r="A46" s="150">
        <v>424</v>
      </c>
      <c r="B46" s="507" t="s">
        <v>274</v>
      </c>
      <c r="C46" s="508"/>
      <c r="D46" s="508"/>
      <c r="E46" s="508"/>
      <c r="F46" s="508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5">
        <f t="shared" si="3"/>
        <v>20004829.280000001</v>
      </c>
      <c r="T46" s="370">
        <f t="shared" si="4"/>
        <v>4.2900003388282124E-3</v>
      </c>
    </row>
    <row r="47" spans="1:22">
      <c r="A47" s="150">
        <v>425</v>
      </c>
      <c r="B47" s="615" t="s">
        <v>278</v>
      </c>
      <c r="C47" s="616"/>
      <c r="D47" s="616"/>
      <c r="E47" s="616"/>
      <c r="F47" s="616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5">
        <f t="shared" si="3"/>
        <v>13238899.98</v>
      </c>
      <c r="T47" s="370">
        <f t="shared" si="4"/>
        <v>2.8390587395161621E-3</v>
      </c>
    </row>
    <row r="48" spans="1:22">
      <c r="A48" s="150">
        <v>43</v>
      </c>
      <c r="B48" s="521" t="s">
        <v>286</v>
      </c>
      <c r="C48" s="522"/>
      <c r="D48" s="522"/>
      <c r="E48" s="522"/>
      <c r="F48" s="522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6">
        <f t="shared" si="3"/>
        <v>208726710.33999997</v>
      </c>
      <c r="T48" s="371">
        <f t="shared" si="4"/>
        <v>4.4761074715909697E-2</v>
      </c>
    </row>
    <row r="49" spans="1:22">
      <c r="A49" s="150">
        <v>44</v>
      </c>
      <c r="B49" s="521" t="s">
        <v>320</v>
      </c>
      <c r="C49" s="522"/>
      <c r="D49" s="522"/>
      <c r="E49" s="522"/>
      <c r="F49" s="522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6">
        <f t="shared" si="3"/>
        <v>243362450.18000001</v>
      </c>
      <c r="T49" s="371">
        <f t="shared" si="4"/>
        <v>5.2188648006810875E-2</v>
      </c>
    </row>
    <row r="50" spans="1:22">
      <c r="A50" s="150">
        <v>451</v>
      </c>
      <c r="B50" s="560" t="s">
        <v>113</v>
      </c>
      <c r="C50" s="561"/>
      <c r="D50" s="561"/>
      <c r="E50" s="561"/>
      <c r="F50" s="561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5">
        <f t="shared" si="3"/>
        <v>4596369</v>
      </c>
      <c r="T50" s="370">
        <f t="shared" si="4"/>
        <v>9.8568322135561309E-4</v>
      </c>
    </row>
    <row r="51" spans="1:22">
      <c r="A51" s="150">
        <v>47</v>
      </c>
      <c r="B51" s="525" t="s">
        <v>366</v>
      </c>
      <c r="C51" s="526"/>
      <c r="D51" s="526"/>
      <c r="E51" s="526"/>
      <c r="F51" s="526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5">
        <f t="shared" si="3"/>
        <v>23887500.050000001</v>
      </c>
      <c r="T51" s="370">
        <f t="shared" si="4"/>
        <v>5.1226322341431617E-3</v>
      </c>
      <c r="U51" s="353"/>
    </row>
    <row r="52" spans="1:22" ht="13.5" thickBot="1">
      <c r="A52" s="150">
        <v>462</v>
      </c>
      <c r="B52" s="527" t="s">
        <v>359</v>
      </c>
      <c r="C52" s="528"/>
      <c r="D52" s="528"/>
      <c r="E52" s="528"/>
      <c r="F52" s="528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5">
        <f t="shared" si="3"/>
        <v>0</v>
      </c>
      <c r="T52" s="375">
        <f t="shared" si="4"/>
        <v>0</v>
      </c>
      <c r="U52" s="292"/>
    </row>
    <row r="53" spans="1:22" ht="13.5" thickBot="1">
      <c r="A53" s="144">
        <v>4630</v>
      </c>
      <c r="B53" s="567" t="s">
        <v>795</v>
      </c>
      <c r="C53" s="568"/>
      <c r="D53" s="568"/>
      <c r="E53" s="568"/>
      <c r="F53" s="568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0">
        <f>+SUM(G53:R53)</f>
        <v>23228368.030000001</v>
      </c>
      <c r="T53" s="375">
        <f>+S53/$T$7</f>
        <v>4.9812825355501564E-3</v>
      </c>
    </row>
    <row r="54" spans="1:22" ht="13.5" thickBot="1">
      <c r="A54" s="70">
        <v>1005</v>
      </c>
      <c r="B54" s="569" t="s">
        <v>685</v>
      </c>
      <c r="C54" s="570"/>
      <c r="D54" s="570"/>
      <c r="E54" s="570"/>
      <c r="F54" s="570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1">
        <f>+SUM(G54:R54)</f>
        <v>28097590.27</v>
      </c>
      <c r="T54" s="376">
        <f>+S54/$T$7</f>
        <v>6.0254786527504057E-3</v>
      </c>
    </row>
    <row r="55" spans="1:22" ht="13.5" thickBot="1">
      <c r="A55" s="144">
        <v>1000</v>
      </c>
      <c r="B55" s="529" t="s">
        <v>545</v>
      </c>
      <c r="C55" s="530"/>
      <c r="D55" s="530"/>
      <c r="E55" s="530"/>
      <c r="F55" s="530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2">
        <f t="shared" si="3"/>
        <v>-168900174.51999998</v>
      </c>
      <c r="T55" s="377">
        <f t="shared" si="4"/>
        <v>-3.6220344386710207E-2</v>
      </c>
    </row>
    <row r="56" spans="1:22" ht="13.5" thickBot="1">
      <c r="A56" s="144"/>
      <c r="B56" s="364" t="s">
        <v>804</v>
      </c>
      <c r="C56" s="365"/>
      <c r="D56" s="365"/>
      <c r="E56" s="365"/>
      <c r="F56" s="365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2">
        <f t="shared" si="3"/>
        <v>-196997764.78999999</v>
      </c>
      <c r="T56" s="377">
        <f t="shared" si="4"/>
        <v>-4.2245823039460617E-2</v>
      </c>
    </row>
    <row r="57" spans="1:22" ht="13.5" thickBot="1">
      <c r="A57" s="144">
        <v>1001</v>
      </c>
      <c r="B57" s="531" t="s">
        <v>794</v>
      </c>
      <c r="C57" s="532"/>
      <c r="D57" s="532"/>
      <c r="E57" s="532"/>
      <c r="F57" s="532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2">
        <f t="shared" si="3"/>
        <v>-99400455.299999982</v>
      </c>
      <c r="T57" s="377">
        <f t="shared" si="4"/>
        <v>-2.1316252238303454E-2</v>
      </c>
    </row>
    <row r="58" spans="1:22">
      <c r="A58" s="144">
        <v>46</v>
      </c>
      <c r="B58" s="553" t="s">
        <v>352</v>
      </c>
      <c r="C58" s="554"/>
      <c r="D58" s="554"/>
      <c r="E58" s="554"/>
      <c r="F58" s="554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3">
        <f t="shared" si="3"/>
        <v>696281459.90999997</v>
      </c>
      <c r="T58" s="378">
        <f t="shared" si="4"/>
        <v>0.14931633042827455</v>
      </c>
      <c r="V58" s="309"/>
    </row>
    <row r="59" spans="1:22">
      <c r="A59" s="144">
        <v>4611</v>
      </c>
      <c r="B59" s="549" t="s">
        <v>355</v>
      </c>
      <c r="C59" s="550"/>
      <c r="D59" s="550"/>
      <c r="E59" s="550"/>
      <c r="F59" s="550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4">
        <f t="shared" si="3"/>
        <v>234823593.10000002</v>
      </c>
      <c r="T59" s="379">
        <f t="shared" si="4"/>
        <v>5.0357505173563681E-2</v>
      </c>
    </row>
    <row r="60" spans="1:22" ht="13.5" thickBot="1">
      <c r="A60" s="144">
        <v>4612</v>
      </c>
      <c r="B60" s="525" t="s">
        <v>357</v>
      </c>
      <c r="C60" s="526"/>
      <c r="D60" s="526"/>
      <c r="E60" s="526"/>
      <c r="F60" s="526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4">
        <f t="shared" si="3"/>
        <v>461457866.81</v>
      </c>
      <c r="T60" s="379">
        <f t="shared" si="4"/>
        <v>9.8958825254710892E-2</v>
      </c>
      <c r="V60" s="318"/>
    </row>
    <row r="61" spans="1:22" ht="13.5" thickBot="1">
      <c r="A61" s="144">
        <v>4418</v>
      </c>
      <c r="B61" s="617" t="s">
        <v>336</v>
      </c>
      <c r="C61" s="618"/>
      <c r="D61" s="618"/>
      <c r="E61" s="618"/>
      <c r="F61" s="618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3">
        <f>SUM(G61:R61)</f>
        <v>69245296.659999996</v>
      </c>
      <c r="T61" s="378">
        <f>+S61/$T$7</f>
        <v>1.4849531679365575E-2</v>
      </c>
      <c r="V61" s="318"/>
    </row>
    <row r="62" spans="1:22" ht="13.5" thickBot="1">
      <c r="A62" s="144">
        <v>1002</v>
      </c>
      <c r="B62" s="551" t="s">
        <v>543</v>
      </c>
      <c r="C62" s="552"/>
      <c r="D62" s="552"/>
      <c r="E62" s="552"/>
      <c r="F62" s="552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5">
        <f t="shared" si="3"/>
        <v>-962524521.35999966</v>
      </c>
      <c r="T62" s="380">
        <f t="shared" si="4"/>
        <v>-0.2064116851471007</v>
      </c>
    </row>
    <row r="63" spans="1:22" ht="13.5" thickBot="1">
      <c r="A63" s="144">
        <v>1003</v>
      </c>
      <c r="B63" s="515" t="s">
        <v>544</v>
      </c>
      <c r="C63" s="516"/>
      <c r="D63" s="516"/>
      <c r="E63" s="516"/>
      <c r="F63" s="516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6">
        <f t="shared" si="3"/>
        <v>962524521.35999966</v>
      </c>
      <c r="T63" s="381">
        <f t="shared" si="4"/>
        <v>0.2064116851471007</v>
      </c>
    </row>
    <row r="64" spans="1:22">
      <c r="A64" s="144">
        <v>7511</v>
      </c>
      <c r="B64" s="549" t="s">
        <v>114</v>
      </c>
      <c r="C64" s="550"/>
      <c r="D64" s="550"/>
      <c r="E64" s="550"/>
      <c r="F64" s="550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4">
        <f t="shared" si="3"/>
        <v>213600000</v>
      </c>
      <c r="T64" s="379">
        <f t="shared" si="4"/>
        <v>4.5806143084151631E-2</v>
      </c>
    </row>
    <row r="65" spans="1:20">
      <c r="A65" s="144">
        <v>7512</v>
      </c>
      <c r="B65" s="525" t="s">
        <v>116</v>
      </c>
      <c r="C65" s="526"/>
      <c r="D65" s="526"/>
      <c r="E65" s="526"/>
      <c r="F65" s="526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4">
        <f t="shared" si="3"/>
        <v>909773438.82000017</v>
      </c>
      <c r="T65" s="379">
        <f t="shared" si="4"/>
        <v>0.19509930858028837</v>
      </c>
    </row>
    <row r="66" spans="1:20">
      <c r="A66" s="144">
        <v>72</v>
      </c>
      <c r="B66" s="525" t="s">
        <v>93</v>
      </c>
      <c r="C66" s="526"/>
      <c r="D66" s="526"/>
      <c r="E66" s="526"/>
      <c r="F66" s="526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4">
        <f t="shared" si="3"/>
        <v>15749081.709999999</v>
      </c>
      <c r="T66" s="379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7">
        <f>+SUM(G67:R67)</f>
        <v>-176597999.17000002</v>
      </c>
      <c r="T67" s="382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77" t="s">
        <v>552</v>
      </c>
      <c r="C103" s="578"/>
      <c r="D103" s="578"/>
      <c r="E103" s="578"/>
      <c r="F103" s="578"/>
      <c r="G103" s="562">
        <v>2018</v>
      </c>
      <c r="H103" s="563"/>
      <c r="I103" s="563"/>
      <c r="J103" s="563"/>
      <c r="K103" s="563"/>
      <c r="L103" s="563"/>
      <c r="M103" s="563"/>
      <c r="N103" s="563"/>
      <c r="O103" s="563"/>
      <c r="P103" s="563"/>
      <c r="Q103" s="563"/>
      <c r="R103" s="564"/>
      <c r="S103" s="107" t="str">
        <f>+S7</f>
        <v>BDP</v>
      </c>
      <c r="T103" s="108">
        <f>+T7</f>
        <v>4663130000</v>
      </c>
    </row>
    <row r="104" spans="1:21" ht="15.75" customHeight="1">
      <c r="B104" s="579"/>
      <c r="C104" s="580"/>
      <c r="D104" s="580"/>
      <c r="E104" s="580"/>
      <c r="F104" s="581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62" t="s">
        <v>809</v>
      </c>
      <c r="T104" s="564">
        <f>+T8</f>
        <v>0</v>
      </c>
    </row>
    <row r="105" spans="1:21" ht="13.5" thickBot="1">
      <c r="B105" s="582"/>
      <c r="C105" s="583"/>
      <c r="D105" s="583"/>
      <c r="E105" s="583"/>
      <c r="F105" s="584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571" t="s">
        <v>681</v>
      </c>
      <c r="C106" s="572"/>
      <c r="D106" s="572"/>
      <c r="E106" s="572"/>
      <c r="F106" s="572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8">
        <f>+SUM(G106:R106)</f>
        <v>1757003221.1342125</v>
      </c>
      <c r="T106" s="411">
        <f>+S106/$T$7</f>
        <v>0.37678624038665287</v>
      </c>
    </row>
    <row r="107" spans="1:21">
      <c r="A107" s="116" t="str">
        <f t="shared" si="18"/>
        <v>711p</v>
      </c>
      <c r="B107" s="573" t="s">
        <v>21</v>
      </c>
      <c r="C107" s="574"/>
      <c r="D107" s="574"/>
      <c r="E107" s="574"/>
      <c r="F107" s="574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399">
        <f t="shared" ref="S107:S162" si="21">+SUM(G107:R107)</f>
        <v>1078397189.3971882</v>
      </c>
      <c r="T107" s="412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75" t="s">
        <v>23</v>
      </c>
      <c r="C108" s="576"/>
      <c r="D108" s="576"/>
      <c r="E108" s="576"/>
      <c r="F108" s="576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0">
        <f t="shared" si="21"/>
        <v>121359662.16838756</v>
      </c>
      <c r="T108" s="413">
        <f t="shared" si="22"/>
        <v>2.60253654022915E-2</v>
      </c>
    </row>
    <row r="109" spans="1:21">
      <c r="A109" s="116" t="str">
        <f t="shared" si="18"/>
        <v>7112p</v>
      </c>
      <c r="B109" s="575" t="s">
        <v>25</v>
      </c>
      <c r="C109" s="576"/>
      <c r="D109" s="576"/>
      <c r="E109" s="576"/>
      <c r="F109" s="576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0">
        <f t="shared" si="21"/>
        <v>61678365.370406665</v>
      </c>
      <c r="T109" s="413">
        <f t="shared" si="22"/>
        <v>1.3226816616823178E-2</v>
      </c>
    </row>
    <row r="110" spans="1:21">
      <c r="A110" s="116" t="str">
        <f t="shared" si="18"/>
        <v>7113p</v>
      </c>
      <c r="B110" s="575" t="s">
        <v>27</v>
      </c>
      <c r="C110" s="576"/>
      <c r="D110" s="576"/>
      <c r="E110" s="576"/>
      <c r="F110" s="576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0">
        <f t="shared" si="21"/>
        <v>1854898.1305385595</v>
      </c>
      <c r="T110" s="413">
        <f t="shared" si="22"/>
        <v>3.9777963096430068E-4</v>
      </c>
    </row>
    <row r="111" spans="1:21">
      <c r="A111" s="116" t="str">
        <f t="shared" si="18"/>
        <v>7114p</v>
      </c>
      <c r="B111" s="575" t="s">
        <v>29</v>
      </c>
      <c r="C111" s="576"/>
      <c r="D111" s="576"/>
      <c r="E111" s="576"/>
      <c r="F111" s="576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0">
        <f t="shared" si="21"/>
        <v>624391782.02119482</v>
      </c>
      <c r="T111" s="413">
        <f t="shared" si="22"/>
        <v>0.13389971586063326</v>
      </c>
    </row>
    <row r="112" spans="1:21">
      <c r="A112" s="116" t="str">
        <f t="shared" si="18"/>
        <v>7115p</v>
      </c>
      <c r="B112" s="575" t="s">
        <v>31</v>
      </c>
      <c r="C112" s="576"/>
      <c r="D112" s="576"/>
      <c r="E112" s="576"/>
      <c r="F112" s="576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0">
        <f t="shared" si="21"/>
        <v>232697830.94442701</v>
      </c>
      <c r="T112" s="413">
        <f t="shared" si="22"/>
        <v>4.9901639230393965E-2</v>
      </c>
    </row>
    <row r="113" spans="1:20">
      <c r="A113" s="116" t="str">
        <f t="shared" si="18"/>
        <v>7116p</v>
      </c>
      <c r="B113" s="575" t="s">
        <v>33</v>
      </c>
      <c r="C113" s="576"/>
      <c r="D113" s="576"/>
      <c r="E113" s="576"/>
      <c r="F113" s="576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0">
        <f t="shared" si="21"/>
        <v>26860004.877748117</v>
      </c>
      <c r="T113" s="413">
        <f t="shared" si="22"/>
        <v>5.7600806492094613E-3</v>
      </c>
    </row>
    <row r="114" spans="1:20">
      <c r="A114" s="116" t="str">
        <f t="shared" si="18"/>
        <v>7118p</v>
      </c>
      <c r="B114" s="575" t="s">
        <v>722</v>
      </c>
      <c r="C114" s="576"/>
      <c r="D114" s="576"/>
      <c r="E114" s="576"/>
      <c r="F114" s="576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0">
        <f t="shared" si="21"/>
        <v>9554645.8844855782</v>
      </c>
      <c r="T114" s="413">
        <f t="shared" si="22"/>
        <v>2.0489769499210998E-3</v>
      </c>
    </row>
    <row r="115" spans="1:20">
      <c r="A115" s="116" t="str">
        <f t="shared" si="18"/>
        <v>712p</v>
      </c>
      <c r="B115" s="587" t="s">
        <v>37</v>
      </c>
      <c r="C115" s="588"/>
      <c r="D115" s="588"/>
      <c r="E115" s="588"/>
      <c r="F115" s="588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1">
        <f t="shared" si="21"/>
        <v>522253828.92039472</v>
      </c>
      <c r="T115" s="414">
        <f t="shared" si="22"/>
        <v>0.1119964120495021</v>
      </c>
    </row>
    <row r="116" spans="1:20">
      <c r="A116" s="116" t="str">
        <f t="shared" si="18"/>
        <v>7121p</v>
      </c>
      <c r="B116" s="575" t="s">
        <v>39</v>
      </c>
      <c r="C116" s="576"/>
      <c r="D116" s="576"/>
      <c r="E116" s="576"/>
      <c r="F116" s="576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0">
        <f t="shared" si="21"/>
        <v>314496114.9625507</v>
      </c>
      <c r="T116" s="413">
        <f t="shared" si="22"/>
        <v>6.7443136897867031E-2</v>
      </c>
    </row>
    <row r="117" spans="1:20">
      <c r="A117" s="116" t="str">
        <f t="shared" si="18"/>
        <v>7122p</v>
      </c>
      <c r="B117" s="575" t="s">
        <v>41</v>
      </c>
      <c r="C117" s="576"/>
      <c r="D117" s="576"/>
      <c r="E117" s="576"/>
      <c r="F117" s="576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0">
        <f t="shared" si="21"/>
        <v>180896074.44659218</v>
      </c>
      <c r="T117" s="413">
        <f t="shared" si="22"/>
        <v>3.8792843958155181E-2</v>
      </c>
    </row>
    <row r="118" spans="1:20">
      <c r="A118" s="116" t="str">
        <f t="shared" si="18"/>
        <v>7123p</v>
      </c>
      <c r="B118" s="575" t="s">
        <v>43</v>
      </c>
      <c r="C118" s="576"/>
      <c r="D118" s="576"/>
      <c r="E118" s="576"/>
      <c r="F118" s="576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0">
        <f t="shared" si="21"/>
        <v>14149151.623339836</v>
      </c>
      <c r="T118" s="413">
        <f t="shared" si="22"/>
        <v>3.0342605982118954E-3</v>
      </c>
    </row>
    <row r="119" spans="1:20">
      <c r="A119" s="116" t="str">
        <f t="shared" si="18"/>
        <v>7124p</v>
      </c>
      <c r="B119" s="575" t="s">
        <v>45</v>
      </c>
      <c r="C119" s="576"/>
      <c r="D119" s="576"/>
      <c r="E119" s="576"/>
      <c r="F119" s="576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0">
        <f t="shared" si="21"/>
        <v>12712487.887912013</v>
      </c>
      <c r="T119" s="413">
        <f t="shared" si="22"/>
        <v>2.7261705952679881E-3</v>
      </c>
    </row>
    <row r="120" spans="1:20">
      <c r="A120" s="116" t="str">
        <f t="shared" si="18"/>
        <v>713p</v>
      </c>
      <c r="B120" s="585" t="s">
        <v>47</v>
      </c>
      <c r="C120" s="586"/>
      <c r="D120" s="586"/>
      <c r="E120" s="586"/>
      <c r="F120" s="586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1">
        <f t="shared" si="21"/>
        <v>17700468.388223864</v>
      </c>
      <c r="T120" s="414">
        <f t="shared" si="22"/>
        <v>3.7958342118327958E-3</v>
      </c>
    </row>
    <row r="121" spans="1:20">
      <c r="A121" s="116" t="str">
        <f t="shared" si="18"/>
        <v>714p</v>
      </c>
      <c r="B121" s="585" t="s">
        <v>61</v>
      </c>
      <c r="C121" s="586"/>
      <c r="D121" s="586"/>
      <c r="E121" s="586"/>
      <c r="F121" s="586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1">
        <f t="shared" si="21"/>
        <v>28128126.097135291</v>
      </c>
      <c r="T121" s="414">
        <f t="shared" si="22"/>
        <v>6.0320270069964361E-3</v>
      </c>
    </row>
    <row r="122" spans="1:20">
      <c r="A122" s="116" t="str">
        <f t="shared" si="18"/>
        <v>715p</v>
      </c>
      <c r="B122" s="585" t="s">
        <v>81</v>
      </c>
      <c r="C122" s="586"/>
      <c r="D122" s="586"/>
      <c r="E122" s="586"/>
      <c r="F122" s="586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1">
        <f t="shared" si="21"/>
        <v>71732904.669780642</v>
      </c>
      <c r="T122" s="414">
        <f t="shared" si="22"/>
        <v>1.5382994827461522E-2</v>
      </c>
    </row>
    <row r="123" spans="1:20">
      <c r="A123" s="116" t="str">
        <f t="shared" si="18"/>
        <v>73p</v>
      </c>
      <c r="B123" s="585" t="s">
        <v>99</v>
      </c>
      <c r="C123" s="586"/>
      <c r="D123" s="586"/>
      <c r="E123" s="586"/>
      <c r="F123" s="586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1">
        <f t="shared" si="21"/>
        <v>7262314.2406375092</v>
      </c>
      <c r="T123" s="414">
        <f t="shared" si="22"/>
        <v>1.5573904739171992E-3</v>
      </c>
    </row>
    <row r="124" spans="1:20" ht="13.5" thickBot="1">
      <c r="A124" s="116" t="str">
        <f t="shared" si="18"/>
        <v>74p</v>
      </c>
      <c r="B124" s="589" t="s">
        <v>105</v>
      </c>
      <c r="C124" s="590"/>
      <c r="D124" s="590"/>
      <c r="E124" s="590"/>
      <c r="F124" s="590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2">
        <f t="shared" si="21"/>
        <v>31528389.420852099</v>
      </c>
      <c r="T124" s="415">
        <f t="shared" si="22"/>
        <v>6.7612074767060106E-3</v>
      </c>
    </row>
    <row r="125" spans="1:20" ht="13.5" thickBot="1">
      <c r="A125" s="116" t="str">
        <f t="shared" si="18"/>
        <v>4p</v>
      </c>
      <c r="B125" s="591" t="s">
        <v>811</v>
      </c>
      <c r="C125" s="592"/>
      <c r="D125" s="592"/>
      <c r="E125" s="592"/>
      <c r="F125" s="592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3">
        <f>+SUM(G125:R125)</f>
        <v>1899843074.6966665</v>
      </c>
      <c r="T125" s="416">
        <f t="shared" si="22"/>
        <v>0.40741799492972885</v>
      </c>
    </row>
    <row r="126" spans="1:20" ht="13.5" thickBot="1">
      <c r="A126" s="116" t="str">
        <f t="shared" si="18"/>
        <v>40p</v>
      </c>
      <c r="B126" s="611" t="s">
        <v>774</v>
      </c>
      <c r="C126" s="612"/>
      <c r="D126" s="612"/>
      <c r="E126" s="612"/>
      <c r="F126" s="612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4">
        <f t="shared" si="21"/>
        <v>1610768074.6999998</v>
      </c>
      <c r="T126" s="417">
        <f t="shared" si="22"/>
        <v>0.34542637127851888</v>
      </c>
    </row>
    <row r="127" spans="1:20">
      <c r="A127" s="116" t="str">
        <f t="shared" si="18"/>
        <v>41p</v>
      </c>
      <c r="B127" s="593" t="s">
        <v>120</v>
      </c>
      <c r="C127" s="594"/>
      <c r="D127" s="594"/>
      <c r="E127" s="594"/>
      <c r="F127" s="594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399">
        <f t="shared" si="21"/>
        <v>812630572.90999997</v>
      </c>
      <c r="T127" s="412">
        <f t="shared" si="22"/>
        <v>0.17426719240295679</v>
      </c>
    </row>
    <row r="128" spans="1:20">
      <c r="A128" s="116" t="str">
        <f t="shared" si="18"/>
        <v>411p</v>
      </c>
      <c r="B128" s="575" t="s">
        <v>122</v>
      </c>
      <c r="C128" s="576"/>
      <c r="D128" s="576"/>
      <c r="E128" s="576"/>
      <c r="F128" s="576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0">
        <f t="shared" si="21"/>
        <v>461973796.46999985</v>
      </c>
      <c r="T128" s="413">
        <f t="shared" si="22"/>
        <v>9.9069465459894937E-2</v>
      </c>
    </row>
    <row r="129" spans="1:20">
      <c r="A129" s="116" t="str">
        <f t="shared" si="18"/>
        <v>412p</v>
      </c>
      <c r="B129" s="575" t="s">
        <v>133</v>
      </c>
      <c r="C129" s="576"/>
      <c r="D129" s="576"/>
      <c r="E129" s="576"/>
      <c r="F129" s="576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0">
        <f t="shared" si="21"/>
        <v>13262623.179999996</v>
      </c>
      <c r="T129" s="413">
        <f t="shared" si="22"/>
        <v>2.8441461378945036E-3</v>
      </c>
    </row>
    <row r="130" spans="1:20">
      <c r="A130" s="116" t="str">
        <f t="shared" si="18"/>
        <v>413p</v>
      </c>
      <c r="B130" s="575" t="s">
        <v>148</v>
      </c>
      <c r="C130" s="576"/>
      <c r="D130" s="576"/>
      <c r="E130" s="576"/>
      <c r="F130" s="576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0">
        <f t="shared" si="21"/>
        <v>39682213.5</v>
      </c>
      <c r="T130" s="413">
        <f t="shared" si="22"/>
        <v>8.5097806623448194E-3</v>
      </c>
    </row>
    <row r="131" spans="1:20">
      <c r="A131" s="116" t="str">
        <f t="shared" si="18"/>
        <v>414p</v>
      </c>
      <c r="B131" s="575" t="s">
        <v>162</v>
      </c>
      <c r="C131" s="576"/>
      <c r="D131" s="576"/>
      <c r="E131" s="576"/>
      <c r="F131" s="576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0">
        <f t="shared" si="21"/>
        <v>58741932.939999998</v>
      </c>
      <c r="T131" s="413">
        <f t="shared" si="22"/>
        <v>1.2597103863713857E-2</v>
      </c>
    </row>
    <row r="132" spans="1:20">
      <c r="A132" s="116" t="str">
        <f t="shared" si="18"/>
        <v>415p</v>
      </c>
      <c r="B132" s="575" t="s">
        <v>182</v>
      </c>
      <c r="C132" s="576"/>
      <c r="D132" s="576"/>
      <c r="E132" s="576"/>
      <c r="F132" s="576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0">
        <f t="shared" si="21"/>
        <v>22285486.810000002</v>
      </c>
      <c r="T132" s="413">
        <f t="shared" si="22"/>
        <v>4.7790833217173879E-3</v>
      </c>
    </row>
    <row r="133" spans="1:20">
      <c r="A133" s="116" t="str">
        <f t="shared" si="18"/>
        <v>416p</v>
      </c>
      <c r="B133" s="575" t="s">
        <v>190</v>
      </c>
      <c r="C133" s="576"/>
      <c r="D133" s="576"/>
      <c r="E133" s="576"/>
      <c r="F133" s="576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0">
        <f t="shared" si="21"/>
        <v>87442700</v>
      </c>
      <c r="T133" s="413">
        <f t="shared" si="22"/>
        <v>1.8751932714721656E-2</v>
      </c>
    </row>
    <row r="134" spans="1:20">
      <c r="A134" s="116" t="str">
        <f t="shared" si="18"/>
        <v>417p</v>
      </c>
      <c r="B134" s="575" t="s">
        <v>196</v>
      </c>
      <c r="C134" s="576"/>
      <c r="D134" s="576"/>
      <c r="E134" s="576"/>
      <c r="F134" s="576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0">
        <f t="shared" si="21"/>
        <v>10344524.66</v>
      </c>
      <c r="T134" s="413">
        <f t="shared" si="22"/>
        <v>2.2183650595201079E-3</v>
      </c>
    </row>
    <row r="135" spans="1:20">
      <c r="A135" s="116" t="str">
        <f t="shared" si="18"/>
        <v>418p</v>
      </c>
      <c r="B135" s="575" t="s">
        <v>204</v>
      </c>
      <c r="C135" s="576"/>
      <c r="D135" s="576"/>
      <c r="E135" s="576"/>
      <c r="F135" s="576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0">
        <f t="shared" si="21"/>
        <v>26731800.000000011</v>
      </c>
      <c r="T135" s="413">
        <f t="shared" si="22"/>
        <v>5.7325873394050804E-3</v>
      </c>
    </row>
    <row r="136" spans="1:20">
      <c r="A136" s="116" t="str">
        <f t="shared" si="18"/>
        <v>419p</v>
      </c>
      <c r="B136" s="575" t="s">
        <v>212</v>
      </c>
      <c r="C136" s="576"/>
      <c r="D136" s="576"/>
      <c r="E136" s="576"/>
      <c r="F136" s="576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0">
        <f t="shared" si="21"/>
        <v>39317929.93</v>
      </c>
      <c r="T136" s="413">
        <f t="shared" si="22"/>
        <v>8.4316606935684827E-3</v>
      </c>
    </row>
    <row r="137" spans="1:20">
      <c r="A137" s="116" t="str">
        <f t="shared" si="18"/>
        <v>440p</v>
      </c>
      <c r="B137" s="575" t="s">
        <v>803</v>
      </c>
      <c r="C137" s="576"/>
      <c r="D137" s="576"/>
      <c r="E137" s="576"/>
      <c r="F137" s="576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0">
        <f t="shared" si="21"/>
        <v>52847565.419999987</v>
      </c>
      <c r="T137" s="413">
        <f t="shared" si="22"/>
        <v>1.1333067150175952E-2</v>
      </c>
    </row>
    <row r="138" spans="1:20">
      <c r="A138" s="116" t="str">
        <f t="shared" si="18"/>
        <v>42p</v>
      </c>
      <c r="B138" s="599" t="s">
        <v>230</v>
      </c>
      <c r="C138" s="600"/>
      <c r="D138" s="600"/>
      <c r="E138" s="600"/>
      <c r="F138" s="600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1">
        <f t="shared" si="21"/>
        <v>558932773.86000013</v>
      </c>
      <c r="T138" s="414">
        <f t="shared" si="22"/>
        <v>0.11986214706859988</v>
      </c>
    </row>
    <row r="139" spans="1:20">
      <c r="A139" s="116" t="str">
        <f t="shared" si="18"/>
        <v>421p</v>
      </c>
      <c r="B139" s="575" t="s">
        <v>232</v>
      </c>
      <c r="C139" s="576"/>
      <c r="D139" s="576"/>
      <c r="E139" s="576"/>
      <c r="F139" s="576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0">
        <f t="shared" si="21"/>
        <v>82786083.909999996</v>
      </c>
      <c r="T139" s="413">
        <f t="shared" si="22"/>
        <v>1.7753329611226793E-2</v>
      </c>
    </row>
    <row r="140" spans="1:20">
      <c r="A140" s="116" t="str">
        <f t="shared" si="18"/>
        <v>422p</v>
      </c>
      <c r="B140" s="575" t="s">
        <v>248</v>
      </c>
      <c r="C140" s="576"/>
      <c r="D140" s="576"/>
      <c r="E140" s="576"/>
      <c r="F140" s="576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0">
        <f t="shared" si="21"/>
        <v>17298799.519999992</v>
      </c>
      <c r="T140" s="413">
        <f t="shared" si="22"/>
        <v>3.7096970318219718E-3</v>
      </c>
    </row>
    <row r="141" spans="1:20">
      <c r="A141" s="116" t="str">
        <f t="shared" si="18"/>
        <v>423p</v>
      </c>
      <c r="B141" s="575" t="s">
        <v>259</v>
      </c>
      <c r="C141" s="576"/>
      <c r="D141" s="576"/>
      <c r="E141" s="576"/>
      <c r="F141" s="576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0">
        <f t="shared" si="21"/>
        <v>425672790.43000013</v>
      </c>
      <c r="T141" s="413">
        <f t="shared" si="22"/>
        <v>9.1284778770911415E-2</v>
      </c>
    </row>
    <row r="142" spans="1:20">
      <c r="A142" s="116" t="str">
        <f t="shared" si="18"/>
        <v>424p</v>
      </c>
      <c r="B142" s="575" t="s">
        <v>274</v>
      </c>
      <c r="C142" s="576"/>
      <c r="D142" s="576"/>
      <c r="E142" s="576"/>
      <c r="F142" s="576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0">
        <f t="shared" si="21"/>
        <v>19000099.999999996</v>
      </c>
      <c r="T142" s="413">
        <f t="shared" si="22"/>
        <v>4.0745379176647433E-3</v>
      </c>
    </row>
    <row r="143" spans="1:20">
      <c r="A143" s="116" t="str">
        <f t="shared" si="18"/>
        <v>425p</v>
      </c>
      <c r="B143" s="575" t="s">
        <v>278</v>
      </c>
      <c r="C143" s="576"/>
      <c r="D143" s="576"/>
      <c r="E143" s="576"/>
      <c r="F143" s="576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0">
        <f t="shared" si="21"/>
        <v>14175000.000000002</v>
      </c>
      <c r="T143" s="413">
        <f t="shared" si="22"/>
        <v>3.0398037369749509E-3</v>
      </c>
    </row>
    <row r="144" spans="1:20">
      <c r="A144" s="116" t="str">
        <f t="shared" si="18"/>
        <v>43p</v>
      </c>
      <c r="B144" s="595" t="s">
        <v>286</v>
      </c>
      <c r="C144" s="596"/>
      <c r="D144" s="596"/>
      <c r="E144" s="596"/>
      <c r="F144" s="596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1">
        <f>+SUM(G144:R144)</f>
        <v>206684238.69</v>
      </c>
      <c r="T144" s="414">
        <f t="shared" si="22"/>
        <v>4.4323070274686745E-2</v>
      </c>
    </row>
    <row r="145" spans="1:20">
      <c r="A145" s="116" t="str">
        <f t="shared" si="18"/>
        <v>44p</v>
      </c>
      <c r="B145" s="595" t="s">
        <v>812</v>
      </c>
      <c r="C145" s="596"/>
      <c r="D145" s="596"/>
      <c r="E145" s="596"/>
      <c r="F145" s="596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1">
        <f t="shared" si="21"/>
        <v>289074999.99666673</v>
      </c>
      <c r="T145" s="414">
        <f t="shared" si="22"/>
        <v>6.1991623651209964E-2</v>
      </c>
    </row>
    <row r="146" spans="1:20">
      <c r="A146" s="116" t="str">
        <f t="shared" si="18"/>
        <v>451p</v>
      </c>
      <c r="B146" s="597" t="s">
        <v>113</v>
      </c>
      <c r="C146" s="598"/>
      <c r="D146" s="598"/>
      <c r="E146" s="598"/>
      <c r="F146" s="598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0">
        <f t="shared" si="21"/>
        <v>2875000.9999999995</v>
      </c>
      <c r="T146" s="413">
        <f t="shared" si="22"/>
        <v>6.1653889125973314E-4</v>
      </c>
    </row>
    <row r="147" spans="1:20">
      <c r="A147" s="116" t="str">
        <f t="shared" si="18"/>
        <v>47p</v>
      </c>
      <c r="B147" s="597" t="s">
        <v>366</v>
      </c>
      <c r="C147" s="598"/>
      <c r="D147" s="598"/>
      <c r="E147" s="598"/>
      <c r="F147" s="598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0">
        <f t="shared" si="21"/>
        <v>29645488.240000002</v>
      </c>
      <c r="T147" s="413">
        <f t="shared" si="22"/>
        <v>6.3574226410157992E-3</v>
      </c>
    </row>
    <row r="148" spans="1:20">
      <c r="A148" s="116" t="str">
        <f t="shared" si="18"/>
        <v>462p</v>
      </c>
      <c r="B148" s="597" t="s">
        <v>359</v>
      </c>
      <c r="C148" s="598"/>
      <c r="D148" s="598"/>
      <c r="E148" s="598"/>
      <c r="F148" s="598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0">
        <f t="shared" si="21"/>
        <v>0</v>
      </c>
      <c r="T148" s="413">
        <f t="shared" si="22"/>
        <v>0</v>
      </c>
    </row>
    <row r="149" spans="1:20" ht="13.5" thickBot="1">
      <c r="A149" s="116"/>
      <c r="B149" s="366" t="s">
        <v>686</v>
      </c>
      <c r="C149" s="367"/>
      <c r="D149" s="367"/>
      <c r="E149" s="367"/>
      <c r="F149" s="367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1">
        <f>SUM(G149:R149)</f>
        <v>0</v>
      </c>
      <c r="T149" s="376">
        <f t="shared" si="22"/>
        <v>0</v>
      </c>
    </row>
    <row r="150" spans="1:20" ht="13.5" thickBot="1">
      <c r="A150" s="117" t="str">
        <f>+CONCATENATE(A55,"p")</f>
        <v>1000p</v>
      </c>
      <c r="B150" s="605" t="s">
        <v>545</v>
      </c>
      <c r="C150" s="606"/>
      <c r="D150" s="606"/>
      <c r="E150" s="606"/>
      <c r="F150" s="606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6">
        <f t="shared" si="21"/>
        <v>-142839853.56245428</v>
      </c>
      <c r="T150" s="419">
        <f t="shared" si="22"/>
        <v>-3.0631754543076064E-2</v>
      </c>
    </row>
    <row r="151" spans="1:20" ht="13.5" thickBot="1">
      <c r="A151" s="117" t="str">
        <f>+CONCATENATE(A57,"p")</f>
        <v>1001p</v>
      </c>
      <c r="B151" s="607" t="s">
        <v>813</v>
      </c>
      <c r="C151" s="608"/>
      <c r="D151" s="608"/>
      <c r="E151" s="608"/>
      <c r="F151" s="608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6">
        <f t="shared" si="21"/>
        <v>-55397153.562454268</v>
      </c>
      <c r="T151" s="419">
        <f t="shared" si="22"/>
        <v>-1.1879821828354403E-2</v>
      </c>
    </row>
    <row r="152" spans="1:20">
      <c r="A152" s="117" t="str">
        <f>+CONCATENATE(A58,"p")</f>
        <v>46p</v>
      </c>
      <c r="B152" s="599" t="s">
        <v>352</v>
      </c>
      <c r="C152" s="600"/>
      <c r="D152" s="600"/>
      <c r="E152" s="600"/>
      <c r="F152" s="600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7">
        <f t="shared" si="21"/>
        <v>542432774.80999994</v>
      </c>
      <c r="T152" s="420">
        <f t="shared" si="22"/>
        <v>0.11632375138801619</v>
      </c>
    </row>
    <row r="153" spans="1:20">
      <c r="A153" s="117" t="str">
        <f>+CONCATENATE(A59,"p")</f>
        <v>4611p</v>
      </c>
      <c r="B153" s="603" t="s">
        <v>355</v>
      </c>
      <c r="C153" s="604"/>
      <c r="D153" s="604"/>
      <c r="E153" s="604"/>
      <c r="F153" s="604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5">
        <f t="shared" si="21"/>
        <v>50688279.809999995</v>
      </c>
      <c r="T153" s="418">
        <f t="shared" si="22"/>
        <v>1.0870012161359429E-2</v>
      </c>
    </row>
    <row r="154" spans="1:20">
      <c r="A154" s="117" t="str">
        <f>+CONCATENATE(A60,"p")</f>
        <v>4612p</v>
      </c>
      <c r="B154" s="597" t="s">
        <v>357</v>
      </c>
      <c r="C154" s="598"/>
      <c r="D154" s="598"/>
      <c r="E154" s="598"/>
      <c r="F154" s="598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5">
        <f t="shared" si="21"/>
        <v>461500000</v>
      </c>
      <c r="T154" s="418">
        <f t="shared" si="22"/>
        <v>9.8967860642958705E-2</v>
      </c>
    </row>
    <row r="155" spans="1:20">
      <c r="A155" s="117" t="str">
        <f>+CONCATENATE(A53,"p")</f>
        <v>4630p</v>
      </c>
      <c r="B155" s="597" t="s">
        <v>365</v>
      </c>
      <c r="C155" s="598"/>
      <c r="D155" s="598"/>
      <c r="E155" s="598"/>
      <c r="F155" s="598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5">
        <f t="shared" si="21"/>
        <v>30244495.000000015</v>
      </c>
      <c r="T155" s="418">
        <f t="shared" si="22"/>
        <v>6.4858785836980773E-3</v>
      </c>
    </row>
    <row r="156" spans="1:20" ht="13.5" thickBot="1">
      <c r="A156" s="117"/>
      <c r="B156" s="366" t="s">
        <v>770</v>
      </c>
      <c r="C156" s="367"/>
      <c r="D156" s="367"/>
      <c r="E156" s="367"/>
      <c r="F156" s="367"/>
      <c r="G156" s="338">
        <v>0</v>
      </c>
      <c r="H156" s="338">
        <v>0</v>
      </c>
      <c r="I156" s="338">
        <v>0</v>
      </c>
      <c r="J156" s="338">
        <v>0</v>
      </c>
      <c r="K156" s="338">
        <v>70000000</v>
      </c>
      <c r="L156" s="338">
        <v>0</v>
      </c>
      <c r="M156" s="338">
        <v>0</v>
      </c>
      <c r="N156" s="338">
        <v>0</v>
      </c>
      <c r="O156" s="338">
        <v>0</v>
      </c>
      <c r="P156" s="338">
        <v>0</v>
      </c>
      <c r="Q156" s="338">
        <v>0</v>
      </c>
      <c r="R156" s="338">
        <v>0</v>
      </c>
      <c r="S156" s="405">
        <f t="shared" si="21"/>
        <v>70000000</v>
      </c>
      <c r="T156" s="418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601" t="s">
        <v>543</v>
      </c>
      <c r="C157" s="602"/>
      <c r="D157" s="602"/>
      <c r="E157" s="602"/>
      <c r="F157" s="602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8">
        <f t="shared" si="21"/>
        <v>-755272628.37245417</v>
      </c>
      <c r="T157" s="421">
        <f t="shared" si="22"/>
        <v>-0.16196688240998089</v>
      </c>
    </row>
    <row r="158" spans="1:20" ht="13.5" thickBot="1">
      <c r="A158" s="117" t="str">
        <f t="shared" si="31"/>
        <v>1003p</v>
      </c>
      <c r="B158" s="591" t="s">
        <v>544</v>
      </c>
      <c r="C158" s="592"/>
      <c r="D158" s="592"/>
      <c r="E158" s="592"/>
      <c r="F158" s="592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09">
        <f t="shared" si="21"/>
        <v>755272628.37245417</v>
      </c>
      <c r="T158" s="422">
        <f t="shared" si="22"/>
        <v>0.16196688240998089</v>
      </c>
    </row>
    <row r="159" spans="1:20">
      <c r="A159" s="117" t="str">
        <f t="shared" si="31"/>
        <v>7511p</v>
      </c>
      <c r="B159" s="603" t="s">
        <v>114</v>
      </c>
      <c r="C159" s="604"/>
      <c r="D159" s="604"/>
      <c r="E159" s="604"/>
      <c r="F159" s="604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5">
        <f t="shared" si="21"/>
        <v>0</v>
      </c>
      <c r="T159" s="418">
        <f t="shared" si="22"/>
        <v>0</v>
      </c>
    </row>
    <row r="160" spans="1:20">
      <c r="A160" s="117" t="str">
        <f t="shared" si="31"/>
        <v>7512p</v>
      </c>
      <c r="B160" s="597" t="s">
        <v>116</v>
      </c>
      <c r="C160" s="598"/>
      <c r="D160" s="598"/>
      <c r="E160" s="598"/>
      <c r="F160" s="598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5">
        <f t="shared" si="21"/>
        <v>739264348.56578732</v>
      </c>
      <c r="T160" s="418">
        <f t="shared" si="22"/>
        <v>0.15853393505344851</v>
      </c>
    </row>
    <row r="161" spans="1:20">
      <c r="A161" s="117" t="str">
        <f t="shared" si="31"/>
        <v>72p</v>
      </c>
      <c r="B161" s="597" t="s">
        <v>93</v>
      </c>
      <c r="C161" s="598"/>
      <c r="D161" s="598"/>
      <c r="E161" s="598"/>
      <c r="F161" s="598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5">
        <f t="shared" si="21"/>
        <v>16000000</v>
      </c>
      <c r="T161" s="418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0">
        <f t="shared" si="21"/>
        <v>8279.8066668957472</v>
      </c>
      <c r="T162" s="423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Z51" activePane="bottomRight" state="frozen"/>
      <selection pane="topRight" activeCell="F1" sqref="F1"/>
      <selection pane="bottomLeft" activeCell="A8" sqref="A8"/>
      <selection pane="bottomRight" activeCell="GA58" sqref="GA58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1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22" t="s">
        <v>555</v>
      </c>
      <c r="F6" s="620">
        <v>2006</v>
      </c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21"/>
      <c r="R6" s="620">
        <v>2007</v>
      </c>
      <c r="S6" s="619"/>
      <c r="T6" s="619"/>
      <c r="U6" s="619"/>
      <c r="V6" s="619"/>
      <c r="W6" s="619"/>
      <c r="X6" s="619"/>
      <c r="Y6" s="619"/>
      <c r="Z6" s="619"/>
      <c r="AA6" s="619"/>
      <c r="AB6" s="619"/>
      <c r="AC6" s="621"/>
      <c r="AD6" s="620">
        <v>2008</v>
      </c>
      <c r="AE6" s="619"/>
      <c r="AF6" s="619"/>
      <c r="AG6" s="619"/>
      <c r="AH6" s="619"/>
      <c r="AI6" s="619"/>
      <c r="AJ6" s="619"/>
      <c r="AK6" s="619"/>
      <c r="AL6" s="619"/>
      <c r="AM6" s="619"/>
      <c r="AN6" s="619"/>
      <c r="AO6" s="621"/>
      <c r="AP6" s="620">
        <v>2009</v>
      </c>
      <c r="AQ6" s="619"/>
      <c r="AR6" s="619"/>
      <c r="AS6" s="619"/>
      <c r="AT6" s="619"/>
      <c r="AU6" s="619"/>
      <c r="AV6" s="619"/>
      <c r="AW6" s="619"/>
      <c r="AX6" s="619"/>
      <c r="AY6" s="619"/>
      <c r="AZ6" s="619"/>
      <c r="BA6" s="621"/>
      <c r="BB6" s="620">
        <v>2010</v>
      </c>
      <c r="BC6" s="619"/>
      <c r="BD6" s="619"/>
      <c r="BE6" s="619"/>
      <c r="BF6" s="619"/>
      <c r="BG6" s="619"/>
      <c r="BH6" s="619"/>
      <c r="BI6" s="619"/>
      <c r="BJ6" s="619"/>
      <c r="BK6" s="619"/>
      <c r="BL6" s="619"/>
      <c r="BM6" s="621"/>
      <c r="BN6" s="620">
        <v>2011</v>
      </c>
      <c r="BO6" s="619"/>
      <c r="BP6" s="619"/>
      <c r="BQ6" s="619"/>
      <c r="BR6" s="619"/>
      <c r="BS6" s="619"/>
      <c r="BT6" s="619"/>
      <c r="BU6" s="619"/>
      <c r="BV6" s="619"/>
      <c r="BW6" s="619"/>
      <c r="BX6" s="619"/>
      <c r="BY6" s="621"/>
      <c r="BZ6" s="619">
        <v>2012</v>
      </c>
      <c r="CA6" s="619"/>
      <c r="CB6" s="619"/>
      <c r="CC6" s="619"/>
      <c r="CD6" s="619"/>
      <c r="CE6" s="619"/>
      <c r="CF6" s="619"/>
      <c r="CG6" s="619"/>
      <c r="CH6" s="619"/>
      <c r="CI6" s="619"/>
      <c r="CJ6" s="619"/>
      <c r="CK6" s="619"/>
      <c r="CL6" s="620">
        <v>2013</v>
      </c>
      <c r="CM6" s="619"/>
      <c r="CN6" s="619"/>
      <c r="CO6" s="619"/>
      <c r="CP6" s="619"/>
      <c r="CQ6" s="619"/>
      <c r="CR6" s="619"/>
      <c r="CS6" s="619"/>
      <c r="CT6" s="619"/>
      <c r="CU6" s="619"/>
      <c r="CV6" s="619"/>
      <c r="CW6" s="621"/>
      <c r="CX6" s="620">
        <v>2014</v>
      </c>
      <c r="CY6" s="619"/>
      <c r="CZ6" s="619"/>
      <c r="DA6" s="619"/>
      <c r="DB6" s="619"/>
      <c r="DC6" s="619"/>
      <c r="DD6" s="619"/>
      <c r="DE6" s="619"/>
      <c r="DF6" s="619"/>
      <c r="DG6" s="619"/>
      <c r="DH6" s="619"/>
      <c r="DI6" s="621"/>
      <c r="DJ6" s="620">
        <v>2015</v>
      </c>
      <c r="DK6" s="619"/>
      <c r="DL6" s="619"/>
      <c r="DM6" s="619"/>
      <c r="DN6" s="619"/>
      <c r="DO6" s="619"/>
      <c r="DP6" s="619"/>
      <c r="DQ6" s="619"/>
      <c r="DR6" s="619"/>
      <c r="DS6" s="619"/>
      <c r="DT6" s="619"/>
      <c r="DU6" s="621"/>
    </row>
    <row r="7" spans="1:321">
      <c r="E7" s="622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693</v>
      </c>
      <c r="DW7" s="42" t="s">
        <v>694</v>
      </c>
      <c r="DX7" s="42" t="s">
        <v>695</v>
      </c>
      <c r="DY7" s="42" t="s">
        <v>696</v>
      </c>
      <c r="DZ7" s="42" t="s">
        <v>697</v>
      </c>
      <c r="EA7" s="42" t="s">
        <v>698</v>
      </c>
      <c r="EB7" s="42" t="s">
        <v>699</v>
      </c>
      <c r="EC7" s="42" t="s">
        <v>700</v>
      </c>
      <c r="ED7" s="42" t="s">
        <v>701</v>
      </c>
      <c r="EE7" s="42" t="s">
        <v>702</v>
      </c>
      <c r="EF7" s="42" t="s">
        <v>703</v>
      </c>
      <c r="EG7" s="42" t="s">
        <v>704</v>
      </c>
      <c r="EH7" s="42" t="s">
        <v>724</v>
      </c>
      <c r="EI7" s="42" t="s">
        <v>725</v>
      </c>
      <c r="EJ7" s="42" t="s">
        <v>726</v>
      </c>
      <c r="EK7" s="42" t="s">
        <v>727</v>
      </c>
      <c r="EL7" s="42" t="s">
        <v>728</v>
      </c>
      <c r="EM7" s="42" t="s">
        <v>729</v>
      </c>
      <c r="EN7" s="42" t="s">
        <v>730</v>
      </c>
      <c r="EO7" s="42" t="s">
        <v>731</v>
      </c>
      <c r="EP7" s="42" t="s">
        <v>732</v>
      </c>
      <c r="EQ7" s="42" t="s">
        <v>733</v>
      </c>
      <c r="ER7" s="42" t="s">
        <v>734</v>
      </c>
      <c r="ES7" s="42" t="s">
        <v>735</v>
      </c>
      <c r="ET7" s="316" t="s">
        <v>742</v>
      </c>
      <c r="EU7" s="316" t="s">
        <v>743</v>
      </c>
      <c r="EV7" s="316" t="s">
        <v>744</v>
      </c>
      <c r="EW7" s="316" t="s">
        <v>745</v>
      </c>
      <c r="EX7" s="316" t="s">
        <v>746</v>
      </c>
      <c r="EY7" s="316" t="s">
        <v>747</v>
      </c>
      <c r="EZ7" s="316" t="s">
        <v>748</v>
      </c>
      <c r="FA7" s="316" t="s">
        <v>749</v>
      </c>
      <c r="FB7" s="316" t="s">
        <v>750</v>
      </c>
      <c r="FC7" s="316" t="s">
        <v>751</v>
      </c>
      <c r="FD7" s="316" t="s">
        <v>752</v>
      </c>
      <c r="FE7" s="316" t="s">
        <v>753</v>
      </c>
      <c r="FF7" s="316" t="s">
        <v>758</v>
      </c>
      <c r="FG7" s="316" t="s">
        <v>759</v>
      </c>
      <c r="FH7" s="316" t="s">
        <v>760</v>
      </c>
      <c r="FI7" s="316" t="s">
        <v>761</v>
      </c>
      <c r="FJ7" s="316" t="s">
        <v>762</v>
      </c>
      <c r="FK7" s="316" t="s">
        <v>763</v>
      </c>
      <c r="FL7" s="316" t="s">
        <v>764</v>
      </c>
      <c r="FM7" s="316" t="s">
        <v>765</v>
      </c>
      <c r="FN7" s="316" t="s">
        <v>766</v>
      </c>
      <c r="FO7" s="316" t="s">
        <v>767</v>
      </c>
      <c r="FP7" s="316" t="s">
        <v>768</v>
      </c>
      <c r="FQ7" s="316" t="s">
        <v>769</v>
      </c>
      <c r="FR7" s="316" t="s">
        <v>777</v>
      </c>
      <c r="FS7" s="316" t="s">
        <v>778</v>
      </c>
      <c r="FT7" s="316" t="s">
        <v>779</v>
      </c>
      <c r="FU7" s="316" t="s">
        <v>780</v>
      </c>
      <c r="FV7" s="316" t="s">
        <v>781</v>
      </c>
      <c r="FW7" s="316" t="s">
        <v>782</v>
      </c>
      <c r="FX7" s="316" t="s">
        <v>783</v>
      </c>
      <c r="FY7" s="316" t="s">
        <v>784</v>
      </c>
      <c r="FZ7" s="316" t="s">
        <v>785</v>
      </c>
      <c r="GA7" s="316" t="s">
        <v>786</v>
      </c>
      <c r="GB7" s="316" t="s">
        <v>787</v>
      </c>
      <c r="GC7" s="316" t="s">
        <v>788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1">
        <v>79855347.849999994</v>
      </c>
      <c r="EU9" s="351">
        <v>106190042</v>
      </c>
      <c r="EV9" s="351">
        <v>137417391.37</v>
      </c>
      <c r="EW9" s="351">
        <v>147833434.00999999</v>
      </c>
      <c r="EX9" s="351">
        <v>135934065.38</v>
      </c>
      <c r="EY9" s="334"/>
      <c r="EZ9" s="334"/>
      <c r="FA9" s="334"/>
      <c r="FB9" s="334"/>
      <c r="FC9" s="334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2">
        <v>60295851.509999998</v>
      </c>
      <c r="EU10" s="352">
        <v>64797597.329999998</v>
      </c>
      <c r="EV10" s="352">
        <v>89261850.609999999</v>
      </c>
      <c r="EW10" s="352">
        <v>97799793.079999998</v>
      </c>
      <c r="EX10" s="352">
        <v>90553351.069999993</v>
      </c>
      <c r="EY10" s="352">
        <v>87503254.430000007</v>
      </c>
      <c r="EZ10" s="352">
        <v>105015545.47</v>
      </c>
      <c r="FA10" s="352">
        <v>107951400.73999999</v>
      </c>
      <c r="FB10" s="352">
        <v>102839740.52</v>
      </c>
      <c r="FC10" s="352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2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2">
        <f t="shared" ref="FR10:GC10" si="2">SUM(FR11:FR17)</f>
        <v>73320205.209999993</v>
      </c>
      <c r="FS10" s="352">
        <f t="shared" si="2"/>
        <v>69683087.399999991</v>
      </c>
      <c r="FT10" s="352">
        <f t="shared" si="2"/>
        <v>105613736.66000001</v>
      </c>
      <c r="FU10" s="352">
        <f t="shared" si="2"/>
        <v>83521974.920000002</v>
      </c>
      <c r="FV10" s="352">
        <f t="shared" si="2"/>
        <v>69752758.120000005</v>
      </c>
      <c r="FW10" s="352">
        <f t="shared" si="2"/>
        <v>79960950.920000002</v>
      </c>
      <c r="FX10" s="352">
        <f t="shared" si="2"/>
        <v>80621752.299999997</v>
      </c>
      <c r="FY10" s="352">
        <f t="shared" si="2"/>
        <v>79984790.799999997</v>
      </c>
      <c r="FZ10" s="304">
        <f t="shared" si="2"/>
        <v>80764606.50999999</v>
      </c>
      <c r="GA10" s="352">
        <f t="shared" si="2"/>
        <v>81734836.820000008</v>
      </c>
      <c r="GB10" s="352">
        <f t="shared" si="2"/>
        <v>72792310.129999995</v>
      </c>
      <c r="GC10" s="352">
        <f t="shared" si="2"/>
        <v>88352824.489999995</v>
      </c>
      <c r="GD10" s="304"/>
      <c r="GE10" s="352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1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1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1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1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1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1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1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1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1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1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1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1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1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1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2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2">
        <f t="shared" ref="FR18:GC18" si="3">SUM(FR19:FR22)</f>
        <v>15749286.220000001</v>
      </c>
      <c r="FS18" s="352">
        <f t="shared" si="3"/>
        <v>42574769.890000001</v>
      </c>
      <c r="FT18" s="352">
        <f t="shared" si="3"/>
        <v>44888756.57</v>
      </c>
      <c r="FU18" s="352">
        <f t="shared" si="3"/>
        <v>33882602.5</v>
      </c>
      <c r="FV18" s="352">
        <f t="shared" si="3"/>
        <v>40418289.450000003</v>
      </c>
      <c r="FW18" s="352">
        <f t="shared" si="3"/>
        <v>42892419.090000004</v>
      </c>
      <c r="FX18" s="352">
        <f t="shared" si="3"/>
        <v>45009811.700000003</v>
      </c>
      <c r="FY18" s="352">
        <f t="shared" si="3"/>
        <v>51984938.960000001</v>
      </c>
      <c r="FZ18" s="304">
        <f t="shared" si="3"/>
        <v>42439853.439999998</v>
      </c>
      <c r="GA18" s="352">
        <f t="shared" si="3"/>
        <v>46766265.019999996</v>
      </c>
      <c r="GB18" s="352">
        <f t="shared" si="3"/>
        <v>43869251.589999996</v>
      </c>
      <c r="GC18" s="352">
        <f t="shared" si="3"/>
        <v>80544326.960000008</v>
      </c>
      <c r="GD18" s="304"/>
      <c r="GE18" s="352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1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1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1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1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1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1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1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1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2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2">
        <f t="shared" ref="FR23:GC23" si="5">SUM(FR24:FR27)</f>
        <v>711811.51</v>
      </c>
      <c r="FS23" s="352">
        <f t="shared" si="5"/>
        <v>845756.92</v>
      </c>
      <c r="FT23" s="352">
        <f t="shared" si="5"/>
        <v>815406.19</v>
      </c>
      <c r="FU23" s="352">
        <f t="shared" si="5"/>
        <v>318936.3</v>
      </c>
      <c r="FV23" s="352">
        <f t="shared" si="5"/>
        <v>469045.42</v>
      </c>
      <c r="FW23" s="352">
        <f t="shared" si="5"/>
        <v>1094710.17</v>
      </c>
      <c r="FX23" s="352">
        <f t="shared" si="5"/>
        <v>962946.75000000012</v>
      </c>
      <c r="FY23" s="352">
        <f t="shared" si="5"/>
        <v>1016910.3699999999</v>
      </c>
      <c r="FZ23" s="304">
        <f t="shared" si="5"/>
        <v>1210136.0899999999</v>
      </c>
      <c r="GA23" s="352">
        <f t="shared" si="5"/>
        <v>1020237.03</v>
      </c>
      <c r="GB23" s="352">
        <f t="shared" si="5"/>
        <v>955177.11</v>
      </c>
      <c r="GC23" s="352">
        <f t="shared" si="5"/>
        <v>1215368.99</v>
      </c>
      <c r="GD23" s="304"/>
      <c r="GE23" s="352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1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1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1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1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1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1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1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1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2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2">
        <f t="shared" ref="FR28:GC28" si="7">SUM(FR29:FR34)</f>
        <v>2226726.9299999997</v>
      </c>
      <c r="FS28" s="352">
        <f t="shared" si="7"/>
        <v>2200614.79</v>
      </c>
      <c r="FT28" s="352">
        <f t="shared" si="7"/>
        <v>1317967.9100000001</v>
      </c>
      <c r="FU28" s="352">
        <f t="shared" si="7"/>
        <v>1597851.3599999999</v>
      </c>
      <c r="FV28" s="352">
        <f t="shared" si="7"/>
        <v>1673853.74</v>
      </c>
      <c r="FW28" s="352">
        <f t="shared" si="7"/>
        <v>2752546.6799999997</v>
      </c>
      <c r="FX28" s="352">
        <f t="shared" si="7"/>
        <v>2600399.9099999997</v>
      </c>
      <c r="FY28" s="352">
        <f t="shared" si="7"/>
        <v>2411610.62</v>
      </c>
      <c r="FZ28" s="304">
        <f t="shared" si="7"/>
        <v>2242559.5</v>
      </c>
      <c r="GA28" s="352">
        <f t="shared" si="7"/>
        <v>3223177.49</v>
      </c>
      <c r="GB28" s="352">
        <f t="shared" si="7"/>
        <v>2393815.35</v>
      </c>
      <c r="GC28" s="352">
        <f t="shared" si="7"/>
        <v>3177660.7800000003</v>
      </c>
      <c r="GD28" s="304"/>
      <c r="GE28" s="352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1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1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1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776</v>
      </c>
      <c r="FQ30" s="302">
        <v>979690.53</v>
      </c>
      <c r="FR30" s="302">
        <v>126343.77</v>
      </c>
      <c r="FS30" s="351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1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1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797</v>
      </c>
      <c r="EN32" s="302" t="s">
        <v>798</v>
      </c>
      <c r="EO32" s="302">
        <v>608693.02</v>
      </c>
      <c r="EP32" s="302" t="s">
        <v>799</v>
      </c>
      <c r="EQ32" s="302">
        <v>179273.43</v>
      </c>
      <c r="ER32" s="302" t="s">
        <v>800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1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1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1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1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1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1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2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2">
        <f t="shared" ref="FR35:GC35" si="9">SUM(FR36:FR39)</f>
        <v>1483663.6700000002</v>
      </c>
      <c r="FS35" s="352">
        <f t="shared" si="9"/>
        <v>2100277.88</v>
      </c>
      <c r="FT35" s="352">
        <f t="shared" si="9"/>
        <v>4243202.3499999996</v>
      </c>
      <c r="FU35" s="352">
        <f t="shared" si="9"/>
        <v>2093585.81</v>
      </c>
      <c r="FV35" s="352">
        <f t="shared" si="9"/>
        <v>1279434.9099999999</v>
      </c>
      <c r="FW35" s="352">
        <f t="shared" si="9"/>
        <v>1931121.2500000002</v>
      </c>
      <c r="FX35" s="352">
        <f t="shared" si="9"/>
        <v>2459062.7400000002</v>
      </c>
      <c r="FY35" s="352">
        <f t="shared" si="9"/>
        <v>3216715.11</v>
      </c>
      <c r="FZ35" s="304">
        <f t="shared" si="9"/>
        <v>11550447.479999999</v>
      </c>
      <c r="GA35" s="352">
        <f t="shared" si="9"/>
        <v>2887676.87</v>
      </c>
      <c r="GB35" s="352">
        <f t="shared" si="9"/>
        <v>1756272.85</v>
      </c>
      <c r="GC35" s="352">
        <f t="shared" si="9"/>
        <v>2614148.87</v>
      </c>
      <c r="GD35" s="304"/>
      <c r="GE35" s="352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1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1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1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1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1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1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1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1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2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2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2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4"/>
      <c r="EU41" s="334"/>
      <c r="EV41" s="334"/>
      <c r="EW41" s="334"/>
      <c r="EX41" s="334"/>
      <c r="EY41" s="334"/>
      <c r="EZ41" s="334"/>
      <c r="FA41" s="334"/>
      <c r="FB41" s="334"/>
      <c r="FC41" s="334"/>
      <c r="FD41" s="302"/>
      <c r="FE41" s="302"/>
      <c r="FF41" s="302"/>
      <c r="FG41" s="302"/>
      <c r="FH41" s="302"/>
      <c r="FI41" s="302"/>
      <c r="FJ41" s="302"/>
      <c r="FK41" s="302"/>
      <c r="FL41" s="351"/>
      <c r="FM41" s="302"/>
      <c r="FN41" s="302"/>
      <c r="FO41" s="302"/>
      <c r="FP41" s="302"/>
      <c r="FQ41" s="302"/>
      <c r="FR41" s="302"/>
      <c r="FS41" s="351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4"/>
      <c r="EU42" s="334"/>
      <c r="EV42" s="334"/>
      <c r="EW42" s="334"/>
      <c r="EX42" s="334"/>
      <c r="EY42" s="334"/>
      <c r="EZ42" s="334"/>
      <c r="FA42" s="334"/>
      <c r="FB42" s="334"/>
      <c r="FC42" s="334"/>
      <c r="FD42" s="302"/>
      <c r="FE42" s="302"/>
      <c r="FF42" s="302"/>
      <c r="FG42" s="302"/>
      <c r="FH42" s="302"/>
      <c r="FI42" s="302"/>
      <c r="FJ42" s="302"/>
      <c r="FK42" s="302"/>
      <c r="FL42" s="351"/>
      <c r="FM42" s="302"/>
      <c r="FN42" s="302"/>
      <c r="FO42" s="302"/>
      <c r="FP42" s="302"/>
      <c r="FQ42" s="302"/>
      <c r="FR42" s="302"/>
      <c r="FS42" s="351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2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2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2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4"/>
      <c r="EU44" s="334"/>
      <c r="EV44" s="334"/>
      <c r="EW44" s="334"/>
      <c r="EX44" s="334"/>
      <c r="EY44" s="334"/>
      <c r="EZ44" s="334"/>
      <c r="FA44" s="334"/>
      <c r="FB44" s="334"/>
      <c r="FC44" s="334"/>
      <c r="FD44" s="302"/>
      <c r="FE44" s="302"/>
      <c r="FF44" s="302"/>
      <c r="FG44" s="302"/>
      <c r="FH44" s="302"/>
      <c r="FI44" s="302"/>
      <c r="FJ44" s="302"/>
      <c r="FK44" s="302"/>
      <c r="FL44" s="351"/>
      <c r="FM44" s="302"/>
      <c r="FN44" s="302"/>
      <c r="FO44" s="302"/>
      <c r="FP44" s="302"/>
      <c r="FQ44" s="302"/>
      <c r="FR44" s="302"/>
      <c r="FS44" s="351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4"/>
      <c r="EU45" s="334"/>
      <c r="EV45" s="334"/>
      <c r="EW45" s="334"/>
      <c r="EX45" s="334"/>
      <c r="EY45" s="334"/>
      <c r="EZ45" s="334"/>
      <c r="FA45" s="334"/>
      <c r="FB45" s="334"/>
      <c r="FC45" s="334"/>
      <c r="FD45" s="302"/>
      <c r="FE45" s="302"/>
      <c r="FF45" s="302"/>
      <c r="FG45" s="302"/>
      <c r="FH45" s="302"/>
      <c r="FI45" s="302"/>
      <c r="FJ45" s="302"/>
      <c r="FK45" s="302"/>
      <c r="FL45" s="351"/>
      <c r="FM45" s="302"/>
      <c r="FN45" s="302"/>
      <c r="FO45" s="302"/>
      <c r="FP45" s="302"/>
      <c r="FQ45" s="302"/>
      <c r="FR45" s="302"/>
      <c r="FS45" s="351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2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2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2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4"/>
      <c r="EU47" s="334"/>
      <c r="EV47" s="334"/>
      <c r="EW47" s="334"/>
      <c r="EX47" s="334"/>
      <c r="EY47" s="334"/>
      <c r="EZ47" s="334"/>
      <c r="FA47" s="334"/>
      <c r="FB47" s="334"/>
      <c r="FC47" s="334"/>
      <c r="FD47" s="302"/>
      <c r="FE47" s="302"/>
      <c r="FF47" s="302"/>
      <c r="FG47" s="302"/>
      <c r="FH47" s="302"/>
      <c r="FI47" s="302"/>
      <c r="FJ47" s="302"/>
      <c r="FK47" s="302"/>
      <c r="FL47" s="351"/>
      <c r="FM47" s="302"/>
      <c r="FN47" s="302"/>
      <c r="FO47" s="302"/>
      <c r="FP47" s="302"/>
      <c r="FQ47" s="302"/>
      <c r="FR47" s="302"/>
      <c r="FS47" s="351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4"/>
      <c r="EU48" s="334"/>
      <c r="EV48" s="334"/>
      <c r="EW48" s="334"/>
      <c r="EX48" s="334"/>
      <c r="EY48" s="334"/>
      <c r="EZ48" s="334"/>
      <c r="FA48" s="334"/>
      <c r="FB48" s="334"/>
      <c r="FC48" s="334"/>
      <c r="FD48" s="302"/>
      <c r="FE48" s="302"/>
      <c r="FF48" s="302"/>
      <c r="FG48" s="302"/>
      <c r="FH48" s="302"/>
      <c r="FI48" s="302"/>
      <c r="FJ48" s="302"/>
      <c r="FK48" s="302"/>
      <c r="FL48" s="351"/>
      <c r="FM48" s="302"/>
      <c r="FN48" s="302"/>
      <c r="FO48" s="302"/>
      <c r="FP48" s="302"/>
      <c r="FQ48" s="302"/>
      <c r="FR48" s="302"/>
      <c r="FS48" s="351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2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2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2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4"/>
      <c r="EU50" s="334"/>
      <c r="EV50" s="334"/>
      <c r="EW50" s="334"/>
      <c r="EX50" s="334"/>
      <c r="EY50" s="334"/>
      <c r="EZ50" s="334"/>
      <c r="FA50" s="334"/>
      <c r="FB50" s="334"/>
      <c r="FC50" s="334"/>
      <c r="FD50" s="302"/>
      <c r="FE50" s="302"/>
      <c r="FF50" s="302"/>
      <c r="FG50" s="302"/>
      <c r="FH50" s="302"/>
      <c r="FI50" s="302"/>
      <c r="FJ50" s="302"/>
      <c r="FK50" s="302"/>
      <c r="FL50" s="351"/>
      <c r="FM50" s="302"/>
      <c r="FN50" s="302"/>
      <c r="FO50" s="302"/>
      <c r="FP50" s="302"/>
      <c r="FQ50" s="302"/>
      <c r="FR50" s="302"/>
      <c r="FS50" s="351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1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1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1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1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1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1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1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1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1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1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1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1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1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0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1">
        <v>3987318.08</v>
      </c>
      <c r="FR61" s="351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4"/>
      <c r="EU62" s="334"/>
      <c r="EV62" s="334"/>
      <c r="EW62" s="334"/>
      <c r="EX62" s="334"/>
      <c r="EY62" s="334"/>
      <c r="EZ62" s="334"/>
      <c r="FA62" s="334"/>
      <c r="FB62" s="334"/>
      <c r="FC62" s="334"/>
      <c r="FD62" s="302"/>
      <c r="FE62" s="302"/>
      <c r="FF62" s="302"/>
      <c r="FG62" s="302"/>
      <c r="FH62" s="302"/>
      <c r="FI62" s="302"/>
      <c r="FJ62" s="302"/>
      <c r="FK62" s="302"/>
      <c r="FL62" s="351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4"/>
      <c r="EU63" s="334"/>
      <c r="EV63" s="334"/>
      <c r="EW63" s="334"/>
      <c r="EX63" s="334"/>
      <c r="EY63" s="334"/>
      <c r="EZ63" s="334"/>
      <c r="FA63" s="334"/>
      <c r="FB63" s="334"/>
      <c r="FC63" s="334"/>
      <c r="FD63" s="302"/>
      <c r="FE63" s="302"/>
      <c r="FF63" s="302"/>
      <c r="FG63" s="302"/>
      <c r="FH63" s="302"/>
      <c r="FI63" s="302"/>
      <c r="FJ63" s="302"/>
      <c r="FK63" s="302"/>
      <c r="FL63" s="351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4"/>
      <c r="EU64" s="334"/>
      <c r="EV64" s="334"/>
      <c r="EW64" s="334"/>
      <c r="EX64" s="334"/>
      <c r="EY64" s="334"/>
      <c r="EZ64" s="334"/>
      <c r="FA64" s="334"/>
      <c r="FB64" s="334"/>
      <c r="FC64" s="334"/>
      <c r="FD64" s="302"/>
      <c r="FE64" s="302"/>
      <c r="FF64" s="302"/>
      <c r="FG64" s="302"/>
      <c r="FH64" s="302"/>
      <c r="FI64" s="302"/>
      <c r="FJ64" s="302"/>
      <c r="FK64" s="302"/>
      <c r="FL64" s="351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4"/>
      <c r="EU65" s="334"/>
      <c r="EV65" s="334"/>
      <c r="EW65" s="334"/>
      <c r="EX65" s="334"/>
      <c r="EY65" s="334"/>
      <c r="EZ65" s="334"/>
      <c r="FA65" s="334"/>
      <c r="FB65" s="334"/>
      <c r="FC65" s="334"/>
      <c r="FD65" s="302"/>
      <c r="FE65" s="302"/>
      <c r="FF65" s="302"/>
      <c r="FG65" s="302"/>
      <c r="FH65" s="302"/>
      <c r="FI65" s="302"/>
      <c r="FJ65" s="302"/>
      <c r="FK65" s="302"/>
      <c r="FL65" s="351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4"/>
      <c r="EU66" s="334"/>
      <c r="EV66" s="334"/>
      <c r="EW66" s="334"/>
      <c r="EX66" s="334"/>
      <c r="EY66" s="334"/>
      <c r="EZ66" s="334"/>
      <c r="FA66" s="334"/>
      <c r="FB66" s="334"/>
      <c r="FC66" s="334"/>
      <c r="FD66" s="302"/>
      <c r="FE66" s="302"/>
      <c r="FF66" s="302"/>
      <c r="FG66" s="302"/>
      <c r="FH66" s="302"/>
      <c r="FI66" s="302"/>
      <c r="FJ66" s="302"/>
      <c r="FK66" s="302"/>
      <c r="FL66" s="351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4"/>
      <c r="EU67" s="334"/>
      <c r="EV67" s="334"/>
      <c r="EW67" s="334"/>
      <c r="EX67" s="334"/>
      <c r="EY67" s="334"/>
      <c r="EZ67" s="334"/>
      <c r="FA67" s="334"/>
      <c r="FB67" s="334"/>
      <c r="FC67" s="334"/>
      <c r="FD67" s="302"/>
      <c r="FE67" s="302"/>
      <c r="FF67" s="302"/>
      <c r="FG67" s="302"/>
      <c r="FH67" s="302"/>
      <c r="FI67" s="302"/>
      <c r="FJ67" s="302"/>
      <c r="FK67" s="302"/>
      <c r="FL67" s="351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4"/>
      <c r="EU68" s="334"/>
      <c r="EV68" s="334"/>
      <c r="EW68" s="334"/>
      <c r="EX68" s="334"/>
      <c r="EY68" s="334"/>
      <c r="EZ68" s="334"/>
      <c r="FA68" s="334"/>
      <c r="FB68" s="334"/>
      <c r="FC68" s="334"/>
      <c r="FD68" s="302"/>
      <c r="FE68" s="302"/>
      <c r="FF68" s="302"/>
      <c r="FG68" s="302"/>
      <c r="FH68" s="302"/>
      <c r="FI68" s="302"/>
      <c r="FJ68" s="302"/>
      <c r="FK68" s="302"/>
      <c r="FL68" s="351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0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1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1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1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1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1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1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0">
        <v>8566117.3599999994</v>
      </c>
      <c r="FM76" s="302">
        <v>3294436.46</v>
      </c>
      <c r="FN76" s="302">
        <v>5819051.2000000002</v>
      </c>
      <c r="FO76" s="302">
        <v>7942946.5700000003</v>
      </c>
      <c r="FP76" s="351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1"/>
      <c r="FM77" s="302"/>
      <c r="FN77" s="302"/>
      <c r="FO77" s="302"/>
      <c r="FP77" s="302"/>
      <c r="FQ77" s="351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1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1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1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1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1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1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1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1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0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1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1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1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0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1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1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0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1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1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1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0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1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1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1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0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1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1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1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1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1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1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1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1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1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1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0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1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4"/>
      <c r="EU114" s="334"/>
      <c r="EV114" s="334"/>
      <c r="EW114" s="334"/>
      <c r="EX114" s="334"/>
      <c r="EY114" s="334"/>
      <c r="EZ114" s="334"/>
      <c r="FA114" s="334"/>
      <c r="FB114" s="334"/>
      <c r="FC114" s="334"/>
      <c r="FD114" s="302"/>
      <c r="FE114" s="302"/>
      <c r="FF114" s="302"/>
      <c r="FG114" s="302"/>
      <c r="FH114" s="302"/>
      <c r="FI114" s="302"/>
      <c r="FJ114" s="302"/>
      <c r="FK114" s="302"/>
      <c r="FL114" s="351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4"/>
      <c r="EU115" s="334"/>
      <c r="EV115" s="334"/>
      <c r="EW115" s="334"/>
      <c r="EX115" s="334"/>
      <c r="EY115" s="334"/>
      <c r="EZ115" s="334"/>
      <c r="FA115" s="334"/>
      <c r="FB115" s="334"/>
      <c r="FC115" s="334"/>
      <c r="FD115" s="302"/>
      <c r="FE115" s="302"/>
      <c r="FF115" s="302"/>
      <c r="FG115" s="302"/>
      <c r="FH115" s="302"/>
      <c r="FI115" s="302"/>
      <c r="FJ115" s="302"/>
      <c r="FK115" s="302"/>
      <c r="FL115" s="351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4"/>
      <c r="EU116" s="334"/>
      <c r="EV116" s="334"/>
      <c r="EW116" s="334"/>
      <c r="EX116" s="334"/>
      <c r="EY116" s="334"/>
      <c r="EZ116" s="334"/>
      <c r="FA116" s="334"/>
      <c r="FB116" s="334"/>
      <c r="FC116" s="334"/>
      <c r="FD116" s="302"/>
      <c r="FE116" s="302"/>
      <c r="FF116" s="302"/>
      <c r="FG116" s="302"/>
      <c r="FH116" s="302"/>
      <c r="FI116" s="302"/>
      <c r="FJ116" s="302"/>
      <c r="FK116" s="302"/>
      <c r="FL116" s="351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4"/>
      <c r="EU117" s="334"/>
      <c r="EV117" s="334"/>
      <c r="EW117" s="334"/>
      <c r="EX117" s="334"/>
      <c r="EY117" s="334"/>
      <c r="EZ117" s="334"/>
      <c r="FA117" s="334"/>
      <c r="FB117" s="334"/>
      <c r="FC117" s="334"/>
      <c r="FD117" s="302"/>
      <c r="FE117" s="302"/>
      <c r="FF117" s="302"/>
      <c r="FG117" s="302"/>
      <c r="FH117" s="302"/>
      <c r="FI117" s="302"/>
      <c r="FJ117" s="302"/>
      <c r="FK117" s="302"/>
      <c r="FL117" s="351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4"/>
      <c r="EU118" s="334"/>
      <c r="EV118" s="334"/>
      <c r="EW118" s="334"/>
      <c r="EX118" s="334"/>
      <c r="EY118" s="334"/>
      <c r="EZ118" s="334"/>
      <c r="FA118" s="334"/>
      <c r="FB118" s="334"/>
      <c r="FC118" s="334"/>
      <c r="FD118" s="302"/>
      <c r="FE118" s="302"/>
      <c r="FF118" s="302"/>
      <c r="FG118" s="302"/>
      <c r="FH118" s="302"/>
      <c r="FI118" s="302"/>
      <c r="FJ118" s="302"/>
      <c r="FK118" s="302"/>
      <c r="FL118" s="351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4"/>
      <c r="EU119" s="334"/>
      <c r="EV119" s="334"/>
      <c r="EW119" s="334"/>
      <c r="EX119" s="334"/>
      <c r="EY119" s="334"/>
      <c r="EZ119" s="334"/>
      <c r="FA119" s="334"/>
      <c r="FB119" s="334"/>
      <c r="FC119" s="334"/>
      <c r="FD119" s="302"/>
      <c r="FE119" s="302"/>
      <c r="FF119" s="302"/>
      <c r="FG119" s="302"/>
      <c r="FH119" s="302"/>
      <c r="FI119" s="302"/>
      <c r="FJ119" s="302"/>
      <c r="FK119" s="302"/>
      <c r="FL119" s="351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801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4"/>
      <c r="EU120" s="334"/>
      <c r="EV120" s="334"/>
      <c r="EW120" s="334"/>
      <c r="EX120" s="334"/>
      <c r="EY120" s="334"/>
      <c r="EZ120" s="334"/>
      <c r="FA120" s="334"/>
      <c r="FB120" s="334"/>
      <c r="FC120" s="334"/>
      <c r="FD120" s="302"/>
      <c r="FE120" s="302"/>
      <c r="FF120" s="302"/>
      <c r="FG120" s="302"/>
      <c r="FH120" s="302"/>
      <c r="FI120" s="302"/>
      <c r="FJ120" s="302"/>
      <c r="FK120" s="302"/>
      <c r="FL120" s="351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0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1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1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1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1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1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1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1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1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1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1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1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1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1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1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0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1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0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1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1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1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0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1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1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1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1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1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1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1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1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1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1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1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1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1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1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1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1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1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791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1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1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0"/>
      <c r="FF160" s="302"/>
      <c r="FG160" s="302"/>
      <c r="FH160" s="302"/>
      <c r="FI160" s="302"/>
      <c r="FJ160" s="302"/>
      <c r="FK160" s="302"/>
      <c r="FL160" s="351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1"/>
      <c r="FM161" s="302"/>
      <c r="FN161" s="302"/>
      <c r="FO161" s="302"/>
      <c r="FP161" s="302"/>
      <c r="FQ161" s="340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4"/>
      <c r="FE162" s="302"/>
      <c r="FF162" s="302"/>
      <c r="FG162" s="302"/>
      <c r="FH162" s="351"/>
      <c r="FI162" s="302"/>
      <c r="FJ162" s="302"/>
      <c r="FK162" s="302"/>
      <c r="FL162" s="351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1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1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1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1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1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1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1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0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1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1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1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1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1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1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1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0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0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1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1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1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0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0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39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685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4"/>
      <c r="EZ188" s="302"/>
      <c r="FA188" s="302"/>
      <c r="FB188" s="302"/>
      <c r="FC188" s="302"/>
      <c r="FD188" s="302"/>
      <c r="FE188" s="351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+Master!G29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+Master!G81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+Master!G219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0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1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22" t="s">
        <v>676</v>
      </c>
      <c r="F214" s="620">
        <v>2006</v>
      </c>
      <c r="G214" s="619"/>
      <c r="H214" s="619"/>
      <c r="I214" s="619"/>
      <c r="J214" s="619"/>
      <c r="K214" s="619"/>
      <c r="L214" s="619"/>
      <c r="M214" s="619"/>
      <c r="N214" s="619"/>
      <c r="O214" s="619"/>
      <c r="P214" s="619"/>
      <c r="Q214" s="621"/>
      <c r="R214" s="620">
        <v>2007</v>
      </c>
      <c r="S214" s="619"/>
      <c r="T214" s="619"/>
      <c r="U214" s="619"/>
      <c r="V214" s="619"/>
      <c r="W214" s="619"/>
      <c r="X214" s="619"/>
      <c r="Y214" s="619"/>
      <c r="Z214" s="619"/>
      <c r="AA214" s="619"/>
      <c r="AB214" s="619"/>
      <c r="AC214" s="621"/>
      <c r="AD214" s="620">
        <v>2008</v>
      </c>
      <c r="AE214" s="619"/>
      <c r="AF214" s="619"/>
      <c r="AG214" s="619"/>
      <c r="AH214" s="619"/>
      <c r="AI214" s="619"/>
      <c r="AJ214" s="619"/>
      <c r="AK214" s="619"/>
      <c r="AL214" s="619"/>
      <c r="AM214" s="619"/>
      <c r="AN214" s="619"/>
      <c r="AO214" s="621"/>
      <c r="AP214" s="620">
        <v>2009</v>
      </c>
      <c r="AQ214" s="619"/>
      <c r="AR214" s="619"/>
      <c r="AS214" s="619"/>
      <c r="AT214" s="619"/>
      <c r="AU214" s="619"/>
      <c r="AV214" s="619"/>
      <c r="AW214" s="619"/>
      <c r="AX214" s="619"/>
      <c r="AY214" s="619"/>
      <c r="AZ214" s="619"/>
      <c r="BA214" s="621"/>
      <c r="BB214" s="620">
        <v>2010</v>
      </c>
      <c r="BC214" s="619"/>
      <c r="BD214" s="619"/>
      <c r="BE214" s="619"/>
      <c r="BF214" s="619"/>
      <c r="BG214" s="619"/>
      <c r="BH214" s="619"/>
      <c r="BI214" s="619"/>
      <c r="BJ214" s="619"/>
      <c r="BK214" s="619"/>
      <c r="BL214" s="619"/>
      <c r="BM214" s="621"/>
      <c r="BN214" s="620">
        <v>2011</v>
      </c>
      <c r="BO214" s="619"/>
      <c r="BP214" s="619"/>
      <c r="BQ214" s="619"/>
      <c r="BR214" s="619"/>
      <c r="BS214" s="619"/>
      <c r="BT214" s="619"/>
      <c r="BU214" s="619"/>
      <c r="BV214" s="619"/>
      <c r="BW214" s="619"/>
      <c r="BX214" s="619"/>
      <c r="BY214" s="621"/>
      <c r="BZ214" s="619">
        <v>2012</v>
      </c>
      <c r="CA214" s="619"/>
      <c r="CB214" s="619"/>
      <c r="CC214" s="619"/>
      <c r="CD214" s="619"/>
      <c r="CE214" s="619"/>
      <c r="CF214" s="619"/>
      <c r="CG214" s="619"/>
      <c r="CH214" s="619"/>
      <c r="CI214" s="619"/>
      <c r="CJ214" s="619"/>
      <c r="CK214" s="619"/>
      <c r="CL214" s="620">
        <v>2013</v>
      </c>
      <c r="CM214" s="619"/>
      <c r="CN214" s="619"/>
      <c r="CO214" s="619"/>
      <c r="CP214" s="619"/>
      <c r="CQ214" s="619"/>
      <c r="CR214" s="619"/>
      <c r="CS214" s="619"/>
      <c r="CT214" s="619"/>
      <c r="CU214" s="619"/>
      <c r="CV214" s="619"/>
      <c r="CW214" s="621"/>
      <c r="CX214" s="620">
        <v>2014</v>
      </c>
      <c r="CY214" s="619"/>
      <c r="CZ214" s="619"/>
      <c r="DA214" s="619"/>
      <c r="DB214" s="619"/>
      <c r="DC214" s="619"/>
      <c r="DD214" s="619"/>
      <c r="DE214" s="619"/>
      <c r="DF214" s="619"/>
      <c r="DG214" s="619"/>
      <c r="DH214" s="619"/>
      <c r="DI214" s="621"/>
      <c r="DJ214" s="620">
        <v>2015</v>
      </c>
      <c r="DK214" s="619"/>
      <c r="DL214" s="619"/>
      <c r="DM214" s="619"/>
      <c r="DN214" s="619"/>
      <c r="DO214" s="619"/>
      <c r="DP214" s="619"/>
      <c r="DQ214" s="619"/>
      <c r="DR214" s="619"/>
      <c r="DS214" s="619"/>
      <c r="DT214" s="619"/>
      <c r="DU214" s="621"/>
    </row>
    <row r="215" spans="1:187">
      <c r="E215" s="622"/>
      <c r="F215" s="73" t="s">
        <v>556</v>
      </c>
      <c r="G215" s="74" t="s">
        <v>557</v>
      </c>
      <c r="H215" s="74" t="s">
        <v>558</v>
      </c>
      <c r="I215" s="74" t="s">
        <v>559</v>
      </c>
      <c r="J215" s="74" t="s">
        <v>560</v>
      </c>
      <c r="K215" s="74" t="s">
        <v>561</v>
      </c>
      <c r="L215" s="74" t="s">
        <v>562</v>
      </c>
      <c r="M215" s="74" t="s">
        <v>563</v>
      </c>
      <c r="N215" s="74" t="s">
        <v>564</v>
      </c>
      <c r="O215" s="74" t="s">
        <v>565</v>
      </c>
      <c r="P215" s="74" t="s">
        <v>566</v>
      </c>
      <c r="Q215" s="75" t="s">
        <v>567</v>
      </c>
      <c r="R215" s="73" t="s">
        <v>568</v>
      </c>
      <c r="S215" s="74" t="s">
        <v>569</v>
      </c>
      <c r="T215" s="74" t="s">
        <v>570</v>
      </c>
      <c r="U215" s="74" t="s">
        <v>571</v>
      </c>
      <c r="V215" s="74" t="s">
        <v>572</v>
      </c>
      <c r="W215" s="74" t="s">
        <v>573</v>
      </c>
      <c r="X215" s="74" t="s">
        <v>574</v>
      </c>
      <c r="Y215" s="74" t="s">
        <v>575</v>
      </c>
      <c r="Z215" s="74" t="s">
        <v>576</v>
      </c>
      <c r="AA215" s="74" t="s">
        <v>577</v>
      </c>
      <c r="AB215" s="74" t="s">
        <v>578</v>
      </c>
      <c r="AC215" s="75" t="s">
        <v>579</v>
      </c>
      <c r="AD215" s="73" t="s">
        <v>580</v>
      </c>
      <c r="AE215" s="74" t="s">
        <v>581</v>
      </c>
      <c r="AF215" s="74" t="s">
        <v>582</v>
      </c>
      <c r="AG215" s="74" t="s">
        <v>583</v>
      </c>
      <c r="AH215" s="74" t="s">
        <v>584</v>
      </c>
      <c r="AI215" s="74" t="s">
        <v>585</v>
      </c>
      <c r="AJ215" s="74" t="s">
        <v>586</v>
      </c>
      <c r="AK215" s="74" t="s">
        <v>587</v>
      </c>
      <c r="AL215" s="74" t="s">
        <v>588</v>
      </c>
      <c r="AM215" s="74" t="s">
        <v>589</v>
      </c>
      <c r="AN215" s="74" t="s">
        <v>590</v>
      </c>
      <c r="AO215" s="75" t="s">
        <v>591</v>
      </c>
      <c r="AP215" s="73" t="s">
        <v>592</v>
      </c>
      <c r="AQ215" s="74" t="s">
        <v>593</v>
      </c>
      <c r="AR215" s="74" t="s">
        <v>594</v>
      </c>
      <c r="AS215" s="74" t="s">
        <v>595</v>
      </c>
      <c r="AT215" s="74" t="s">
        <v>596</v>
      </c>
      <c r="AU215" s="74" t="s">
        <v>597</v>
      </c>
      <c r="AV215" s="74" t="s">
        <v>598</v>
      </c>
      <c r="AW215" s="74" t="s">
        <v>599</v>
      </c>
      <c r="AX215" s="74" t="s">
        <v>600</v>
      </c>
      <c r="AY215" s="74" t="s">
        <v>601</v>
      </c>
      <c r="AZ215" s="74" t="s">
        <v>602</v>
      </c>
      <c r="BA215" s="75" t="s">
        <v>603</v>
      </c>
      <c r="BB215" s="73" t="s">
        <v>604</v>
      </c>
      <c r="BC215" s="74" t="s">
        <v>605</v>
      </c>
      <c r="BD215" s="74" t="s">
        <v>606</v>
      </c>
      <c r="BE215" s="74" t="s">
        <v>607</v>
      </c>
      <c r="BF215" s="74" t="s">
        <v>608</v>
      </c>
      <c r="BG215" s="74" t="s">
        <v>609</v>
      </c>
      <c r="BH215" s="74" t="s">
        <v>610</v>
      </c>
      <c r="BI215" s="74" t="s">
        <v>611</v>
      </c>
      <c r="BJ215" s="74" t="s">
        <v>612</v>
      </c>
      <c r="BK215" s="74" t="s">
        <v>613</v>
      </c>
      <c r="BL215" s="74" t="s">
        <v>614</v>
      </c>
      <c r="BM215" s="75" t="s">
        <v>615</v>
      </c>
      <c r="BN215" s="73" t="s">
        <v>616</v>
      </c>
      <c r="BO215" s="74" t="s">
        <v>617</v>
      </c>
      <c r="BP215" s="74" t="s">
        <v>618</v>
      </c>
      <c r="BQ215" s="74" t="s">
        <v>619</v>
      </c>
      <c r="BR215" s="74" t="s">
        <v>620</v>
      </c>
      <c r="BS215" s="74" t="s">
        <v>621</v>
      </c>
      <c r="BT215" s="74" t="s">
        <v>622</v>
      </c>
      <c r="BU215" s="74" t="s">
        <v>623</v>
      </c>
      <c r="BV215" s="74" t="s">
        <v>624</v>
      </c>
      <c r="BW215" s="74" t="s">
        <v>625</v>
      </c>
      <c r="BX215" s="74" t="s">
        <v>626</v>
      </c>
      <c r="BY215" s="75" t="s">
        <v>627</v>
      </c>
      <c r="BZ215" s="74" t="s">
        <v>628</v>
      </c>
      <c r="CA215" s="74" t="s">
        <v>629</v>
      </c>
      <c r="CB215" s="74" t="s">
        <v>630</v>
      </c>
      <c r="CC215" s="74" t="s">
        <v>631</v>
      </c>
      <c r="CD215" s="74" t="s">
        <v>632</v>
      </c>
      <c r="CE215" s="74" t="s">
        <v>633</v>
      </c>
      <c r="CF215" s="74" t="s">
        <v>634</v>
      </c>
      <c r="CG215" s="74" t="s">
        <v>635</v>
      </c>
      <c r="CH215" s="74" t="s">
        <v>636</v>
      </c>
      <c r="CI215" s="74" t="s">
        <v>637</v>
      </c>
      <c r="CJ215" s="74" t="s">
        <v>638</v>
      </c>
      <c r="CK215" s="74" t="s">
        <v>639</v>
      </c>
      <c r="CL215" s="73" t="s">
        <v>640</v>
      </c>
      <c r="CM215" s="74" t="s">
        <v>641</v>
      </c>
      <c r="CN215" s="74" t="s">
        <v>642</v>
      </c>
      <c r="CO215" s="74" t="s">
        <v>643</v>
      </c>
      <c r="CP215" s="74" t="s">
        <v>644</v>
      </c>
      <c r="CQ215" s="74" t="s">
        <v>645</v>
      </c>
      <c r="CR215" s="74" t="s">
        <v>646</v>
      </c>
      <c r="CS215" s="74" t="s">
        <v>647</v>
      </c>
      <c r="CT215" s="74" t="s">
        <v>648</v>
      </c>
      <c r="CU215" s="74" t="s">
        <v>649</v>
      </c>
      <c r="CV215" s="74" t="s">
        <v>650</v>
      </c>
      <c r="CW215" s="75" t="s">
        <v>651</v>
      </c>
      <c r="CX215" s="73" t="s">
        <v>652</v>
      </c>
      <c r="CY215" s="74" t="s">
        <v>653</v>
      </c>
      <c r="CZ215" s="74" t="s">
        <v>654</v>
      </c>
      <c r="DA215" s="74" t="s">
        <v>655</v>
      </c>
      <c r="DB215" s="74" t="s">
        <v>656</v>
      </c>
      <c r="DC215" s="74" t="s">
        <v>657</v>
      </c>
      <c r="DD215" s="74" t="s">
        <v>658</v>
      </c>
      <c r="DE215" s="74" t="s">
        <v>659</v>
      </c>
      <c r="DF215" s="74" t="s">
        <v>660</v>
      </c>
      <c r="DG215" s="74" t="s">
        <v>661</v>
      </c>
      <c r="DH215" s="74" t="s">
        <v>662</v>
      </c>
      <c r="DI215" s="75" t="s">
        <v>663</v>
      </c>
      <c r="DJ215" s="73" t="s">
        <v>664</v>
      </c>
      <c r="DK215" s="74" t="s">
        <v>665</v>
      </c>
      <c r="DL215" s="74" t="s">
        <v>666</v>
      </c>
      <c r="DM215" s="74" t="s">
        <v>667</v>
      </c>
      <c r="DN215" s="74" t="s">
        <v>668</v>
      </c>
      <c r="DO215" s="74" t="s">
        <v>669</v>
      </c>
      <c r="DP215" s="74" t="s">
        <v>670</v>
      </c>
      <c r="DQ215" s="74" t="s">
        <v>671</v>
      </c>
      <c r="DR215" s="74" t="s">
        <v>672</v>
      </c>
      <c r="DS215" s="74" t="s">
        <v>673</v>
      </c>
      <c r="DT215" s="74" t="s">
        <v>674</v>
      </c>
      <c r="DU215" s="75" t="s">
        <v>675</v>
      </c>
      <c r="DV215" s="42" t="s">
        <v>705</v>
      </c>
      <c r="DW215" s="42" t="s">
        <v>706</v>
      </c>
      <c r="DX215" s="42" t="s">
        <v>707</v>
      </c>
      <c r="DY215" s="42" t="s">
        <v>708</v>
      </c>
      <c r="DZ215" s="42" t="s">
        <v>709</v>
      </c>
      <c r="EA215" s="42" t="s">
        <v>710</v>
      </c>
      <c r="EB215" s="42" t="s">
        <v>711</v>
      </c>
      <c r="EC215" s="42" t="s">
        <v>712</v>
      </c>
      <c r="ED215" s="42" t="s">
        <v>713</v>
      </c>
      <c r="EE215" s="42" t="s">
        <v>714</v>
      </c>
      <c r="EF215" s="42" t="s">
        <v>715</v>
      </c>
      <c r="EG215" s="42" t="s">
        <v>716</v>
      </c>
      <c r="EH215" s="316" t="s">
        <v>724</v>
      </c>
      <c r="EI215" s="316" t="s">
        <v>725</v>
      </c>
      <c r="EJ215" s="316" t="s">
        <v>726</v>
      </c>
      <c r="EK215" s="316" t="s">
        <v>727</v>
      </c>
      <c r="EL215" s="316" t="s">
        <v>728</v>
      </c>
      <c r="EM215" s="316" t="s">
        <v>729</v>
      </c>
      <c r="EN215" s="316" t="s">
        <v>730</v>
      </c>
      <c r="EO215" s="316" t="s">
        <v>731</v>
      </c>
      <c r="EP215" s="316" t="s">
        <v>732</v>
      </c>
      <c r="EQ215" s="316" t="s">
        <v>733</v>
      </c>
      <c r="ER215" s="316" t="s">
        <v>734</v>
      </c>
      <c r="ES215" s="316" t="s">
        <v>735</v>
      </c>
      <c r="ET215" s="316" t="s">
        <v>742</v>
      </c>
      <c r="EU215" s="316" t="s">
        <v>743</v>
      </c>
      <c r="EV215" s="316" t="s">
        <v>744</v>
      </c>
      <c r="EW215" s="316" t="s">
        <v>745</v>
      </c>
      <c r="EX215" s="316" t="s">
        <v>746</v>
      </c>
      <c r="EY215" s="316" t="s">
        <v>747</v>
      </c>
      <c r="EZ215" s="316" t="s">
        <v>748</v>
      </c>
      <c r="FA215" s="316" t="s">
        <v>749</v>
      </c>
      <c r="FB215" s="316" t="s">
        <v>750</v>
      </c>
      <c r="FC215" s="316" t="s">
        <v>751</v>
      </c>
      <c r="FD215" s="316" t="s">
        <v>752</v>
      </c>
      <c r="FE215" s="316" t="s">
        <v>753</v>
      </c>
      <c r="FF215" s="316" t="s">
        <v>758</v>
      </c>
      <c r="FG215" s="316" t="s">
        <v>759</v>
      </c>
      <c r="FH215" s="316" t="s">
        <v>760</v>
      </c>
      <c r="FI215" s="316" t="s">
        <v>761</v>
      </c>
      <c r="FJ215" s="316" t="s">
        <v>762</v>
      </c>
      <c r="FK215" s="316" t="s">
        <v>763</v>
      </c>
      <c r="FL215" s="316" t="s">
        <v>764</v>
      </c>
      <c r="FM215" s="316" t="s">
        <v>765</v>
      </c>
      <c r="FN215" s="316" t="s">
        <v>766</v>
      </c>
      <c r="FO215" s="316" t="s">
        <v>767</v>
      </c>
      <c r="FP215" s="316" t="s">
        <v>768</v>
      </c>
      <c r="FQ215" s="316" t="s">
        <v>769</v>
      </c>
      <c r="FR215" s="41" t="s">
        <v>777</v>
      </c>
      <c r="FS215" s="346" t="s">
        <v>778</v>
      </c>
      <c r="FT215" s="41" t="s">
        <v>779</v>
      </c>
      <c r="FU215" s="41" t="s">
        <v>780</v>
      </c>
      <c r="FV215" s="41" t="s">
        <v>781</v>
      </c>
      <c r="FW215" s="41" t="s">
        <v>782</v>
      </c>
      <c r="FX215" s="41" t="s">
        <v>783</v>
      </c>
      <c r="FY215" s="41" t="s">
        <v>784</v>
      </c>
      <c r="FZ215" s="41" t="s">
        <v>785</v>
      </c>
      <c r="GA215" s="41" t="s">
        <v>786</v>
      </c>
      <c r="GB215" s="41" t="s">
        <v>787</v>
      </c>
      <c r="GC215" s="41" t="s">
        <v>788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5">
        <v>60295851.510000005</v>
      </c>
      <c r="EU218" s="325">
        <v>64797597.330000006</v>
      </c>
      <c r="EV218" s="325">
        <v>89261850.609999985</v>
      </c>
      <c r="EW218" s="325">
        <v>97799793.080000013</v>
      </c>
      <c r="EX218" s="325">
        <v>90553351.069999993</v>
      </c>
      <c r="EY218" s="325">
        <v>87503254.430000007</v>
      </c>
      <c r="EZ218" s="325">
        <v>99397799.482830197</v>
      </c>
      <c r="FA218" s="325">
        <v>110357770.3498607</v>
      </c>
      <c r="FB218" s="325">
        <v>102093047.15872496</v>
      </c>
      <c r="FC218" s="325">
        <v>95698512.829288453</v>
      </c>
      <c r="FD218" s="325">
        <v>82424829.046484277</v>
      </c>
      <c r="FE218" s="325">
        <v>98213532.499999791</v>
      </c>
      <c r="FF218" s="347">
        <v>72429730.420000002</v>
      </c>
      <c r="FG218" s="347">
        <v>68470908.439999998</v>
      </c>
      <c r="FH218" s="347">
        <v>98709545.510000005</v>
      </c>
      <c r="FI218" s="347">
        <v>106791818.52</v>
      </c>
      <c r="FJ218" s="347">
        <v>94372185.030000001</v>
      </c>
      <c r="FK218" s="347">
        <v>89389439.689999998</v>
      </c>
      <c r="FL218" s="347">
        <v>106366803.00672032</v>
      </c>
      <c r="FM218" s="347">
        <v>110847613.63774106</v>
      </c>
      <c r="FN218" s="347">
        <f>105712748.66474-4000000</f>
        <v>101712748.66474</v>
      </c>
      <c r="FO218" s="347">
        <f>92295636.2285859+4000000</f>
        <v>96295636.228585899</v>
      </c>
      <c r="FP218" s="347">
        <v>84393107.743797168</v>
      </c>
      <c r="FQ218" s="347">
        <v>92890414.095145509</v>
      </c>
      <c r="FR218" s="433">
        <f>SUM(FR219:FR226)</f>
        <v>73320205.209999993</v>
      </c>
      <c r="FS218" s="433">
        <f t="shared" ref="FS218:FW218" si="24">SUM(FS219:FS226)</f>
        <v>69683087.399999991</v>
      </c>
      <c r="FT218" s="433">
        <f t="shared" si="24"/>
        <v>105613736.66000001</v>
      </c>
      <c r="FU218" s="433">
        <f t="shared" si="24"/>
        <v>83521974.920000002</v>
      </c>
      <c r="FV218" s="433">
        <f t="shared" si="24"/>
        <v>69752758.120000005</v>
      </c>
      <c r="FW218" s="433">
        <f t="shared" si="24"/>
        <v>82125472.672907159</v>
      </c>
      <c r="FX218" s="433">
        <f>SUM(FX219:FX226)</f>
        <v>97440527.99295114</v>
      </c>
      <c r="FY218" s="433">
        <f t="shared" ref="FY218" si="25">SUM(FY219:FY226)</f>
        <v>102835982.17822319</v>
      </c>
      <c r="FZ218" s="433">
        <f t="shared" ref="FZ218" si="26">SUM(FZ219:FZ226)</f>
        <v>99861898.573637322</v>
      </c>
      <c r="GA218" s="433">
        <f t="shared" ref="GA218" si="27">SUM(GA219:GA226)</f>
        <v>96098494.299763739</v>
      </c>
      <c r="GB218" s="433">
        <f t="shared" ref="GB218" si="28">SUM(GB219:GB226)</f>
        <v>81549422.466298312</v>
      </c>
      <c r="GC218" s="433">
        <f t="shared" ref="GC218" si="29">SUM(GC219:GC226)</f>
        <v>93633799.201363876</v>
      </c>
      <c r="GE218" s="426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7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7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7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7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7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7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7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7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5">
        <v>14572676.99</v>
      </c>
      <c r="EU227" s="325">
        <v>36938118.07</v>
      </c>
      <c r="EV227" s="325">
        <v>43053255.970000006</v>
      </c>
      <c r="EW227" s="325">
        <v>41029948.000000007</v>
      </c>
      <c r="EX227" s="325">
        <v>40388291.549999997</v>
      </c>
      <c r="EY227" s="325">
        <v>42077356.240000002</v>
      </c>
      <c r="EZ227" s="325">
        <v>46362054.926801726</v>
      </c>
      <c r="FA227" s="325">
        <v>45724084.253699668</v>
      </c>
      <c r="FB227" s="325">
        <v>41947258.969554022</v>
      </c>
      <c r="FC227" s="325">
        <v>44433442.802094914</v>
      </c>
      <c r="FD227" s="325">
        <v>45788790.684398532</v>
      </c>
      <c r="FE227" s="325">
        <v>79938550.463845864</v>
      </c>
      <c r="FF227" s="347">
        <v>16498881.48</v>
      </c>
      <c r="FG227" s="347">
        <v>41912269.38000001</v>
      </c>
      <c r="FH227" s="347">
        <v>41047599.18</v>
      </c>
      <c r="FI227" s="347">
        <v>50290988.940000005</v>
      </c>
      <c r="FJ227" s="347">
        <v>37496285.130000003</v>
      </c>
      <c r="FK227" s="347">
        <v>45280786.510000005</v>
      </c>
      <c r="FL227" s="347">
        <v>46250891.035691187</v>
      </c>
      <c r="FM227" s="347">
        <v>44632014.674295112</v>
      </c>
      <c r="FN227" s="347">
        <v>41120271.333377153</v>
      </c>
      <c r="FO227" s="347">
        <v>46928850.635902815</v>
      </c>
      <c r="FP227" s="347">
        <v>44128259.697538294</v>
      </c>
      <c r="FQ227" s="347">
        <v>78626416.07852602</v>
      </c>
      <c r="FR227" s="433">
        <f>SUM(FR228:FR231)</f>
        <v>15749286.220000001</v>
      </c>
      <c r="FS227" s="433">
        <f t="shared" ref="FS227:GC227" si="36">SUM(FS228:FS231)</f>
        <v>42574769.890000001</v>
      </c>
      <c r="FT227" s="433">
        <f t="shared" si="36"/>
        <v>44888756.57</v>
      </c>
      <c r="FU227" s="433">
        <f t="shared" si="36"/>
        <v>33882602.5</v>
      </c>
      <c r="FV227" s="433">
        <f t="shared" si="36"/>
        <v>40418289.450000003</v>
      </c>
      <c r="FW227" s="433">
        <f t="shared" si="36"/>
        <v>39209561.537363522</v>
      </c>
      <c r="FX227" s="433">
        <f t="shared" si="36"/>
        <v>39824401.286702745</v>
      </c>
      <c r="FY227" s="433">
        <f t="shared" si="36"/>
        <v>37466342.331191912</v>
      </c>
      <c r="FZ227" s="433">
        <f t="shared" si="36"/>
        <v>35714950.117071614</v>
      </c>
      <c r="GA227" s="433">
        <f t="shared" si="36"/>
        <v>56930028.965902433</v>
      </c>
      <c r="GB227" s="433">
        <f t="shared" si="36"/>
        <v>36060885.689019322</v>
      </c>
      <c r="GC227" s="433">
        <f t="shared" si="36"/>
        <v>69780505.759044364</v>
      </c>
      <c r="GE227" s="426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7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7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7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7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5">
        <v>785627.23999999987</v>
      </c>
      <c r="EU232" s="325">
        <v>993423.94</v>
      </c>
      <c r="EV232" s="325">
        <v>1089343.29</v>
      </c>
      <c r="EW232" s="325">
        <v>1198538.77</v>
      </c>
      <c r="EX232" s="325">
        <v>1382138.7799999998</v>
      </c>
      <c r="EY232" s="325">
        <v>1539773.02</v>
      </c>
      <c r="EZ232" s="325">
        <v>1993333.2050530105</v>
      </c>
      <c r="FA232" s="325">
        <v>2094009.8411112905</v>
      </c>
      <c r="FB232" s="325">
        <v>1758705.3100069393</v>
      </c>
      <c r="FC232" s="325">
        <v>1756312.8353634721</v>
      </c>
      <c r="FD232" s="325">
        <v>1538063.0039378535</v>
      </c>
      <c r="FE232" s="325">
        <v>1571199.152751297</v>
      </c>
      <c r="FF232" s="347">
        <v>851162.27</v>
      </c>
      <c r="FG232" s="347">
        <v>1041125.3899999999</v>
      </c>
      <c r="FH232" s="347">
        <v>1066481.8799999999</v>
      </c>
      <c r="FI232" s="347">
        <v>1290371.49</v>
      </c>
      <c r="FJ232" s="347">
        <v>1208813.17</v>
      </c>
      <c r="FK232" s="347">
        <v>1252534.6599999999</v>
      </c>
      <c r="FL232" s="347">
        <v>1795731.4641523927</v>
      </c>
      <c r="FM232" s="347">
        <v>1701456.5372229549</v>
      </c>
      <c r="FN232" s="347">
        <v>1388736.0694359436</v>
      </c>
      <c r="FO232" s="347">
        <v>1341528.8515351652</v>
      </c>
      <c r="FP232" s="347">
        <v>1134405.6022195939</v>
      </c>
      <c r="FQ232" s="347">
        <v>1246141.5409339513</v>
      </c>
      <c r="FR232" s="433">
        <f>SUM(FR233:FR236)</f>
        <v>669819.01</v>
      </c>
      <c r="FS232" s="433">
        <f t="shared" ref="FS232:GC232" si="39">SUM(FS233:FS236)</f>
        <v>845756.92</v>
      </c>
      <c r="FT232" s="433">
        <f t="shared" si="39"/>
        <v>720374.53</v>
      </c>
      <c r="FU232" s="433">
        <f t="shared" si="39"/>
        <v>316937.24</v>
      </c>
      <c r="FV232" s="433">
        <f t="shared" si="39"/>
        <v>469045.42</v>
      </c>
      <c r="FW232" s="433">
        <f t="shared" si="39"/>
        <v>1161870.8532355535</v>
      </c>
      <c r="FX232" s="433">
        <f t="shared" si="39"/>
        <v>1673430.2546007757</v>
      </c>
      <c r="FY232" s="433">
        <f t="shared" si="39"/>
        <v>1388372.9389781314</v>
      </c>
      <c r="FZ232" s="433">
        <f t="shared" si="39"/>
        <v>1416214.8034873675</v>
      </c>
      <c r="GA232" s="433">
        <f t="shared" si="39"/>
        <v>1276386.1061063381</v>
      </c>
      <c r="GB232" s="433">
        <f t="shared" si="39"/>
        <v>963348.80250703567</v>
      </c>
      <c r="GC232" s="433">
        <f t="shared" si="39"/>
        <v>1285597.5253147981</v>
      </c>
      <c r="GE232" s="426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7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7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7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7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5">
        <v>1774503.5699999998</v>
      </c>
      <c r="EU237" s="325">
        <v>1885893.46</v>
      </c>
      <c r="EV237" s="325">
        <v>2001213.06</v>
      </c>
      <c r="EW237" s="325">
        <v>2389766.7799999998</v>
      </c>
      <c r="EX237" s="325">
        <v>1530724.52</v>
      </c>
      <c r="EY237" s="325">
        <v>2860047.35</v>
      </c>
      <c r="EZ237" s="325">
        <v>2768982.89609381</v>
      </c>
      <c r="FA237" s="325">
        <v>1878964.846878767</v>
      </c>
      <c r="FB237" s="325">
        <v>2453431.0919642458</v>
      </c>
      <c r="FC237" s="325">
        <v>3062621.0292725526</v>
      </c>
      <c r="FD237" s="325">
        <v>2157522.0205821833</v>
      </c>
      <c r="FE237" s="325">
        <v>3364455.4723437326</v>
      </c>
      <c r="FF237" s="347">
        <v>2315003.25</v>
      </c>
      <c r="FG237" s="347">
        <v>1541397.86</v>
      </c>
      <c r="FH237" s="347">
        <v>2408517.5</v>
      </c>
      <c r="FI237" s="347">
        <v>3310133.38</v>
      </c>
      <c r="FJ237" s="347">
        <v>1792591.2</v>
      </c>
      <c r="FK237" s="347">
        <v>2081141.31</v>
      </c>
      <c r="FL237" s="347">
        <v>3811615.3822946725</v>
      </c>
      <c r="FM237" s="347">
        <v>2369139.8885664819</v>
      </c>
      <c r="FN237" s="347">
        <v>2509036.584840606</v>
      </c>
      <c r="FO237" s="347">
        <v>3286740.3746407013</v>
      </c>
      <c r="FP237" s="347">
        <v>2611990.4957672656</v>
      </c>
      <c r="FQ237" s="347">
        <v>3353537.6354902741</v>
      </c>
      <c r="FR237" s="433">
        <f>SUM(FR238:FR243)</f>
        <v>2226726.9299999997</v>
      </c>
      <c r="FS237" s="433">
        <f t="shared" ref="FS237:GC237" si="42">SUM(FS238:FS243)</f>
        <v>2200614.79</v>
      </c>
      <c r="FT237" s="433">
        <f t="shared" si="42"/>
        <v>1317967.9100000001</v>
      </c>
      <c r="FU237" s="433">
        <f t="shared" si="42"/>
        <v>1597851.3599999999</v>
      </c>
      <c r="FV237" s="433">
        <f t="shared" si="42"/>
        <v>1673853.74</v>
      </c>
      <c r="FW237" s="433">
        <f t="shared" si="42"/>
        <v>2179490.8743573632</v>
      </c>
      <c r="FX237" s="433">
        <f t="shared" si="42"/>
        <v>2571108.8359225746</v>
      </c>
      <c r="FY237" s="433">
        <f t="shared" si="42"/>
        <v>1825380.5890086682</v>
      </c>
      <c r="FZ237" s="433">
        <f t="shared" si="42"/>
        <v>2163813.0387331629</v>
      </c>
      <c r="GA237" s="433">
        <f t="shared" si="42"/>
        <v>1995229.2228867295</v>
      </c>
      <c r="GB237" s="433">
        <f t="shared" si="42"/>
        <v>1517691.0449207788</v>
      </c>
      <c r="GC237" s="433">
        <f t="shared" si="42"/>
        <v>3555523.5622207262</v>
      </c>
      <c r="GE237" s="426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7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7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7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7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7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7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5">
        <v>2425520.8099999996</v>
      </c>
      <c r="EU244" s="325">
        <v>1609741.96</v>
      </c>
      <c r="EV244" s="325">
        <v>2046839.3099999998</v>
      </c>
      <c r="EW244" s="325">
        <v>5482431.4299999997</v>
      </c>
      <c r="EX244" s="325">
        <v>2151437.83</v>
      </c>
      <c r="EY244" s="325">
        <v>2740294.16</v>
      </c>
      <c r="EZ244" s="325">
        <v>3610099.6149461018</v>
      </c>
      <c r="FA244" s="325">
        <v>2856432.7673175023</v>
      </c>
      <c r="FB244" s="325">
        <v>38693622.019299239</v>
      </c>
      <c r="FC244" s="325">
        <v>3080614.3453884441</v>
      </c>
      <c r="FD244" s="325">
        <v>2054798.3756645597</v>
      </c>
      <c r="FE244" s="325">
        <v>4981072.0471647922</v>
      </c>
      <c r="FF244" s="347">
        <v>1567288.04</v>
      </c>
      <c r="FG244" s="347">
        <v>2199531.1</v>
      </c>
      <c r="FH244" s="347">
        <v>3194097.81</v>
      </c>
      <c r="FI244" s="347">
        <v>2385711.15</v>
      </c>
      <c r="FJ244" s="347">
        <v>7159438.3900000006</v>
      </c>
      <c r="FK244" s="347">
        <v>3263135.44</v>
      </c>
      <c r="FL244" s="347">
        <v>3782335.0282840966</v>
      </c>
      <c r="FM244" s="347">
        <v>3340173.0404689522</v>
      </c>
      <c r="FN244" s="347">
        <f>37689732.0664406-35000000</f>
        <v>2689732.0664405972</v>
      </c>
      <c r="FO244" s="347">
        <f>2215962.80977053+35000000</f>
        <v>37215962.809770532</v>
      </c>
      <c r="FP244" s="347">
        <v>3512092.3071244648</v>
      </c>
      <c r="FQ244" s="347">
        <v>7138953.7303113183</v>
      </c>
      <c r="FR244" s="433">
        <f>SUM(FR245:FR248)</f>
        <v>1484714.27</v>
      </c>
      <c r="FS244" s="433">
        <f t="shared" ref="FS244:GC244" si="46">SUM(FS245:FS248)</f>
        <v>2100277.88</v>
      </c>
      <c r="FT244" s="433">
        <f t="shared" si="46"/>
        <v>4248499.3600000003</v>
      </c>
      <c r="FU244" s="433">
        <f t="shared" si="46"/>
        <v>1617752.3800000001</v>
      </c>
      <c r="FV244" s="433">
        <f t="shared" si="46"/>
        <v>1237245.3599999999</v>
      </c>
      <c r="FW244" s="433">
        <f t="shared" si="46"/>
        <v>2257816.068284105</v>
      </c>
      <c r="FX244" s="433">
        <f t="shared" si="46"/>
        <v>5692253.8149066633</v>
      </c>
      <c r="FY244" s="433">
        <f t="shared" si="46"/>
        <v>4621203.3620386366</v>
      </c>
      <c r="FZ244" s="433">
        <f t="shared" si="46"/>
        <v>17537126.915220708</v>
      </c>
      <c r="GA244" s="433">
        <f t="shared" si="46"/>
        <v>3831817.5735939299</v>
      </c>
      <c r="GB244" s="433">
        <f t="shared" si="46"/>
        <v>3619302.6260553906</v>
      </c>
      <c r="GC244" s="433">
        <f t="shared" si="46"/>
        <v>4678583.5639540665</v>
      </c>
      <c r="GE244" s="426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7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7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7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7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3">
        <v>62782.51</v>
      </c>
      <c r="FS249" s="433">
        <v>437988.22</v>
      </c>
      <c r="FT249" s="433">
        <v>603218.21</v>
      </c>
      <c r="FU249" s="433">
        <v>198578.39</v>
      </c>
      <c r="FV249" s="433">
        <v>270349.07</v>
      </c>
      <c r="FW249" s="433">
        <v>632440.5</v>
      </c>
      <c r="FX249" s="433">
        <v>632440.5</v>
      </c>
      <c r="FY249" s="433">
        <v>632440.5</v>
      </c>
      <c r="FZ249" s="433">
        <v>632440.5</v>
      </c>
      <c r="GA249" s="433">
        <v>632440.5</v>
      </c>
      <c r="GB249" s="433">
        <v>632440.5</v>
      </c>
      <c r="GC249" s="433">
        <v>632440.6</v>
      </c>
      <c r="GD249" s="349"/>
      <c r="GE249" s="426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3">
        <v>80819.179999999993</v>
      </c>
      <c r="FS252" s="433">
        <v>813727.89</v>
      </c>
      <c r="FT252" s="433">
        <v>794561.22</v>
      </c>
      <c r="FU252" s="433">
        <v>561040.23</v>
      </c>
      <c r="FV252" s="433">
        <v>218800.94</v>
      </c>
      <c r="FW252" s="433">
        <v>172752.84814830567</v>
      </c>
      <c r="FX252" s="433">
        <v>621585.63801238476</v>
      </c>
      <c r="FY252" s="433">
        <v>1170088.8491047423</v>
      </c>
      <c r="FZ252" s="433">
        <v>665799.08079606481</v>
      </c>
      <c r="GA252" s="433">
        <v>9201611.3215604126</v>
      </c>
      <c r="GB252" s="433">
        <v>1305018.6190754015</v>
      </c>
      <c r="GC252" s="433">
        <v>1507066.6233026888</v>
      </c>
      <c r="GE252" s="426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7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3">
        <v>754264.83</v>
      </c>
      <c r="FS255" s="433">
        <v>1636489.54</v>
      </c>
      <c r="FT255" s="433">
        <v>3512551.56</v>
      </c>
      <c r="FU255" s="433">
        <v>2957605.59</v>
      </c>
      <c r="FV255" s="433">
        <v>1856477.6183333334</v>
      </c>
      <c r="FW255" s="433">
        <v>2156477.6183333299</v>
      </c>
      <c r="FX255" s="433">
        <v>1856477.6183333334</v>
      </c>
      <c r="FY255" s="433">
        <v>1856477.6183333334</v>
      </c>
      <c r="FZ255" s="433">
        <v>25000000</v>
      </c>
      <c r="GA255" s="433">
        <v>1856477.6183333334</v>
      </c>
      <c r="GB255" s="433">
        <v>1856477.6183333334</v>
      </c>
      <c r="GC255" s="433">
        <v>4700000</v>
      </c>
      <c r="GE255" s="426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4">
        <f t="shared" si="48"/>
        <v>0</v>
      </c>
      <c r="CO259" s="324">
        <f t="shared" si="48"/>
        <v>200000000</v>
      </c>
      <c r="CP259" s="324">
        <f t="shared" si="48"/>
        <v>0</v>
      </c>
      <c r="CQ259" s="324">
        <f t="shared" si="48"/>
        <v>0</v>
      </c>
      <c r="CR259" s="324">
        <f t="shared" si="48"/>
        <v>0</v>
      </c>
      <c r="CS259" s="324">
        <f t="shared" si="48"/>
        <v>0</v>
      </c>
      <c r="CT259" s="324">
        <f t="shared" si="48"/>
        <v>0</v>
      </c>
      <c r="CU259" s="324">
        <f t="shared" si="48"/>
        <v>50000000</v>
      </c>
      <c r="CV259" s="324">
        <f t="shared" si="48"/>
        <v>0</v>
      </c>
      <c r="CW259" s="324">
        <f t="shared" si="48"/>
        <v>0</v>
      </c>
      <c r="CX259" s="324">
        <f t="shared" si="48"/>
        <v>18997964.655235786</v>
      </c>
      <c r="CY259" s="324">
        <f t="shared" ref="CY259:DI259" si="49">+SUM(CY260:CY261)</f>
        <v>18997964.655235786</v>
      </c>
      <c r="CZ259" s="324">
        <f t="shared" si="49"/>
        <v>18997964.655235786</v>
      </c>
      <c r="DA259" s="324">
        <f t="shared" si="49"/>
        <v>18997964.655235786</v>
      </c>
      <c r="DB259" s="324">
        <f t="shared" si="49"/>
        <v>18997964.655235786</v>
      </c>
      <c r="DC259" s="324">
        <f t="shared" si="49"/>
        <v>18997964.655235786</v>
      </c>
      <c r="DD259" s="324">
        <f t="shared" si="49"/>
        <v>18997964.655235786</v>
      </c>
      <c r="DE259" s="324">
        <f t="shared" si="49"/>
        <v>18997964.655235786</v>
      </c>
      <c r="DF259" s="324">
        <f t="shared" si="49"/>
        <v>18997964.655235786</v>
      </c>
      <c r="DG259" s="324">
        <f t="shared" si="49"/>
        <v>18997964.655235786</v>
      </c>
      <c r="DH259" s="324">
        <f t="shared" si="49"/>
        <v>18997964.655235786</v>
      </c>
      <c r="DI259" s="324">
        <f t="shared" si="49"/>
        <v>18997964.655235786</v>
      </c>
      <c r="DJ259" s="324">
        <f>+SUM(DJ260:DJ261)</f>
        <v>52840136.569718093</v>
      </c>
      <c r="DK259" s="324">
        <f t="shared" ref="DK259:DU259" si="50">+SUM(DK260:DK261)</f>
        <v>52840136.569718093</v>
      </c>
      <c r="DL259" s="324">
        <f t="shared" si="50"/>
        <v>52840136.569718093</v>
      </c>
      <c r="DM259" s="324">
        <f t="shared" si="50"/>
        <v>52840136.569718093</v>
      </c>
      <c r="DN259" s="324">
        <f t="shared" si="50"/>
        <v>52840136.569718093</v>
      </c>
      <c r="DO259" s="324">
        <f t="shared" si="50"/>
        <v>52840136.569718093</v>
      </c>
      <c r="DP259" s="324">
        <f t="shared" si="50"/>
        <v>52840136.569718093</v>
      </c>
      <c r="DQ259" s="324">
        <f t="shared" si="50"/>
        <v>52840136.569718093</v>
      </c>
      <c r="DR259" s="324">
        <f t="shared" si="50"/>
        <v>52840136.569718093</v>
      </c>
      <c r="DS259" s="324">
        <f t="shared" si="50"/>
        <v>52840136.569718093</v>
      </c>
      <c r="DT259" s="324">
        <f t="shared" si="50"/>
        <v>52840136.569718093</v>
      </c>
      <c r="DU259" s="324">
        <f t="shared" si="50"/>
        <v>52840136.569718093</v>
      </c>
      <c r="DV259" s="324">
        <f>SUM(DV260:DV261)</f>
        <v>55595756.08804667</v>
      </c>
      <c r="DW259" s="324">
        <f t="shared" ref="DW259:EF259" si="51">SUM(DW260:DW261)</f>
        <v>55595756.08804667</v>
      </c>
      <c r="DX259" s="324">
        <f t="shared" si="51"/>
        <v>55595756.08804667</v>
      </c>
      <c r="DY259" s="324">
        <f t="shared" si="51"/>
        <v>55595756.08804667</v>
      </c>
      <c r="DZ259" s="324">
        <f t="shared" si="51"/>
        <v>55595756.08804667</v>
      </c>
      <c r="EA259" s="324">
        <f t="shared" si="51"/>
        <v>55595756.08804667</v>
      </c>
      <c r="EB259" s="324">
        <f t="shared" si="51"/>
        <v>55595756.08804667</v>
      </c>
      <c r="EC259" s="324">
        <f t="shared" si="51"/>
        <v>55595756.08804667</v>
      </c>
      <c r="ED259" s="324">
        <f t="shared" si="51"/>
        <v>55595756.08804667</v>
      </c>
      <c r="EE259" s="324">
        <f t="shared" si="51"/>
        <v>55595756.08804667</v>
      </c>
      <c r="EF259" s="324">
        <f t="shared" si="51"/>
        <v>55595756.08804667</v>
      </c>
      <c r="EG259" s="324">
        <f>SUM(EG260:EG261)</f>
        <v>55595756.08804667</v>
      </c>
      <c r="EH259" s="324">
        <f t="shared" ref="EH259:ES259" si="52">SUM(EH260:EH261)</f>
        <v>37847818.636239164</v>
      </c>
      <c r="EI259" s="324">
        <f t="shared" si="52"/>
        <v>37847818.636239164</v>
      </c>
      <c r="EJ259" s="324">
        <f t="shared" si="52"/>
        <v>37847818.636239164</v>
      </c>
      <c r="EK259" s="324">
        <f t="shared" si="52"/>
        <v>37847818.636239164</v>
      </c>
      <c r="EL259" s="324">
        <f t="shared" si="52"/>
        <v>37847818.636239164</v>
      </c>
      <c r="EM259" s="324">
        <f t="shared" si="52"/>
        <v>37847818.636239164</v>
      </c>
      <c r="EN259" s="324">
        <f t="shared" si="52"/>
        <v>37847818.636239164</v>
      </c>
      <c r="EO259" s="324">
        <f t="shared" si="52"/>
        <v>37847818.636239164</v>
      </c>
      <c r="EP259" s="324">
        <f t="shared" si="52"/>
        <v>37847818.636239164</v>
      </c>
      <c r="EQ259" s="324">
        <f t="shared" si="52"/>
        <v>37847818.636239164</v>
      </c>
      <c r="ER259" s="324">
        <f t="shared" si="52"/>
        <v>37847818.636239164</v>
      </c>
      <c r="ES259" s="324">
        <f t="shared" si="52"/>
        <v>37847818.636239164</v>
      </c>
      <c r="ET259" s="324"/>
      <c r="EU259" s="324"/>
      <c r="EV259" s="324"/>
      <c r="EW259" s="324"/>
      <c r="EX259" s="324"/>
      <c r="EY259" s="324"/>
      <c r="EZ259" s="324"/>
      <c r="FA259" s="324"/>
      <c r="FB259" s="324"/>
      <c r="FC259" s="324"/>
      <c r="FD259" s="324"/>
      <c r="FE259" s="324"/>
      <c r="FF259" s="324">
        <v>24022843.850000001</v>
      </c>
      <c r="FG259" s="324">
        <v>0</v>
      </c>
      <c r="FH259" s="324">
        <v>107399337.39</v>
      </c>
      <c r="FI259" s="324">
        <v>15000000</v>
      </c>
      <c r="FJ259" s="324">
        <v>112000000</v>
      </c>
      <c r="FK259" s="324">
        <v>17000000</v>
      </c>
      <c r="FL259" s="324">
        <v>17000000</v>
      </c>
      <c r="FM259" s="324">
        <v>15000000</v>
      </c>
      <c r="FN259" s="324">
        <v>17000000</v>
      </c>
      <c r="FO259" s="324">
        <v>17000000</v>
      </c>
      <c r="FP259" s="324">
        <v>15000000</v>
      </c>
      <c r="FQ259" s="324">
        <v>13983087.501553783</v>
      </c>
      <c r="FR259" s="324">
        <f>SUM(FR260:FR261)</f>
        <v>316564.84000000003</v>
      </c>
      <c r="FS259" s="324">
        <f t="shared" ref="FS259:GC259" si="53">SUM(FS260:FS261)</f>
        <v>1511136.76</v>
      </c>
      <c r="FT259" s="324">
        <f t="shared" si="53"/>
        <v>3834054.75</v>
      </c>
      <c r="FU259" s="324">
        <f t="shared" si="53"/>
        <v>4493810.3600000003</v>
      </c>
      <c r="FV259" s="324">
        <f t="shared" si="53"/>
        <v>250307576.15000001</v>
      </c>
      <c r="FW259" s="324">
        <f t="shared" si="53"/>
        <v>10146635.998571429</v>
      </c>
      <c r="FX259" s="324">
        <f t="shared" si="53"/>
        <v>10146635.998571429</v>
      </c>
      <c r="FY259" s="324">
        <f t="shared" si="53"/>
        <v>10146635.998571429</v>
      </c>
      <c r="FZ259" s="324">
        <f t="shared" si="53"/>
        <v>10146635.998571429</v>
      </c>
      <c r="GA259" s="324">
        <f t="shared" si="53"/>
        <v>10146635.998571429</v>
      </c>
      <c r="GB259" s="324">
        <f t="shared" si="53"/>
        <v>10146635.998571429</v>
      </c>
      <c r="GC259" s="324">
        <f t="shared" si="53"/>
        <v>10146635.998571429</v>
      </c>
      <c r="GE259" s="426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6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4">
        <v>36581480.009166665</v>
      </c>
      <c r="EU264" s="324">
        <v>36581480.009166665</v>
      </c>
      <c r="EV264" s="324">
        <v>36581480.009166665</v>
      </c>
      <c r="EW264" s="324">
        <v>36581480.009166665</v>
      </c>
      <c r="EX264" s="324">
        <v>36581480.009166665</v>
      </c>
      <c r="EY264" s="324">
        <v>36581480.009166665</v>
      </c>
      <c r="EZ264" s="324">
        <v>36581480.009166665</v>
      </c>
      <c r="FA264" s="324">
        <v>36581480.009166665</v>
      </c>
      <c r="FB264" s="324">
        <v>42330489.099166654</v>
      </c>
      <c r="FC264" s="324">
        <v>42330489.099166654</v>
      </c>
      <c r="FD264" s="324">
        <v>42330489.099166654</v>
      </c>
      <c r="FE264" s="324">
        <v>42330489.099166654</v>
      </c>
      <c r="FF264" s="324">
        <v>39362332.101666681</v>
      </c>
      <c r="FG264" s="324">
        <v>39125646.701666676</v>
      </c>
      <c r="FH264" s="324">
        <v>39113380.221666679</v>
      </c>
      <c r="FI264" s="324">
        <v>39105431.161666669</v>
      </c>
      <c r="FJ264" s="324">
        <v>39107573.981666677</v>
      </c>
      <c r="FK264" s="324">
        <v>41935580.18166668</v>
      </c>
      <c r="FL264" s="324">
        <v>39107470.111666672</v>
      </c>
      <c r="FM264" s="324">
        <v>39093383.891666673</v>
      </c>
      <c r="FN264" s="324">
        <v>39030288.911666676</v>
      </c>
      <c r="FO264" s="324">
        <v>39107584.94166667</v>
      </c>
      <c r="FP264" s="324">
        <v>39107395.941666678</v>
      </c>
      <c r="FQ264" s="324">
        <v>38858179.001666702</v>
      </c>
      <c r="FR264" s="324">
        <v>40884882.280000001</v>
      </c>
      <c r="FS264" s="324">
        <v>41362850.270000003</v>
      </c>
      <c r="FT264" s="324">
        <v>41444412.079999998</v>
      </c>
      <c r="FU264" s="324">
        <v>41745440.189999998</v>
      </c>
      <c r="FV264" s="324">
        <v>40757623.899999999</v>
      </c>
      <c r="FW264" s="324">
        <v>41753797.367142849</v>
      </c>
      <c r="FX264" s="324">
        <v>41753797.367142849</v>
      </c>
      <c r="FY264" s="324">
        <v>41753797.367142849</v>
      </c>
      <c r="FZ264" s="324">
        <v>41753797.367142849</v>
      </c>
      <c r="GA264" s="324">
        <v>41753797.367142849</v>
      </c>
      <c r="GB264" s="324">
        <v>41753797.367142849</v>
      </c>
      <c r="GC264" s="324">
        <v>41753797.367142849</v>
      </c>
      <c r="GE264" s="426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7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7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7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7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7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4">
        <v>1045765.8483333333</v>
      </c>
      <c r="EU270" s="324">
        <v>1045765.8483333333</v>
      </c>
      <c r="EV270" s="324">
        <v>1045765.8483333333</v>
      </c>
      <c r="EW270" s="324">
        <v>1064654.7372222226</v>
      </c>
      <c r="EX270" s="324">
        <v>1064654.7372222226</v>
      </c>
      <c r="EY270" s="324">
        <v>1064654.7372222226</v>
      </c>
      <c r="EZ270" s="324">
        <v>1064654.7372222226</v>
      </c>
      <c r="FA270" s="324">
        <v>1064654.7372222226</v>
      </c>
      <c r="FB270" s="324">
        <v>1064654.7372222201</v>
      </c>
      <c r="FC270" s="324">
        <v>1064654.7372222201</v>
      </c>
      <c r="FD270" s="324">
        <v>1064654.7372222226</v>
      </c>
      <c r="FE270" s="324">
        <v>1608087.7372222189</v>
      </c>
      <c r="FF270" s="324">
        <v>1281057.9508333332</v>
      </c>
      <c r="FG270" s="324">
        <v>1323983.3608333331</v>
      </c>
      <c r="FH270" s="324">
        <v>1260740.2808333333</v>
      </c>
      <c r="FI270" s="324">
        <v>1247473.6108333331</v>
      </c>
      <c r="FJ270" s="324">
        <v>1248015.2908333333</v>
      </c>
      <c r="FK270" s="324">
        <v>1249948.9408333332</v>
      </c>
      <c r="FL270" s="324">
        <v>1249158.6208333333</v>
      </c>
      <c r="FM270" s="324">
        <v>1249158.6208333333</v>
      </c>
      <c r="FN270" s="324">
        <v>1249658.6108333331</v>
      </c>
      <c r="FO270" s="324">
        <v>1239658.6108333331</v>
      </c>
      <c r="FP270" s="324">
        <v>1238097.2408333332</v>
      </c>
      <c r="FQ270" s="324">
        <v>1240174.31083333</v>
      </c>
      <c r="FR270" s="324">
        <v>476603.42</v>
      </c>
      <c r="FS270" s="324">
        <v>1082169.6499999999</v>
      </c>
      <c r="FT270" s="324">
        <v>1109472.33</v>
      </c>
      <c r="FU270" s="324">
        <v>652598.81999999995</v>
      </c>
      <c r="FV270" s="324">
        <v>376000.24</v>
      </c>
      <c r="FW270" s="324">
        <v>1605574.7457142856</v>
      </c>
      <c r="FX270" s="324">
        <v>1605574.7457142856</v>
      </c>
      <c r="FY270" s="324">
        <v>1605574.7457142856</v>
      </c>
      <c r="FZ270" s="324">
        <v>1605574.7457142856</v>
      </c>
      <c r="GA270" s="324">
        <v>1605574.7457142856</v>
      </c>
      <c r="GB270" s="324">
        <v>1605574.7457142856</v>
      </c>
      <c r="GC270" s="324">
        <v>1605590.0757142901</v>
      </c>
      <c r="GE270" s="426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29"/>
      <c r="FS271" s="429"/>
      <c r="FT271" s="429"/>
      <c r="FU271" s="429"/>
      <c r="FV271" s="429"/>
      <c r="FW271" s="429"/>
      <c r="FX271" s="429"/>
      <c r="FY271" s="429"/>
      <c r="FZ271" s="429"/>
      <c r="GA271" s="429"/>
      <c r="GB271" s="429"/>
      <c r="GC271" s="429"/>
      <c r="GD271" s="42"/>
      <c r="GE271" s="427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29"/>
      <c r="FS272" s="429"/>
      <c r="FT272" s="429"/>
      <c r="FU272" s="429"/>
      <c r="FV272" s="429"/>
      <c r="FW272" s="429"/>
      <c r="FX272" s="429"/>
      <c r="FY272" s="429"/>
      <c r="FZ272" s="429"/>
      <c r="GA272" s="429"/>
      <c r="GB272" s="429"/>
      <c r="GC272" s="429"/>
      <c r="GD272" s="42"/>
      <c r="GE272" s="427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29"/>
      <c r="FS273" s="429"/>
      <c r="FT273" s="429"/>
      <c r="FU273" s="429"/>
      <c r="FV273" s="429"/>
      <c r="FW273" s="429"/>
      <c r="FX273" s="429"/>
      <c r="FY273" s="429"/>
      <c r="FZ273" s="429"/>
      <c r="GA273" s="429"/>
      <c r="GB273" s="429"/>
      <c r="GC273" s="429"/>
      <c r="GD273" s="42"/>
      <c r="GE273" s="427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29"/>
      <c r="FS274" s="429"/>
      <c r="FT274" s="429"/>
      <c r="FU274" s="429"/>
      <c r="FV274" s="429"/>
      <c r="FW274" s="429"/>
      <c r="FX274" s="429"/>
      <c r="FY274" s="429"/>
      <c r="FZ274" s="429"/>
      <c r="GA274" s="429"/>
      <c r="GB274" s="429"/>
      <c r="GC274" s="429"/>
      <c r="GD274" s="42"/>
      <c r="GE274" s="427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29"/>
      <c r="FS275" s="429"/>
      <c r="FT275" s="429"/>
      <c r="FU275" s="429"/>
      <c r="FV275" s="429"/>
      <c r="FW275" s="429"/>
      <c r="FX275" s="429"/>
      <c r="FY275" s="429"/>
      <c r="FZ275" s="429"/>
      <c r="GA275" s="429"/>
      <c r="GB275" s="429"/>
      <c r="GC275" s="429"/>
      <c r="GD275" s="42"/>
      <c r="GE275" s="427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7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29"/>
      <c r="FS277" s="429"/>
      <c r="FT277" s="429"/>
      <c r="FU277" s="429"/>
      <c r="FV277" s="429"/>
      <c r="FW277" s="429"/>
      <c r="FX277" s="429"/>
      <c r="FY277" s="429"/>
      <c r="FZ277" s="429"/>
      <c r="GA277" s="429"/>
      <c r="GB277" s="429"/>
      <c r="GC277" s="429"/>
      <c r="GD277" s="42"/>
      <c r="GE277" s="427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4">
        <v>2429373.3213333334</v>
      </c>
      <c r="EU278" s="324">
        <v>2429373.3213333334</v>
      </c>
      <c r="EV278" s="324">
        <v>2429373.3213333334</v>
      </c>
      <c r="EW278" s="324">
        <v>2429373.3213333334</v>
      </c>
      <c r="EX278" s="324">
        <v>2429373.3213333334</v>
      </c>
      <c r="EY278" s="324">
        <v>2429373.3213333334</v>
      </c>
      <c r="EZ278" s="324">
        <v>3644059.9819999994</v>
      </c>
      <c r="FA278" s="324">
        <v>3644059.9819999994</v>
      </c>
      <c r="FB278" s="324">
        <v>4454463.4019999988</v>
      </c>
      <c r="FC278" s="324">
        <v>4454463.4019999988</v>
      </c>
      <c r="FD278" s="324">
        <v>4454463.4019999988</v>
      </c>
      <c r="FE278" s="324">
        <v>4454463.4019999988</v>
      </c>
      <c r="FF278" s="324">
        <v>3067786.435833334</v>
      </c>
      <c r="FG278" s="324">
        <v>3019826.0658333339</v>
      </c>
      <c r="FH278" s="324">
        <v>3058309.8858333337</v>
      </c>
      <c r="FI278" s="324">
        <v>3046755.8058333341</v>
      </c>
      <c r="FJ278" s="324">
        <v>3057105.8058333341</v>
      </c>
      <c r="FK278" s="324">
        <v>3056755.8058333341</v>
      </c>
      <c r="FL278" s="324">
        <v>3059180.8058333341</v>
      </c>
      <c r="FM278" s="324">
        <v>3059180.8058333341</v>
      </c>
      <c r="FN278" s="324">
        <v>3059040.8058333341</v>
      </c>
      <c r="FO278" s="324">
        <v>3063161.8058333341</v>
      </c>
      <c r="FP278" s="324">
        <v>3060771.8058333341</v>
      </c>
      <c r="FQ278" s="324">
        <v>3044951.8258333337</v>
      </c>
      <c r="FR278" s="324">
        <v>845574.4</v>
      </c>
      <c r="FS278" s="324">
        <v>4271561.3099999996</v>
      </c>
      <c r="FT278" s="324">
        <v>2456800.5</v>
      </c>
      <c r="FU278" s="324">
        <v>3001224.56</v>
      </c>
      <c r="FV278" s="324">
        <v>1835726.56</v>
      </c>
      <c r="FW278" s="324">
        <v>3331584.2171428567</v>
      </c>
      <c r="FX278" s="324">
        <v>3331584.2171428567</v>
      </c>
      <c r="FY278" s="324">
        <v>2665267.3737142859</v>
      </c>
      <c r="FZ278" s="324">
        <v>3331584.2171428567</v>
      </c>
      <c r="GA278" s="324">
        <v>3331584.2171428567</v>
      </c>
      <c r="GB278" s="324">
        <v>3331584.2171428567</v>
      </c>
      <c r="GC278" s="324">
        <v>3997910.8964734701</v>
      </c>
      <c r="GE278" s="426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7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7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7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7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7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7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4">
        <v>3986420.5893333331</v>
      </c>
      <c r="EU285" s="324">
        <v>3986420.5893333331</v>
      </c>
      <c r="EV285" s="324">
        <v>3986420.5893333331</v>
      </c>
      <c r="EW285" s="324">
        <v>4097531.7004444432</v>
      </c>
      <c r="EX285" s="324">
        <v>4097531.7004444432</v>
      </c>
      <c r="EY285" s="324">
        <v>4097531.7004444432</v>
      </c>
      <c r="EZ285" s="324">
        <v>6090741.9951111097</v>
      </c>
      <c r="FA285" s="324">
        <v>6090741.9951111097</v>
      </c>
      <c r="FB285" s="324">
        <v>5577148.0201111175</v>
      </c>
      <c r="FC285" s="324">
        <v>5577148.0201111175</v>
      </c>
      <c r="FD285" s="324">
        <v>5577148.0201111175</v>
      </c>
      <c r="FE285" s="324">
        <v>5577148.0201111175</v>
      </c>
      <c r="FF285" s="324">
        <v>6120514.5875000004</v>
      </c>
      <c r="FG285" s="324">
        <v>5971668.0075000003</v>
      </c>
      <c r="FH285" s="324">
        <v>5177760.0175000001</v>
      </c>
      <c r="FI285" s="324">
        <v>5087042.1275000004</v>
      </c>
      <c r="FJ285" s="324">
        <v>5141875.5275000008</v>
      </c>
      <c r="FK285" s="324">
        <v>5197534.4975000005</v>
      </c>
      <c r="FL285" s="324">
        <v>5059087.2374999989</v>
      </c>
      <c r="FM285" s="324">
        <v>5071091.2374999989</v>
      </c>
      <c r="FN285" s="324">
        <v>5175886.7374999989</v>
      </c>
      <c r="FO285" s="324">
        <v>5062253.3274999987</v>
      </c>
      <c r="FP285" s="324">
        <v>5061881.6574999988</v>
      </c>
      <c r="FQ285" s="324">
        <v>5000451.0074999994</v>
      </c>
      <c r="FR285" s="324">
        <v>1526609.67</v>
      </c>
      <c r="FS285" s="324">
        <v>5800030.7699999996</v>
      </c>
      <c r="FT285" s="324">
        <v>6227024.2599999998</v>
      </c>
      <c r="FU285" s="324">
        <v>3735755.56</v>
      </c>
      <c r="FV285" s="324">
        <v>13077926.789999999</v>
      </c>
      <c r="FW285" s="324">
        <v>4490161.0014285715</v>
      </c>
      <c r="FX285" s="324">
        <v>4490161.0014285715</v>
      </c>
      <c r="FY285" s="324">
        <v>3592128.8011428574</v>
      </c>
      <c r="FZ285" s="324">
        <v>4490161.0014285715</v>
      </c>
      <c r="GA285" s="324">
        <v>4490161.0014285715</v>
      </c>
      <c r="GB285" s="324">
        <v>4490161.0014285715</v>
      </c>
      <c r="GC285" s="324">
        <v>5388158.5617142906</v>
      </c>
      <c r="GE285" s="426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7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7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7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7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7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7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7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7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7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4">
        <v>1860319.3983333334</v>
      </c>
      <c r="EU295" s="324">
        <v>1860319.3983333334</v>
      </c>
      <c r="EV295" s="324">
        <v>1860319.3983333334</v>
      </c>
      <c r="EW295" s="324">
        <v>1860319.3983333334</v>
      </c>
      <c r="EX295" s="324">
        <v>1860319.3983333334</v>
      </c>
      <c r="EY295" s="324">
        <v>1860319.3983333334</v>
      </c>
      <c r="EZ295" s="324">
        <v>1860319.3983333334</v>
      </c>
      <c r="FA295" s="324">
        <v>1860319.3983333334</v>
      </c>
      <c r="FB295" s="324">
        <v>1850732.9058333328</v>
      </c>
      <c r="FC295" s="324">
        <v>1850732.9058333328</v>
      </c>
      <c r="FD295" s="324">
        <v>1850732.9058333328</v>
      </c>
      <c r="FE295" s="324">
        <v>1850732.9058333328</v>
      </c>
      <c r="FF295" s="324">
        <v>1931829.4616666667</v>
      </c>
      <c r="FG295" s="324">
        <v>1929704.3816666668</v>
      </c>
      <c r="FH295" s="324">
        <v>1921162.7116666667</v>
      </c>
      <c r="FI295" s="324">
        <v>1920662.7116666667</v>
      </c>
      <c r="FJ295" s="324">
        <v>1927678.7016666669</v>
      </c>
      <c r="FK295" s="324">
        <v>1927612.7316666667</v>
      </c>
      <c r="FL295" s="324">
        <v>1934953.7116666667</v>
      </c>
      <c r="FM295" s="324">
        <v>1934887.7116666667</v>
      </c>
      <c r="FN295" s="324">
        <v>1926953.7016666669</v>
      </c>
      <c r="FO295" s="324">
        <v>1926887.7016666669</v>
      </c>
      <c r="FP295" s="324">
        <v>1926953.7016666669</v>
      </c>
      <c r="FQ295" s="324">
        <v>1908616.3716666668</v>
      </c>
      <c r="FR295" s="324">
        <v>108691.98</v>
      </c>
      <c r="FS295" s="324">
        <v>2265483.7400000002</v>
      </c>
      <c r="FT295" s="324">
        <v>1016574.39</v>
      </c>
      <c r="FU295" s="324">
        <v>2804355.68</v>
      </c>
      <c r="FV295" s="324">
        <v>1877727.17</v>
      </c>
      <c r="FW295" s="324">
        <v>2564587.1557142856</v>
      </c>
      <c r="FX295" s="324">
        <v>2564587.1557142856</v>
      </c>
      <c r="FY295" s="324">
        <v>2051669.7245714283</v>
      </c>
      <c r="FZ295" s="324">
        <v>2564587.1557142856</v>
      </c>
      <c r="GA295" s="324">
        <v>2564587.1557142856</v>
      </c>
      <c r="GB295" s="324">
        <v>2564587.1557142856</v>
      </c>
      <c r="GC295" s="324">
        <v>3077495.2968571493</v>
      </c>
      <c r="GE295" s="426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7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7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7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4">
        <v>7122725</v>
      </c>
      <c r="EU299" s="324">
        <v>7122725</v>
      </c>
      <c r="EV299" s="324">
        <v>7122725</v>
      </c>
      <c r="EW299" s="324">
        <v>7122725</v>
      </c>
      <c r="EX299" s="324">
        <v>7122725</v>
      </c>
      <c r="EY299" s="324">
        <v>7122725</v>
      </c>
      <c r="EZ299" s="324">
        <v>7122725</v>
      </c>
      <c r="FA299" s="324">
        <v>7122725</v>
      </c>
      <c r="FB299" s="324">
        <v>7615225</v>
      </c>
      <c r="FC299" s="324">
        <v>7615225</v>
      </c>
      <c r="FD299" s="324">
        <v>7615225</v>
      </c>
      <c r="FE299" s="324">
        <v>7615225</v>
      </c>
      <c r="FF299" s="324">
        <v>7980725.0000000009</v>
      </c>
      <c r="FG299" s="324">
        <v>986719.96000000054</v>
      </c>
      <c r="FH299" s="324">
        <v>28101499.100000001</v>
      </c>
      <c r="FI299" s="324">
        <v>18499732.100000001</v>
      </c>
      <c r="FJ299" s="324">
        <v>14045836.270000001</v>
      </c>
      <c r="FK299" s="324">
        <v>1973802.6600000008</v>
      </c>
      <c r="FL299" s="324">
        <v>8764475.7899999991</v>
      </c>
      <c r="FM299" s="324">
        <v>1297206.1400000008</v>
      </c>
      <c r="FN299" s="324">
        <v>3140325.8000000007</v>
      </c>
      <c r="FO299" s="324">
        <v>1321292.0800000008</v>
      </c>
      <c r="FP299" s="324">
        <v>7803737.330000001</v>
      </c>
      <c r="FQ299" s="324">
        <v>1837347.7700000007</v>
      </c>
      <c r="FR299" s="324">
        <v>7654845.3899999997</v>
      </c>
      <c r="FS299" s="324">
        <v>1839801.88</v>
      </c>
      <c r="FT299" s="324">
        <v>27475960.399999999</v>
      </c>
      <c r="FU299" s="324">
        <v>22559197.739999998</v>
      </c>
      <c r="FV299" s="324">
        <v>1656916.58</v>
      </c>
      <c r="FW299" s="324">
        <v>5198232.47</v>
      </c>
      <c r="FX299" s="324">
        <v>7583026.2800000003</v>
      </c>
      <c r="FY299" s="324">
        <v>786949.86</v>
      </c>
      <c r="FZ299" s="324">
        <v>2190986</v>
      </c>
      <c r="GA299" s="324">
        <v>17371477.57</v>
      </c>
      <c r="GB299" s="324">
        <v>3971191.03</v>
      </c>
      <c r="GC299" s="324">
        <v>5055431.2400000077</v>
      </c>
      <c r="GE299" s="426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7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7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4">
        <v>800010.93333333347</v>
      </c>
      <c r="EU302" s="324">
        <v>800010.93333333347</v>
      </c>
      <c r="EV302" s="324">
        <v>800010.93333333347</v>
      </c>
      <c r="EW302" s="324">
        <v>800010.93333333347</v>
      </c>
      <c r="EX302" s="324">
        <v>800010.93333333347</v>
      </c>
      <c r="EY302" s="324">
        <v>800010.93333333347</v>
      </c>
      <c r="EZ302" s="324">
        <v>800010.93333333347</v>
      </c>
      <c r="FA302" s="324">
        <v>800010.93333333347</v>
      </c>
      <c r="FB302" s="324">
        <v>986109.29833333322</v>
      </c>
      <c r="FC302" s="324">
        <v>986109.29833333322</v>
      </c>
      <c r="FD302" s="324">
        <v>986109.29833333322</v>
      </c>
      <c r="FE302" s="324">
        <v>986109.29833333322</v>
      </c>
      <c r="FF302" s="324">
        <v>832820.39</v>
      </c>
      <c r="FG302" s="324">
        <v>780840.39</v>
      </c>
      <c r="FH302" s="324">
        <v>793807.47</v>
      </c>
      <c r="FI302" s="324">
        <v>776070.39</v>
      </c>
      <c r="FJ302" s="324">
        <v>793070.39</v>
      </c>
      <c r="FK302" s="324">
        <v>826070.39</v>
      </c>
      <c r="FL302" s="324">
        <v>846570.39</v>
      </c>
      <c r="FM302" s="324">
        <v>846570.39</v>
      </c>
      <c r="FN302" s="324">
        <v>826570.39</v>
      </c>
      <c r="FO302" s="324">
        <v>826570.39</v>
      </c>
      <c r="FP302" s="324">
        <v>826570.39</v>
      </c>
      <c r="FQ302" s="324">
        <v>845570.39</v>
      </c>
      <c r="FR302" s="324">
        <v>616777.93000000005</v>
      </c>
      <c r="FS302" s="324">
        <v>930050.26</v>
      </c>
      <c r="FT302" s="324">
        <v>896586.65</v>
      </c>
      <c r="FU302" s="324">
        <v>972131.72</v>
      </c>
      <c r="FV302" s="324">
        <v>769427.2</v>
      </c>
      <c r="FW302" s="324">
        <v>991607.47714285715</v>
      </c>
      <c r="FX302" s="324">
        <v>991607.47714285715</v>
      </c>
      <c r="FY302" s="324">
        <v>991607.47714285715</v>
      </c>
      <c r="FZ302" s="324">
        <v>991607.47714285715</v>
      </c>
      <c r="GA302" s="324">
        <v>991607.47714285715</v>
      </c>
      <c r="GB302" s="324">
        <v>991607.47714285715</v>
      </c>
      <c r="GC302" s="324">
        <v>991620.63714285719</v>
      </c>
      <c r="GE302" s="426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7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7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7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4">
        <v>2250983.3333333335</v>
      </c>
      <c r="EU306" s="324">
        <v>2250983.3333333335</v>
      </c>
      <c r="EV306" s="324">
        <v>2250983.3333333335</v>
      </c>
      <c r="EW306" s="324">
        <v>2250983.3333333335</v>
      </c>
      <c r="EX306" s="324">
        <v>2250983.3333333335</v>
      </c>
      <c r="EY306" s="324">
        <v>2250983.3333333335</v>
      </c>
      <c r="EZ306" s="324">
        <v>2250983.3333333335</v>
      </c>
      <c r="FA306" s="324">
        <v>2250983.3333333335</v>
      </c>
      <c r="FB306" s="324">
        <v>2180983.3333333344</v>
      </c>
      <c r="FC306" s="324">
        <v>2180983.3333333344</v>
      </c>
      <c r="FD306" s="324">
        <v>2180983.3333333344</v>
      </c>
      <c r="FE306" s="324">
        <v>2180983.3333333344</v>
      </c>
      <c r="FF306" s="324">
        <v>2149037.4966666666</v>
      </c>
      <c r="FG306" s="324">
        <v>2320829.9566666665</v>
      </c>
      <c r="FH306" s="324">
        <v>4834564.4966666671</v>
      </c>
      <c r="FI306" s="324">
        <v>2443787.4966666666</v>
      </c>
      <c r="FJ306" s="324">
        <v>2190037.4966666666</v>
      </c>
      <c r="FK306" s="324">
        <v>1990037.4966666666</v>
      </c>
      <c r="FL306" s="324">
        <v>1956704.1566666667</v>
      </c>
      <c r="FM306" s="324">
        <v>2253357.6966666663</v>
      </c>
      <c r="FN306" s="324">
        <v>4447481.1566666672</v>
      </c>
      <c r="FO306" s="324">
        <v>2156704.1566666663</v>
      </c>
      <c r="FP306" s="324">
        <v>2056704.1966666668</v>
      </c>
      <c r="FQ306" s="324">
        <v>2015354.1966666668</v>
      </c>
      <c r="FR306" s="324">
        <v>186907.92</v>
      </c>
      <c r="FS306" s="324">
        <v>1211715.27</v>
      </c>
      <c r="FT306" s="324">
        <v>1425211.49</v>
      </c>
      <c r="FU306" s="324">
        <v>5065576.53</v>
      </c>
      <c r="FV306" s="324">
        <v>1512180.75</v>
      </c>
      <c r="FW306" s="324">
        <v>4240435.0014285715</v>
      </c>
      <c r="FX306" s="324">
        <v>4240435.0014285715</v>
      </c>
      <c r="FY306" s="324">
        <v>4240435.0014285715</v>
      </c>
      <c r="FZ306" s="324">
        <v>4240435.0014285715</v>
      </c>
      <c r="GA306" s="324">
        <v>4240435.0014285715</v>
      </c>
      <c r="GB306" s="324">
        <v>4240435.0014285715</v>
      </c>
      <c r="GC306" s="324">
        <v>4240435.0014285715</v>
      </c>
      <c r="GE306" s="426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7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7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7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4">
        <v>2581823.9339999999</v>
      </c>
      <c r="EU310" s="324">
        <v>2581823.9339999999</v>
      </c>
      <c r="EV310" s="324">
        <v>2581823.9339999999</v>
      </c>
      <c r="EW310" s="324">
        <v>2696268.3784444444</v>
      </c>
      <c r="EX310" s="324">
        <v>2696268.3784444444</v>
      </c>
      <c r="EY310" s="324">
        <v>2696268.3784444444</v>
      </c>
      <c r="EZ310" s="324">
        <v>3987180.345444445</v>
      </c>
      <c r="FA310" s="324">
        <v>3987180.345444445</v>
      </c>
      <c r="FB310" s="324">
        <v>3877323.0754444436</v>
      </c>
      <c r="FC310" s="324">
        <v>3877323.0754444436</v>
      </c>
      <c r="FD310" s="324">
        <v>3877323.0754444436</v>
      </c>
      <c r="FE310" s="324">
        <v>3877323.0754444436</v>
      </c>
      <c r="FF310" s="324">
        <v>3473855.870833334</v>
      </c>
      <c r="FG310" s="324">
        <v>4119817.790833334</v>
      </c>
      <c r="FH310" s="324">
        <v>5047234.1108333347</v>
      </c>
      <c r="FI310" s="324">
        <v>3132271.9408333339</v>
      </c>
      <c r="FJ310" s="324">
        <v>3070265.2508333339</v>
      </c>
      <c r="FK310" s="324">
        <v>3309652.560833334</v>
      </c>
      <c r="FL310" s="324">
        <v>4122049.5508333351</v>
      </c>
      <c r="FM310" s="324">
        <v>3027649.6708333334</v>
      </c>
      <c r="FN310" s="324">
        <v>2986649.6408333336</v>
      </c>
      <c r="FO310" s="324">
        <v>2977759.6208333336</v>
      </c>
      <c r="FP310" s="324">
        <v>3014504.6508333334</v>
      </c>
      <c r="FQ310" s="324">
        <v>2914612.7408333337</v>
      </c>
      <c r="FR310" s="324">
        <v>1397051.29</v>
      </c>
      <c r="FS310" s="324">
        <v>3848578.53</v>
      </c>
      <c r="FT310" s="324">
        <v>3215082.08</v>
      </c>
      <c r="FU310" s="324">
        <v>3945513.03</v>
      </c>
      <c r="FV310" s="324">
        <v>3372954.89</v>
      </c>
      <c r="FW310" s="324">
        <v>6200000</v>
      </c>
      <c r="FX310" s="324">
        <v>4599715.6983333342</v>
      </c>
      <c r="FY310" s="324">
        <v>3679772.5586666674</v>
      </c>
      <c r="FZ310" s="324">
        <v>4599715.6983333342</v>
      </c>
      <c r="GA310" s="324">
        <v>4599715.6983333342</v>
      </c>
      <c r="GB310" s="324">
        <v>4599715.6983333342</v>
      </c>
      <c r="GC310" s="324">
        <v>5519658.8379999958</v>
      </c>
      <c r="GE310" s="426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7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7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7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7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7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7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7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7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7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4">
        <v>45950724.162500009</v>
      </c>
      <c r="EU320" s="324">
        <v>45950724.162500009</v>
      </c>
      <c r="EV320" s="324">
        <v>45950724.162500009</v>
      </c>
      <c r="EW320" s="324">
        <v>45950724.162500009</v>
      </c>
      <c r="EX320" s="324">
        <v>45950724.162500009</v>
      </c>
      <c r="EY320" s="324">
        <v>45950724.162500009</v>
      </c>
      <c r="EZ320" s="324">
        <v>45950724.162500009</v>
      </c>
      <c r="FA320" s="324">
        <v>45950724.162500009</v>
      </c>
      <c r="FB320" s="324">
        <v>47831745.139999971</v>
      </c>
      <c r="FC320" s="324">
        <v>47831745.139999971</v>
      </c>
      <c r="FD320" s="324">
        <v>47831745.139999971</v>
      </c>
      <c r="FE320" s="324">
        <v>47831745.139999971</v>
      </c>
      <c r="FF320" s="324">
        <v>46204849.909999982</v>
      </c>
      <c r="FG320" s="324">
        <v>46206149.810000002</v>
      </c>
      <c r="FH320" s="324">
        <v>46206149.810000002</v>
      </c>
      <c r="FI320" s="324">
        <v>46206149.810000002</v>
      </c>
      <c r="FJ320" s="324">
        <v>46206149.810000002</v>
      </c>
      <c r="FK320" s="324">
        <v>46206149.810000002</v>
      </c>
      <c r="FL320" s="324">
        <v>46206149.810000002</v>
      </c>
      <c r="FM320" s="324">
        <v>46206149.810000002</v>
      </c>
      <c r="FN320" s="324">
        <v>46206149.810000002</v>
      </c>
      <c r="FO320" s="324">
        <v>47329512.010000005</v>
      </c>
      <c r="FP320" s="324">
        <v>47329512.010000005</v>
      </c>
      <c r="FQ320" s="324">
        <v>47329512.010000005</v>
      </c>
      <c r="FR320" s="324">
        <f>FR321+FR330+FR336+FR344+FR346</f>
        <v>43744418.239999995</v>
      </c>
      <c r="FS320" s="324">
        <f t="shared" ref="FS320:GC320" si="84">FS321+FS330+FS336+FS344+FS346</f>
        <v>46796687.629999995</v>
      </c>
      <c r="FT320" s="324">
        <f t="shared" si="84"/>
        <v>46377214.320000008</v>
      </c>
      <c r="FU320" s="324">
        <f t="shared" si="84"/>
        <v>46828214.329999998</v>
      </c>
      <c r="FV320" s="324">
        <f t="shared" si="84"/>
        <v>44861859.969999999</v>
      </c>
      <c r="FW320" s="324">
        <f t="shared" si="84"/>
        <v>49868571.824285723</v>
      </c>
      <c r="FX320" s="324">
        <f t="shared" si="84"/>
        <v>49868571.824285723</v>
      </c>
      <c r="FY320" s="324">
        <f t="shared" si="84"/>
        <v>49868571.824285723</v>
      </c>
      <c r="FZ320" s="324">
        <f t="shared" si="84"/>
        <v>49868571.824285723</v>
      </c>
      <c r="GA320" s="324">
        <f t="shared" si="84"/>
        <v>49868571.824285723</v>
      </c>
      <c r="GB320" s="324">
        <f t="shared" si="84"/>
        <v>49868571.824285723</v>
      </c>
      <c r="GC320" s="324">
        <f t="shared" si="84"/>
        <v>49868571.824285723</v>
      </c>
      <c r="GE320" s="426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4">
        <v>6651000</v>
      </c>
      <c r="EU321" s="324">
        <v>6651000</v>
      </c>
      <c r="EV321" s="324">
        <v>6651000</v>
      </c>
      <c r="EW321" s="324">
        <v>6651000</v>
      </c>
      <c r="EX321" s="324">
        <v>6651000</v>
      </c>
      <c r="EY321" s="324">
        <v>6651000</v>
      </c>
      <c r="EZ321" s="324">
        <v>6651000</v>
      </c>
      <c r="FA321" s="324">
        <v>6651000</v>
      </c>
      <c r="FB321" s="324">
        <v>7394520.9774999991</v>
      </c>
      <c r="FC321" s="324">
        <v>7394520.9774999991</v>
      </c>
      <c r="FD321" s="324">
        <v>7394520.9774999991</v>
      </c>
      <c r="FE321" s="324">
        <v>7394520.9774999991</v>
      </c>
      <c r="FF321" s="324">
        <v>6747975.0000000028</v>
      </c>
      <c r="FG321" s="324">
        <v>6749275.0000000028</v>
      </c>
      <c r="FH321" s="324">
        <v>6749275.0000000028</v>
      </c>
      <c r="FI321" s="324">
        <v>6749275.0000000028</v>
      </c>
      <c r="FJ321" s="324">
        <v>6749275.0000000028</v>
      </c>
      <c r="FK321" s="324">
        <v>6749275.0000000028</v>
      </c>
      <c r="FL321" s="324">
        <v>6749275.0000000028</v>
      </c>
      <c r="FM321" s="324">
        <v>6749275.0000000028</v>
      </c>
      <c r="FN321" s="324">
        <v>6749275.0000000028</v>
      </c>
      <c r="FO321" s="324">
        <v>6749275.0000000028</v>
      </c>
      <c r="FP321" s="324">
        <v>6749275.0000000028</v>
      </c>
      <c r="FQ321" s="324">
        <v>6749275.0000000028</v>
      </c>
      <c r="FR321" s="324">
        <v>6448137.3300000001</v>
      </c>
      <c r="FS321" s="324">
        <v>7174722.5199999996</v>
      </c>
      <c r="FT321" s="324">
        <v>6752335.3300000001</v>
      </c>
      <c r="FU321" s="324">
        <v>6378584.3399999999</v>
      </c>
      <c r="FV321" s="324">
        <v>5976072.2199999997</v>
      </c>
      <c r="FW321" s="324">
        <v>7400021.1800000006</v>
      </c>
      <c r="FX321" s="324">
        <v>7400021.1800000006</v>
      </c>
      <c r="FY321" s="324">
        <v>7400021.1800000006</v>
      </c>
      <c r="FZ321" s="324">
        <v>7400021.1800000006</v>
      </c>
      <c r="GA321" s="324">
        <v>7400021.1800000006</v>
      </c>
      <c r="GB321" s="324">
        <v>7400021.1800000006</v>
      </c>
      <c r="GC321" s="324">
        <v>7400021.1800000006</v>
      </c>
      <c r="GE321" s="426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7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7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7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7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7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7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7"/>
    </row>
    <row r="329" spans="1:187" s="350" customFormat="1" ht="30">
      <c r="A329" s="72"/>
      <c r="B329" s="72"/>
      <c r="C329" s="72"/>
      <c r="D329" s="72" t="s">
        <v>792</v>
      </c>
      <c r="E329" s="76" t="s">
        <v>719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7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4">
        <v>1699899.96</v>
      </c>
      <c r="EU330" s="324">
        <v>1699899.96</v>
      </c>
      <c r="EV330" s="324">
        <v>1699899.96</v>
      </c>
      <c r="EW330" s="324">
        <v>1699899.96</v>
      </c>
      <c r="EX330" s="324">
        <v>1699899.96</v>
      </c>
      <c r="EY330" s="324">
        <v>1699899.96</v>
      </c>
      <c r="EZ330" s="324">
        <v>1699899.96</v>
      </c>
      <c r="FA330" s="324">
        <v>1699899.96</v>
      </c>
      <c r="FB330" s="324">
        <v>924899.9599999981</v>
      </c>
      <c r="FC330" s="324">
        <v>924899.9599999981</v>
      </c>
      <c r="FD330" s="324">
        <v>924899.9599999981</v>
      </c>
      <c r="FE330" s="324">
        <v>924899.9599999981</v>
      </c>
      <c r="FF330" s="324">
        <v>1236031.8000000014</v>
      </c>
      <c r="FG330" s="324">
        <v>1236031.8699999999</v>
      </c>
      <c r="FH330" s="324">
        <v>1236031.8699999999</v>
      </c>
      <c r="FI330" s="324">
        <v>1236031.8699999999</v>
      </c>
      <c r="FJ330" s="324">
        <v>1236031.8699999999</v>
      </c>
      <c r="FK330" s="324">
        <v>1236031.8699999999</v>
      </c>
      <c r="FL330" s="324">
        <v>1236031.8699999999</v>
      </c>
      <c r="FM330" s="324">
        <v>1236031.8699999999</v>
      </c>
      <c r="FN330" s="324">
        <v>1236031.8699999999</v>
      </c>
      <c r="FO330" s="324">
        <v>2359394.0699999998</v>
      </c>
      <c r="FP330" s="324">
        <v>2359394.0699999998</v>
      </c>
      <c r="FQ330" s="324">
        <v>2359394.0699999998</v>
      </c>
      <c r="FR330" s="324">
        <v>54255.6</v>
      </c>
      <c r="FS330" s="324">
        <v>1607182</v>
      </c>
      <c r="FT330" s="324">
        <v>1602703.45</v>
      </c>
      <c r="FU330" s="324">
        <v>1448885.74</v>
      </c>
      <c r="FV330" s="324">
        <v>1413828.93</v>
      </c>
      <c r="FW330" s="324">
        <v>2033020.7142857143</v>
      </c>
      <c r="FX330" s="324">
        <v>2033020.7142857143</v>
      </c>
      <c r="FY330" s="324">
        <v>2033020.7142857143</v>
      </c>
      <c r="FZ330" s="324">
        <v>2033020.7142857143</v>
      </c>
      <c r="GA330" s="324">
        <v>2033020.7142857143</v>
      </c>
      <c r="GB330" s="324">
        <v>2033020.7142857143</v>
      </c>
      <c r="GC330" s="324">
        <v>2033020.7142857143</v>
      </c>
      <c r="GE330" s="426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7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7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7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7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7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4">
        <v>35472732.535833336</v>
      </c>
      <c r="EU336" s="324">
        <v>35472732.535833336</v>
      </c>
      <c r="EV336" s="324">
        <v>35472732.535833336</v>
      </c>
      <c r="EW336" s="324">
        <v>35472732.535833336</v>
      </c>
      <c r="EX336" s="324">
        <v>35472732.535833336</v>
      </c>
      <c r="EY336" s="324">
        <v>35472732.535833336</v>
      </c>
      <c r="EZ336" s="324">
        <v>35472732.535833336</v>
      </c>
      <c r="FA336" s="324">
        <v>35472732.535833336</v>
      </c>
      <c r="FB336" s="324">
        <v>35472732.535833336</v>
      </c>
      <c r="FC336" s="324">
        <v>35472732.535833336</v>
      </c>
      <c r="FD336" s="324">
        <v>35472732.535833336</v>
      </c>
      <c r="FE336" s="324">
        <v>35472732.535833336</v>
      </c>
      <c r="FF336" s="324">
        <v>35752084.619999975</v>
      </c>
      <c r="FG336" s="324">
        <v>35752084.530000001</v>
      </c>
      <c r="FH336" s="324">
        <v>35752084.530000001</v>
      </c>
      <c r="FI336" s="324">
        <v>35752084.530000001</v>
      </c>
      <c r="FJ336" s="324">
        <v>35752084.530000001</v>
      </c>
      <c r="FK336" s="324">
        <v>35752084.530000001</v>
      </c>
      <c r="FL336" s="324">
        <v>35752084.530000001</v>
      </c>
      <c r="FM336" s="324">
        <v>35752084.530000001</v>
      </c>
      <c r="FN336" s="324">
        <v>35752084.530000001</v>
      </c>
      <c r="FO336" s="324">
        <v>35752084.530000001</v>
      </c>
      <c r="FP336" s="324">
        <v>35752084.530000001</v>
      </c>
      <c r="FQ336" s="324">
        <v>35752084.530000001</v>
      </c>
      <c r="FR336" s="324">
        <v>34875207.159999996</v>
      </c>
      <c r="FS336" s="324">
        <v>35344644.090000004</v>
      </c>
      <c r="FT336" s="324">
        <v>35520020</v>
      </c>
      <c r="FU336" s="324">
        <v>36212765.539999999</v>
      </c>
      <c r="FV336" s="324">
        <v>35322836.950000003</v>
      </c>
      <c r="FW336" s="324">
        <v>37842845.828571431</v>
      </c>
      <c r="FX336" s="324">
        <v>37842845.828571431</v>
      </c>
      <c r="FY336" s="324">
        <v>37842845.828571431</v>
      </c>
      <c r="FZ336" s="324">
        <v>37842845.828571431</v>
      </c>
      <c r="GA336" s="324">
        <v>37842845.828571431</v>
      </c>
      <c r="GB336" s="324">
        <v>37842845.828571431</v>
      </c>
      <c r="GC336" s="324">
        <v>37842845.828571431</v>
      </c>
      <c r="GE336" s="426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7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7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7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7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7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7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7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4">
        <v>1375008.3333333333</v>
      </c>
      <c r="EU344" s="324">
        <v>1375008.3333333333</v>
      </c>
      <c r="EV344" s="324">
        <v>1375008.3333333333</v>
      </c>
      <c r="EW344" s="324">
        <v>1375008.3333333333</v>
      </c>
      <c r="EX344" s="324">
        <v>1375008.3333333333</v>
      </c>
      <c r="EY344" s="324">
        <v>1375008.3333333333</v>
      </c>
      <c r="EZ344" s="324">
        <v>1375008.3333333333</v>
      </c>
      <c r="FA344" s="324">
        <v>1375008.3333333333</v>
      </c>
      <c r="FB344" s="324">
        <v>2000008.3333333328</v>
      </c>
      <c r="FC344" s="324">
        <v>2000008.3333333328</v>
      </c>
      <c r="FD344" s="324">
        <v>2000008.3333333328</v>
      </c>
      <c r="FE344" s="324">
        <v>2000008.3333333328</v>
      </c>
      <c r="FF344" s="324">
        <v>1583341.7399999984</v>
      </c>
      <c r="FG344" s="324">
        <v>1583341.6600000001</v>
      </c>
      <c r="FH344" s="324">
        <v>1583341.6600000001</v>
      </c>
      <c r="FI344" s="324">
        <v>1583341.6600000001</v>
      </c>
      <c r="FJ344" s="324">
        <v>1583341.6600000001</v>
      </c>
      <c r="FK344" s="324">
        <v>1583341.6600000001</v>
      </c>
      <c r="FL344" s="324">
        <v>1583341.6600000001</v>
      </c>
      <c r="FM344" s="324">
        <v>1583341.6600000001</v>
      </c>
      <c r="FN344" s="324">
        <v>1583341.6600000001</v>
      </c>
      <c r="FO344" s="324">
        <v>1583341.6600000001</v>
      </c>
      <c r="FP344" s="324">
        <v>1583341.6600000001</v>
      </c>
      <c r="FQ344" s="324">
        <v>1583341.6600000001</v>
      </c>
      <c r="FR344" s="324">
        <v>1621388.9</v>
      </c>
      <c r="FS344" s="324">
        <v>1831428.58</v>
      </c>
      <c r="FT344" s="324">
        <v>1595368.45</v>
      </c>
      <c r="FU344" s="324">
        <v>2107330.88</v>
      </c>
      <c r="FV344" s="324">
        <v>1443795.73</v>
      </c>
      <c r="FW344" s="324">
        <v>1628669.78</v>
      </c>
      <c r="FX344" s="324">
        <v>1628669.78</v>
      </c>
      <c r="FY344" s="324">
        <v>1628669.78</v>
      </c>
      <c r="FZ344" s="324">
        <v>1628669.78</v>
      </c>
      <c r="GA344" s="324">
        <v>1628669.78</v>
      </c>
      <c r="GB344" s="324">
        <v>1628669.78</v>
      </c>
      <c r="GC344" s="324">
        <v>1628669.78</v>
      </c>
      <c r="GE344" s="426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7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4">
        <v>752083.33333333337</v>
      </c>
      <c r="EU346" s="324">
        <v>752083.33333333337</v>
      </c>
      <c r="EV346" s="324">
        <v>752083.33333333337</v>
      </c>
      <c r="EW346" s="324">
        <v>752083.33333333337</v>
      </c>
      <c r="EX346" s="324">
        <v>752083.33333333337</v>
      </c>
      <c r="EY346" s="324">
        <v>752083.33333333337</v>
      </c>
      <c r="EZ346" s="324">
        <v>752083.33333333337</v>
      </c>
      <c r="FA346" s="324">
        <v>752083.33333333337</v>
      </c>
      <c r="FB346" s="324">
        <v>2039583.333333334</v>
      </c>
      <c r="FC346" s="324">
        <v>2039583.333333334</v>
      </c>
      <c r="FD346" s="324">
        <v>2039583.333333334</v>
      </c>
      <c r="FE346" s="324">
        <v>2039583.333333334</v>
      </c>
      <c r="FF346" s="324">
        <v>885416.75</v>
      </c>
      <c r="FG346" s="324">
        <v>885416.75</v>
      </c>
      <c r="FH346" s="324">
        <v>885416.75</v>
      </c>
      <c r="FI346" s="324">
        <v>885416.75</v>
      </c>
      <c r="FJ346" s="324">
        <v>885416.75</v>
      </c>
      <c r="FK346" s="324">
        <v>885416.75</v>
      </c>
      <c r="FL346" s="324">
        <v>885416.75</v>
      </c>
      <c r="FM346" s="324">
        <v>885416.75</v>
      </c>
      <c r="FN346" s="324">
        <v>885416.75</v>
      </c>
      <c r="FO346" s="324">
        <v>885416.75</v>
      </c>
      <c r="FP346" s="324">
        <v>885416.75</v>
      </c>
      <c r="FQ346" s="324">
        <v>885416.75</v>
      </c>
      <c r="FR346" s="324">
        <v>745429.25</v>
      </c>
      <c r="FS346" s="324">
        <v>838710.44</v>
      </c>
      <c r="FT346" s="324">
        <v>906787.09</v>
      </c>
      <c r="FU346" s="324">
        <v>680647.83</v>
      </c>
      <c r="FV346" s="324">
        <v>705326.14</v>
      </c>
      <c r="FW346" s="324">
        <v>964014.32142857148</v>
      </c>
      <c r="FX346" s="324">
        <v>964014.32142857148</v>
      </c>
      <c r="FY346" s="324">
        <v>964014.32142857148</v>
      </c>
      <c r="FZ346" s="324">
        <v>964014.32142857148</v>
      </c>
      <c r="GA346" s="324">
        <v>964014.32142857148</v>
      </c>
      <c r="GB346" s="324">
        <v>964014.32142857148</v>
      </c>
      <c r="GC346" s="324">
        <v>964014.32142857101</v>
      </c>
      <c r="GE346" s="426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7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7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7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4">
        <v>15295211.558333334</v>
      </c>
      <c r="EU350" s="324">
        <v>15295211.558333334</v>
      </c>
      <c r="EV350" s="324">
        <v>15295211.558333334</v>
      </c>
      <c r="EW350" s="324">
        <v>18161878.224999998</v>
      </c>
      <c r="EX350" s="324">
        <v>18161878.224999998</v>
      </c>
      <c r="EY350" s="324">
        <v>18161878.224999998</v>
      </c>
      <c r="EZ350" s="324">
        <v>15295211.558333334</v>
      </c>
      <c r="FA350" s="324">
        <v>15295211.558333334</v>
      </c>
      <c r="FB350" s="324">
        <v>18930636.555833336</v>
      </c>
      <c r="FC350" s="324">
        <v>18930636.555833336</v>
      </c>
      <c r="FD350" s="324">
        <v>18930636.555833336</v>
      </c>
      <c r="FE350" s="324">
        <v>18930636.555833336</v>
      </c>
      <c r="FF350" s="324">
        <v>20338750.958333332</v>
      </c>
      <c r="FG350" s="324">
        <v>22018439.158333331</v>
      </c>
      <c r="FH350" s="324">
        <v>17975691.918333333</v>
      </c>
      <c r="FI350" s="324">
        <v>15972358.598333333</v>
      </c>
      <c r="FJ350" s="324">
        <v>15993608.598333333</v>
      </c>
      <c r="FK350" s="324">
        <v>16020602.668333333</v>
      </c>
      <c r="FL350" s="324">
        <v>22848909.595000003</v>
      </c>
      <c r="FM350" s="324">
        <v>17972208.524999999</v>
      </c>
      <c r="FN350" s="324">
        <v>17992208.524999999</v>
      </c>
      <c r="FO350" s="324">
        <v>17923875.184999999</v>
      </c>
      <c r="FP350" s="324">
        <v>17866375.204999998</v>
      </c>
      <c r="FQ350" s="324">
        <v>18024758.024999999</v>
      </c>
      <c r="FR350" s="324">
        <v>23631566.68</v>
      </c>
      <c r="FS350" s="324">
        <v>23914749.120000001</v>
      </c>
      <c r="FT350" s="324">
        <v>31910693.890000001</v>
      </c>
      <c r="FU350" s="324">
        <v>17331295.199999999</v>
      </c>
      <c r="FV350" s="324">
        <v>15552980.33</v>
      </c>
      <c r="FW350" s="324">
        <v>23483872.51285715</v>
      </c>
      <c r="FX350" s="324">
        <v>19317205.846190531</v>
      </c>
      <c r="FY350" s="324">
        <v>19317205.846190531</v>
      </c>
      <c r="FZ350" s="324">
        <v>19317205.846190531</v>
      </c>
      <c r="GA350" s="324">
        <v>44317205.846190527</v>
      </c>
      <c r="GB350" s="324">
        <v>19317205.846190531</v>
      </c>
      <c r="GC350" s="324">
        <v>19317205.846190531</v>
      </c>
      <c r="GE350" s="426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4">
        <v>14810545.166666666</v>
      </c>
      <c r="EU351" s="324">
        <v>14810545.166666666</v>
      </c>
      <c r="EV351" s="324">
        <v>14810545.166666666</v>
      </c>
      <c r="EW351" s="324">
        <v>17677211.833333332</v>
      </c>
      <c r="EX351" s="324">
        <v>17677211.833333332</v>
      </c>
      <c r="EY351" s="324">
        <v>17677211.833333332</v>
      </c>
      <c r="EZ351" s="324">
        <v>14810545.166666666</v>
      </c>
      <c r="FA351" s="324">
        <v>14810545.166666666</v>
      </c>
      <c r="FB351" s="324">
        <v>18469212.55916667</v>
      </c>
      <c r="FC351" s="324">
        <v>18469212.55916667</v>
      </c>
      <c r="FD351" s="324">
        <v>18469212.55916667</v>
      </c>
      <c r="FE351" s="324">
        <v>18469212.55916667</v>
      </c>
      <c r="FF351" s="324">
        <v>18445155.148333333</v>
      </c>
      <c r="FG351" s="324">
        <v>20224843.348333333</v>
      </c>
      <c r="FH351" s="324">
        <v>16273762.778333332</v>
      </c>
      <c r="FI351" s="324">
        <v>14270429.458333332</v>
      </c>
      <c r="FJ351" s="324">
        <v>14291679.458333332</v>
      </c>
      <c r="FK351" s="324">
        <v>14318673.528333332</v>
      </c>
      <c r="FL351" s="324">
        <v>19138771.788333334</v>
      </c>
      <c r="FM351" s="324">
        <v>14278737.378333332</v>
      </c>
      <c r="FN351" s="324">
        <v>14298737.378333332</v>
      </c>
      <c r="FO351" s="324">
        <v>14278737.378333332</v>
      </c>
      <c r="FP351" s="324">
        <v>14298737.388333332</v>
      </c>
      <c r="FQ351" s="324">
        <v>14457120.208333332</v>
      </c>
      <c r="FR351" s="324">
        <v>0</v>
      </c>
      <c r="FS351" s="324">
        <v>0</v>
      </c>
      <c r="FT351" s="324">
        <v>0</v>
      </c>
      <c r="FU351" s="324">
        <v>0</v>
      </c>
      <c r="FV351" s="324">
        <v>0</v>
      </c>
      <c r="FW351" s="324">
        <v>0</v>
      </c>
      <c r="FX351" s="324">
        <v>0</v>
      </c>
      <c r="FY351" s="324">
        <v>0</v>
      </c>
      <c r="FZ351" s="324">
        <v>0</v>
      </c>
      <c r="GA351" s="324">
        <v>0</v>
      </c>
      <c r="GB351" s="324">
        <v>0</v>
      </c>
      <c r="GC351" s="324">
        <v>0</v>
      </c>
      <c r="GE351" s="426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7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7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7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7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7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7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7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7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7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4">
        <v>484666.39166666666</v>
      </c>
      <c r="EU361" s="324">
        <v>484666.39166666666</v>
      </c>
      <c r="EV361" s="324">
        <v>484666.39166666666</v>
      </c>
      <c r="EW361" s="324">
        <v>484666.39166666666</v>
      </c>
      <c r="EX361" s="324">
        <v>484666.39166666666</v>
      </c>
      <c r="EY361" s="324">
        <v>484666.39166666666</v>
      </c>
      <c r="EZ361" s="324">
        <v>484666.39166666666</v>
      </c>
      <c r="FA361" s="324">
        <v>484666.39166666666</v>
      </c>
      <c r="FB361" s="324">
        <v>461423.99666666664</v>
      </c>
      <c r="FC361" s="324">
        <v>461423.99666666664</v>
      </c>
      <c r="FD361" s="324">
        <v>461423.99666666664</v>
      </c>
      <c r="FE361" s="324">
        <v>461423.99666666664</v>
      </c>
      <c r="FF361" s="324">
        <v>1893595.81</v>
      </c>
      <c r="FG361" s="324">
        <v>1793595.81</v>
      </c>
      <c r="FH361" s="324">
        <v>1701929.1400000001</v>
      </c>
      <c r="FI361" s="324">
        <v>1701929.1400000001</v>
      </c>
      <c r="FJ361" s="324">
        <v>1701929.1400000001</v>
      </c>
      <c r="FK361" s="324">
        <v>1701929.1400000001</v>
      </c>
      <c r="FL361" s="324">
        <v>1701929.1400000001</v>
      </c>
      <c r="FM361" s="324">
        <v>1685262.48</v>
      </c>
      <c r="FN361" s="324">
        <v>1685262.48</v>
      </c>
      <c r="FO361" s="324">
        <v>1636929.14</v>
      </c>
      <c r="FP361" s="324">
        <v>1559429.15</v>
      </c>
      <c r="FQ361" s="324">
        <v>1559429.15</v>
      </c>
      <c r="FR361" s="324">
        <v>0</v>
      </c>
      <c r="FS361" s="324">
        <v>0</v>
      </c>
      <c r="FT361" s="324">
        <v>0</v>
      </c>
      <c r="FU361" s="324">
        <v>0</v>
      </c>
      <c r="FV361" s="324">
        <v>0</v>
      </c>
      <c r="FW361" s="324">
        <v>0</v>
      </c>
      <c r="FX361" s="324">
        <v>0</v>
      </c>
      <c r="FY361" s="324">
        <v>0</v>
      </c>
      <c r="FZ361" s="324">
        <v>0</v>
      </c>
      <c r="GA361" s="324">
        <v>0</v>
      </c>
      <c r="GB361" s="324">
        <v>0</v>
      </c>
      <c r="GC361" s="324">
        <v>0</v>
      </c>
      <c r="GE361" s="426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7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7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7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7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7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7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0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4">
        <v>21472083.333333332</v>
      </c>
      <c r="EU368" s="324">
        <v>21472083.333333332</v>
      </c>
      <c r="EV368" s="324">
        <v>21472083.333333332</v>
      </c>
      <c r="EW368" s="324">
        <v>21472083.333333332</v>
      </c>
      <c r="EX368" s="324">
        <v>21472083.333333332</v>
      </c>
      <c r="EY368" s="324">
        <v>21472083.333333332</v>
      </c>
      <c r="EZ368" s="324">
        <v>26990416.666666664</v>
      </c>
      <c r="FA368" s="324">
        <v>26990416.666666664</v>
      </c>
      <c r="FB368" s="324">
        <v>26315416.666666701</v>
      </c>
      <c r="FC368" s="324">
        <v>26315416.666666701</v>
      </c>
      <c r="FD368" s="324">
        <v>26815416.670000002</v>
      </c>
      <c r="FE368" s="324">
        <v>26815416.66</v>
      </c>
      <c r="FF368" s="324">
        <v>26743749.989999995</v>
      </c>
      <c r="FG368" s="324">
        <v>26743749.989999995</v>
      </c>
      <c r="FH368" s="324">
        <v>26743749.989999995</v>
      </c>
      <c r="FI368" s="324">
        <v>26743749.989999995</v>
      </c>
      <c r="FJ368" s="324">
        <v>26743749.989999995</v>
      </c>
      <c r="FK368" s="324">
        <v>26743749.989999995</v>
      </c>
      <c r="FL368" s="324">
        <v>26743749.989999995</v>
      </c>
      <c r="FM368" s="324">
        <v>26743749.989999995</v>
      </c>
      <c r="FN368" s="324">
        <v>26743749.989999995</v>
      </c>
      <c r="FO368" s="324">
        <v>26743749.989999995</v>
      </c>
      <c r="FP368" s="324">
        <v>14243749.989999998</v>
      </c>
      <c r="FQ368" s="324">
        <v>14243750.109999999</v>
      </c>
      <c r="FR368" s="324">
        <v>4153095.62</v>
      </c>
      <c r="FS368" s="324">
        <v>8919354.2899999991</v>
      </c>
      <c r="FT368" s="324">
        <v>13085415.970000001</v>
      </c>
      <c r="FU368" s="324">
        <v>17943688.25</v>
      </c>
      <c r="FV368" s="324">
        <v>15872563.539999999</v>
      </c>
      <c r="FW368" s="324">
        <v>25000000</v>
      </c>
      <c r="FX368" s="324">
        <v>20000000</v>
      </c>
      <c r="FY368" s="324">
        <v>20000000</v>
      </c>
      <c r="FZ368" s="324">
        <v>20000000</v>
      </c>
      <c r="GA368" s="324">
        <v>17295648.326666653</v>
      </c>
      <c r="GB368" s="324">
        <v>17295648.326666653</v>
      </c>
      <c r="GC368" s="324">
        <v>17295648.326666653</v>
      </c>
      <c r="GE368" s="426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7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7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7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7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7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7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7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4">
        <v>70000000</v>
      </c>
      <c r="FF376" s="348">
        <v>26666.67</v>
      </c>
      <c r="FG376" s="348">
        <v>26666.67</v>
      </c>
      <c r="FH376" s="348">
        <v>26666.67</v>
      </c>
      <c r="FI376" s="348">
        <v>39926666.670000002</v>
      </c>
      <c r="FJ376" s="348">
        <v>26666.67</v>
      </c>
      <c r="FK376" s="348">
        <v>26666.67</v>
      </c>
      <c r="FL376" s="348">
        <v>26666.67</v>
      </c>
      <c r="FM376" s="348">
        <v>26666.67</v>
      </c>
      <c r="FN376" s="348">
        <v>26666.67</v>
      </c>
      <c r="FO376" s="348">
        <v>26666.67</v>
      </c>
      <c r="FP376" s="348">
        <v>26666.67</v>
      </c>
      <c r="FQ376" s="348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7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7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4">
        <v>239583.41666666666</v>
      </c>
      <c r="EU378" s="324">
        <v>239583.41666666666</v>
      </c>
      <c r="EV378" s="324">
        <v>239583.41666666666</v>
      </c>
      <c r="EW378" s="324">
        <v>239583.41666666666</v>
      </c>
      <c r="EX378" s="324">
        <v>239583.41666666666</v>
      </c>
      <c r="EY378" s="324">
        <v>239583.41666666666</v>
      </c>
      <c r="EZ378" s="324">
        <v>239583.41666666666</v>
      </c>
      <c r="FA378" s="324">
        <v>239583.41666666666</v>
      </c>
      <c r="FB378" s="324">
        <v>239583.41666666666</v>
      </c>
      <c r="FC378" s="324">
        <v>239583.41666666666</v>
      </c>
      <c r="FD378" s="324">
        <v>239583.41666666666</v>
      </c>
      <c r="FE378" s="324">
        <v>239583.41666666666</v>
      </c>
      <c r="FF378" s="324">
        <v>190000.08333333334</v>
      </c>
      <c r="FG378" s="324">
        <v>190000.08333333334</v>
      </c>
      <c r="FH378" s="324">
        <v>190000.08333333334</v>
      </c>
      <c r="FI378" s="324">
        <v>190000.08333333334</v>
      </c>
      <c r="FJ378" s="324">
        <v>190000.08333333334</v>
      </c>
      <c r="FK378" s="324">
        <v>190000.08333333334</v>
      </c>
      <c r="FL378" s="324">
        <v>190000.08333333334</v>
      </c>
      <c r="FM378" s="324">
        <v>190000.08333333334</v>
      </c>
      <c r="FN378" s="324">
        <v>190000.08333333334</v>
      </c>
      <c r="FO378" s="324">
        <v>190000.08333333334</v>
      </c>
      <c r="FP378" s="324">
        <v>190000.08333333334</v>
      </c>
      <c r="FQ378" s="324">
        <v>190000.08333333334</v>
      </c>
      <c r="FR378" s="324">
        <v>0</v>
      </c>
      <c r="FS378" s="324">
        <v>277634</v>
      </c>
      <c r="FT378" s="324">
        <v>0</v>
      </c>
      <c r="FU378" s="324">
        <v>268014</v>
      </c>
      <c r="FV378" s="324">
        <v>5000</v>
      </c>
      <c r="FW378" s="324">
        <v>147050.57142857142</v>
      </c>
      <c r="FX378" s="324">
        <v>147050.57142857142</v>
      </c>
      <c r="FY378" s="324">
        <v>147050.57142857142</v>
      </c>
      <c r="FZ378" s="324">
        <v>147050.57142857142</v>
      </c>
      <c r="GA378" s="324">
        <v>147050.57142857142</v>
      </c>
      <c r="GB378" s="324">
        <v>147050.57142857142</v>
      </c>
      <c r="GC378" s="324">
        <v>147050.57142857142</v>
      </c>
      <c r="GE378" s="426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2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7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7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7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7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7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5">
        <f>DV386+DV389+DV392</f>
        <v>32768615.2925</v>
      </c>
      <c r="DW385" s="315">
        <f t="shared" ref="DW385:ES385" si="119">DW386+DW389+DW392</f>
        <v>32768615.2925</v>
      </c>
      <c r="DX385" s="315">
        <f t="shared" si="119"/>
        <v>32768615.2925</v>
      </c>
      <c r="DY385" s="315">
        <f t="shared" si="119"/>
        <v>32768615.2925</v>
      </c>
      <c r="DZ385" s="315">
        <f t="shared" si="119"/>
        <v>32768615.2925</v>
      </c>
      <c r="EA385" s="315">
        <f t="shared" si="119"/>
        <v>32768615.2925</v>
      </c>
      <c r="EB385" s="315">
        <f t="shared" si="119"/>
        <v>32768615.2925</v>
      </c>
      <c r="EC385" s="315">
        <f t="shared" si="119"/>
        <v>32768615.2925</v>
      </c>
      <c r="ED385" s="315">
        <f t="shared" si="119"/>
        <v>32768615.2925</v>
      </c>
      <c r="EE385" s="315">
        <f t="shared" si="119"/>
        <v>32768615.2925</v>
      </c>
      <c r="EF385" s="315">
        <f t="shared" si="119"/>
        <v>32768615.2925</v>
      </c>
      <c r="EG385" s="315">
        <f t="shared" si="119"/>
        <v>32768615.2925</v>
      </c>
      <c r="EH385" s="315">
        <f t="shared" si="119"/>
        <v>4617467.5633333325</v>
      </c>
      <c r="EI385" s="315">
        <f t="shared" si="119"/>
        <v>5248180.4533333331</v>
      </c>
      <c r="EJ385" s="315">
        <f t="shared" si="119"/>
        <v>18465645.143333334</v>
      </c>
      <c r="EK385" s="315">
        <f t="shared" si="119"/>
        <v>67460865.603333324</v>
      </c>
      <c r="EL385" s="315">
        <f t="shared" si="119"/>
        <v>10247541.783333333</v>
      </c>
      <c r="EM385" s="315">
        <f t="shared" si="119"/>
        <v>16046343.563333331</v>
      </c>
      <c r="EN385" s="315">
        <f t="shared" si="119"/>
        <v>23103608.363333337</v>
      </c>
      <c r="EO385" s="315">
        <f t="shared" si="119"/>
        <v>16877006.883333333</v>
      </c>
      <c r="EP385" s="315">
        <f t="shared" si="119"/>
        <v>17318908.093333334</v>
      </c>
      <c r="EQ385" s="315">
        <f t="shared" si="119"/>
        <v>9686739.4033333324</v>
      </c>
      <c r="ER385" s="315">
        <f t="shared" si="119"/>
        <v>11714826.133333333</v>
      </c>
      <c r="ES385" s="315">
        <f t="shared" si="119"/>
        <v>19628370.163333334</v>
      </c>
      <c r="FF385" s="324">
        <v>1718363.6600000001</v>
      </c>
      <c r="FG385" s="324">
        <v>3362692.9499999997</v>
      </c>
      <c r="FH385" s="324">
        <v>17620925.690000001</v>
      </c>
      <c r="FI385" s="324">
        <v>21217195.289999999</v>
      </c>
      <c r="FJ385" s="324">
        <v>181489557.88</v>
      </c>
      <c r="FK385" s="324">
        <v>16844785.800000001</v>
      </c>
      <c r="FL385" s="324">
        <v>61721044.270000003</v>
      </c>
      <c r="FM385" s="324">
        <v>13754741.09</v>
      </c>
      <c r="FN385" s="324">
        <v>17831317.309999999</v>
      </c>
      <c r="FO385" s="324">
        <v>6151156.2299999995</v>
      </c>
      <c r="FP385" s="324">
        <v>10176505.869999999</v>
      </c>
      <c r="FQ385" s="324">
        <v>21711713.960000001</v>
      </c>
      <c r="FR385" s="324">
        <v>1725839.0999999999</v>
      </c>
      <c r="FS385" s="324">
        <v>3305317.26</v>
      </c>
      <c r="FT385" s="324">
        <v>339468444.25999999</v>
      </c>
      <c r="FU385" s="324">
        <v>17477408.559999999</v>
      </c>
      <c r="FV385" s="324">
        <v>15441444.539999999</v>
      </c>
      <c r="FW385" s="324">
        <v>12046825.949999999</v>
      </c>
      <c r="FX385" s="324">
        <v>11726652.870000001</v>
      </c>
      <c r="FY385" s="324">
        <v>8624889.1799999997</v>
      </c>
      <c r="FZ385" s="324">
        <v>18011093.800000001</v>
      </c>
      <c r="GA385" s="324">
        <v>9855652.5999999996</v>
      </c>
      <c r="GB385" s="324">
        <v>89792355.439999998</v>
      </c>
      <c r="GC385" s="324">
        <v>12114076.439999999</v>
      </c>
      <c r="GE385" s="426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4">
        <v>1718363.6600000001</v>
      </c>
      <c r="FG386" s="324">
        <v>3362692.9499999997</v>
      </c>
      <c r="FH386" s="324">
        <v>17620925.690000001</v>
      </c>
      <c r="FI386" s="324">
        <v>21217195.289999999</v>
      </c>
      <c r="FJ386" s="324">
        <v>181489557.88</v>
      </c>
      <c r="FK386" s="324">
        <v>16844785.800000001</v>
      </c>
      <c r="FL386" s="324">
        <v>61721044.270000003</v>
      </c>
      <c r="FM386" s="324">
        <v>13754741.09</v>
      </c>
      <c r="FN386" s="324">
        <v>17831317.309999999</v>
      </c>
      <c r="FO386" s="324">
        <v>6151156.2299999995</v>
      </c>
      <c r="FP386" s="324">
        <v>10176505.869999999</v>
      </c>
      <c r="FQ386" s="324">
        <v>21711713.960000001</v>
      </c>
      <c r="FR386" s="324">
        <v>1725839.0999999999</v>
      </c>
      <c r="FS386" s="324">
        <v>3305317.26</v>
      </c>
      <c r="FT386" s="324">
        <v>339468444.25999999</v>
      </c>
      <c r="FU386" s="324">
        <v>17477408.559999999</v>
      </c>
      <c r="FV386" s="324">
        <v>15441444.539999999</v>
      </c>
      <c r="FW386" s="324">
        <v>12046825.949999999</v>
      </c>
      <c r="FX386" s="324">
        <v>11726652.870000001</v>
      </c>
      <c r="FY386" s="324">
        <v>8624889.1799999997</v>
      </c>
      <c r="FZ386" s="324">
        <v>18011093.800000001</v>
      </c>
      <c r="GA386" s="324">
        <v>9855652.5999999996</v>
      </c>
      <c r="GB386" s="324">
        <v>89792355.439999998</v>
      </c>
      <c r="GC386" s="324">
        <v>12114076.439999999</v>
      </c>
      <c r="GE386" s="426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7">
        <v>1983333.3333333333</v>
      </c>
      <c r="CS387" s="327">
        <v>1983333.3333333333</v>
      </c>
      <c r="CT387" s="327">
        <v>1983333.3333333333</v>
      </c>
      <c r="CU387" s="327">
        <v>1983333.3333333333</v>
      </c>
      <c r="CV387" s="327">
        <v>1983333.3333333333</v>
      </c>
      <c r="CW387" s="328">
        <v>1983333.3333333333</v>
      </c>
      <c r="CX387" s="329">
        <v>2500695.4391666665</v>
      </c>
      <c r="CY387" s="330">
        <v>2500695.4391666665</v>
      </c>
      <c r="CZ387" s="330">
        <v>2500695.4391666665</v>
      </c>
      <c r="DA387" s="330">
        <v>2500695.4391666665</v>
      </c>
      <c r="DB387" s="330">
        <v>2500695.4391666665</v>
      </c>
      <c r="DC387" s="330">
        <v>2500695.4391666665</v>
      </c>
      <c r="DD387" s="330">
        <v>2500695.4391666665</v>
      </c>
      <c r="DE387" s="330">
        <v>2500695.4391666665</v>
      </c>
      <c r="DF387" s="330">
        <v>2500695.4391666665</v>
      </c>
      <c r="DG387" s="330">
        <v>2500695.4391666665</v>
      </c>
      <c r="DH387" s="330">
        <v>2500695.4391666665</v>
      </c>
      <c r="DI387" s="331">
        <v>2500695.4391666665</v>
      </c>
      <c r="DJ387" s="332">
        <v>3892510.16</v>
      </c>
      <c r="DK387" s="327">
        <v>3892510.16</v>
      </c>
      <c r="DL387" s="327">
        <v>3892510.16</v>
      </c>
      <c r="DM387" s="327">
        <v>3892510.16</v>
      </c>
      <c r="DN387" s="327">
        <v>3892510.16</v>
      </c>
      <c r="DO387" s="327">
        <v>3892510.16</v>
      </c>
      <c r="DP387" s="327">
        <v>3892510.16</v>
      </c>
      <c r="DQ387" s="327">
        <v>3892510.16</v>
      </c>
      <c r="DR387" s="327">
        <v>3892510.16</v>
      </c>
      <c r="DS387" s="327">
        <v>3892510.16</v>
      </c>
      <c r="DT387" s="327">
        <v>3892510.16</v>
      </c>
      <c r="DU387" s="328">
        <v>3892510.16</v>
      </c>
      <c r="DV387" s="333">
        <v>3722931.8866666667</v>
      </c>
      <c r="DW387" s="333">
        <v>3722931.8866666667</v>
      </c>
      <c r="DX387" s="333">
        <v>3722931.8866666667</v>
      </c>
      <c r="DY387" s="333">
        <v>3722931.8866666667</v>
      </c>
      <c r="DZ387" s="333">
        <v>3722931.8866666667</v>
      </c>
      <c r="EA387" s="333">
        <v>3722931.8866666667</v>
      </c>
      <c r="EB387" s="333">
        <v>3722931.8866666667</v>
      </c>
      <c r="EC387" s="333">
        <v>3722931.8866666667</v>
      </c>
      <c r="ED387" s="333">
        <v>3722931.8866666667</v>
      </c>
      <c r="EE387" s="333">
        <v>3722931.8866666667</v>
      </c>
      <c r="EF387" s="333">
        <v>3722931.8866666667</v>
      </c>
      <c r="EG387" s="333">
        <v>3722931.8866666667</v>
      </c>
      <c r="EH387" s="333">
        <v>174340.51</v>
      </c>
      <c r="EI387" s="333">
        <v>177326.85</v>
      </c>
      <c r="EJ387" s="333">
        <v>7687779.1100000003</v>
      </c>
      <c r="EK387" s="333">
        <v>191127.48</v>
      </c>
      <c r="EL387" s="333">
        <v>949797.77</v>
      </c>
      <c r="EM387" s="333">
        <v>2019268.13</v>
      </c>
      <c r="EN387" s="333">
        <v>10660481.32</v>
      </c>
      <c r="EO387" s="333">
        <v>11526152.189999999</v>
      </c>
      <c r="EP387" s="333">
        <v>10016017.119999999</v>
      </c>
      <c r="EQ387" s="333">
        <v>1834828.67</v>
      </c>
      <c r="ER387" s="333">
        <v>2345417.37</v>
      </c>
      <c r="ES387" s="333">
        <v>4329305.63</v>
      </c>
      <c r="ET387" s="342">
        <v>116701.86</v>
      </c>
      <c r="EU387" s="343">
        <v>867332.36</v>
      </c>
      <c r="EV387" s="343">
        <v>7801367.0199999996</v>
      </c>
      <c r="EW387" s="343">
        <v>4481623.79</v>
      </c>
      <c r="EX387" s="343">
        <v>2831467.37</v>
      </c>
      <c r="EY387" s="343">
        <v>7170000.0800000001</v>
      </c>
      <c r="EZ387" s="343">
        <v>82322.3</v>
      </c>
      <c r="FA387" s="343">
        <v>10832753.109999999</v>
      </c>
      <c r="FB387" s="343">
        <v>1958366.01</v>
      </c>
      <c r="FC387" s="343">
        <v>1510132.11</v>
      </c>
      <c r="FD387" s="343">
        <v>834059.15</v>
      </c>
      <c r="FE387" s="343">
        <v>12202154.65</v>
      </c>
      <c r="FF387" s="348">
        <v>84944.84</v>
      </c>
      <c r="FG387" s="348">
        <v>835385.84</v>
      </c>
      <c r="FH387" s="348">
        <v>1812259.88</v>
      </c>
      <c r="FI387" s="348">
        <v>4541832.53</v>
      </c>
      <c r="FJ387" s="348">
        <v>2836722.65</v>
      </c>
      <c r="FK387" s="348">
        <v>7054086.1200000001</v>
      </c>
      <c r="FL387" s="348">
        <v>87625.45</v>
      </c>
      <c r="FM387" s="348">
        <v>10838080.380000001</v>
      </c>
      <c r="FN387" s="348">
        <v>1831359.63</v>
      </c>
      <c r="FO387" s="348">
        <v>1571862.21</v>
      </c>
      <c r="FP387" s="348">
        <v>839459.36</v>
      </c>
      <c r="FQ387" s="348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7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2">
        <v>2071825.5645770216</v>
      </c>
      <c r="EU388" s="343">
        <v>2862393.2253735214</v>
      </c>
      <c r="EV388" s="343">
        <v>12467636.918240691</v>
      </c>
      <c r="EW388" s="343">
        <v>17326274.372907523</v>
      </c>
      <c r="EX388" s="343">
        <v>15150457.606090657</v>
      </c>
      <c r="EY388" s="343">
        <v>8947929.7645770218</v>
      </c>
      <c r="EZ388" s="343">
        <v>2071825.5545770216</v>
      </c>
      <c r="FA388" s="343">
        <v>2989936.9753735219</v>
      </c>
      <c r="FB388" s="343">
        <v>16625761.232895471</v>
      </c>
      <c r="FC388" s="343">
        <v>4165314.0029075216</v>
      </c>
      <c r="FD388" s="343">
        <v>6972714.957903021</v>
      </c>
      <c r="FE388" s="343">
        <v>369847929.82457697</v>
      </c>
      <c r="FF388" s="348">
        <v>1633418.82</v>
      </c>
      <c r="FG388" s="348">
        <v>2527307.11</v>
      </c>
      <c r="FH388" s="348">
        <v>15808665.810000001</v>
      </c>
      <c r="FI388" s="348">
        <v>16675362.76</v>
      </c>
      <c r="FJ388" s="348">
        <v>178652835.22999999</v>
      </c>
      <c r="FK388" s="348">
        <v>9790699.6799999997</v>
      </c>
      <c r="FL388" s="348">
        <v>61633418.82</v>
      </c>
      <c r="FM388" s="348">
        <v>2916660.71</v>
      </c>
      <c r="FN388" s="348">
        <v>15999957.68</v>
      </c>
      <c r="FO388" s="348">
        <v>4579294.0199999996</v>
      </c>
      <c r="FP388" s="348">
        <v>9337046.5099999998</v>
      </c>
      <c r="FQ388" s="348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7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4">
        <v>0</v>
      </c>
      <c r="FS389" s="324">
        <v>0</v>
      </c>
      <c r="FT389" s="324">
        <v>0</v>
      </c>
      <c r="FU389" s="324">
        <v>0</v>
      </c>
      <c r="FV389" s="324">
        <v>0</v>
      </c>
      <c r="FW389" s="324">
        <v>0</v>
      </c>
      <c r="FX389" s="324">
        <v>0</v>
      </c>
      <c r="FY389" s="324">
        <v>0</v>
      </c>
      <c r="FZ389" s="324">
        <v>0</v>
      </c>
      <c r="GA389" s="324">
        <v>0</v>
      </c>
      <c r="GB389" s="324">
        <v>0</v>
      </c>
      <c r="GC389" s="324">
        <v>0</v>
      </c>
      <c r="GE389" s="426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7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7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4">
        <v>2681427.6666666665</v>
      </c>
      <c r="CS392" s="324">
        <v>2681427.6666666665</v>
      </c>
      <c r="CT392" s="324">
        <v>2681427.6666666665</v>
      </c>
      <c r="CU392" s="324">
        <v>2681427.6666666665</v>
      </c>
      <c r="CV392" s="324">
        <v>2681427.6666666665</v>
      </c>
      <c r="CW392" s="324">
        <v>2681427.6666666665</v>
      </c>
      <c r="CX392" s="324">
        <v>2778179.9974999996</v>
      </c>
      <c r="CY392" s="324">
        <v>2778179.9974999996</v>
      </c>
      <c r="CZ392" s="324">
        <v>2778179.9974999996</v>
      </c>
      <c r="DA392" s="324">
        <v>2778179.9974999996</v>
      </c>
      <c r="DB392" s="324">
        <v>2778179.9974999996</v>
      </c>
      <c r="DC392" s="324">
        <v>2778179.9974999996</v>
      </c>
      <c r="DD392" s="324">
        <v>2778179.9974999996</v>
      </c>
      <c r="DE392" s="324">
        <v>2778179.9974999996</v>
      </c>
      <c r="DF392" s="324">
        <v>2778179.9974999996</v>
      </c>
      <c r="DG392" s="324">
        <v>2778179.9974999996</v>
      </c>
      <c r="DH392" s="324">
        <v>2778179.9974999996</v>
      </c>
      <c r="DI392" s="324">
        <v>2778179.9974999996</v>
      </c>
      <c r="DJ392" s="324">
        <v>2817590</v>
      </c>
      <c r="DK392" s="324">
        <v>2817590</v>
      </c>
      <c r="DL392" s="324">
        <v>2817590</v>
      </c>
      <c r="DM392" s="324">
        <v>2817590</v>
      </c>
      <c r="DN392" s="324">
        <v>2817590</v>
      </c>
      <c r="DO392" s="324">
        <v>2817590</v>
      </c>
      <c r="DP392" s="324">
        <v>2817590</v>
      </c>
      <c r="DQ392" s="324">
        <v>2817590</v>
      </c>
      <c r="DR392" s="324">
        <v>2817590</v>
      </c>
      <c r="DS392" s="324">
        <v>2817590</v>
      </c>
      <c r="DT392" s="324">
        <v>2817590</v>
      </c>
      <c r="DU392" s="324">
        <v>2817590</v>
      </c>
      <c r="DV392" s="324">
        <v>3281229.6141666663</v>
      </c>
      <c r="DW392" s="324">
        <v>3281229.6141666663</v>
      </c>
      <c r="DX392" s="324">
        <v>3281229.6141666663</v>
      </c>
      <c r="DY392" s="324">
        <v>3281229.6141666663</v>
      </c>
      <c r="DZ392" s="324">
        <v>3281229.6141666663</v>
      </c>
      <c r="EA392" s="324">
        <v>3281229.6141666663</v>
      </c>
      <c r="EB392" s="324">
        <v>3281229.6141666663</v>
      </c>
      <c r="EC392" s="324">
        <v>3281229.6141666663</v>
      </c>
      <c r="ED392" s="324">
        <v>3281229.6141666663</v>
      </c>
      <c r="EE392" s="324">
        <v>3281229.6141666663</v>
      </c>
      <c r="EF392" s="324">
        <v>3281229.6141666663</v>
      </c>
      <c r="EG392" s="324">
        <v>3281229.6141666663</v>
      </c>
      <c r="EH392" s="324">
        <v>2809708.2333333329</v>
      </c>
      <c r="EI392" s="324">
        <v>2809708.2333333329</v>
      </c>
      <c r="EJ392" s="324">
        <v>2809708.2333333329</v>
      </c>
      <c r="EK392" s="324">
        <v>2809708.2333333329</v>
      </c>
      <c r="EL392" s="324">
        <v>2809708.2333333329</v>
      </c>
      <c r="EM392" s="324">
        <v>2809708.2333333329</v>
      </c>
      <c r="EN392" s="324">
        <v>2809708.2333333329</v>
      </c>
      <c r="EO392" s="324">
        <v>2809708.2333333329</v>
      </c>
      <c r="EP392" s="324">
        <v>2809708.2333333329</v>
      </c>
      <c r="EQ392" s="324">
        <v>2809708.2333333329</v>
      </c>
      <c r="ER392" s="324">
        <v>2809708.2333333329</v>
      </c>
      <c r="ES392" s="324">
        <v>2809708.2333333329</v>
      </c>
      <c r="ET392" s="324">
        <v>1807457.9166666667</v>
      </c>
      <c r="EU392" s="324">
        <v>1882457.9166666667</v>
      </c>
      <c r="EV392" s="324">
        <v>1937457.9166666667</v>
      </c>
      <c r="EW392" s="324">
        <v>1912457.9166666667</v>
      </c>
      <c r="EX392" s="324">
        <v>1967457.9166666667</v>
      </c>
      <c r="EY392" s="324">
        <v>1907457.9166666667</v>
      </c>
      <c r="EZ392" s="324">
        <v>3852457.9166666665</v>
      </c>
      <c r="FA392" s="324">
        <v>3337457.9166666665</v>
      </c>
      <c r="FB392" s="324">
        <v>2702457.9166666698</v>
      </c>
      <c r="FC392" s="324">
        <v>2797457.9166666698</v>
      </c>
      <c r="FD392" s="324">
        <v>2792457.9166666698</v>
      </c>
      <c r="FE392" s="324">
        <v>3347457.9166666698</v>
      </c>
      <c r="FF392" s="324">
        <v>1281814.4500000002</v>
      </c>
      <c r="FG392" s="324">
        <v>1266814.4500000002</v>
      </c>
      <c r="FH392" s="324">
        <v>1451704.4</v>
      </c>
      <c r="FI392" s="324">
        <v>1544149.3599999999</v>
      </c>
      <c r="FJ392" s="324">
        <v>1677270.12</v>
      </c>
      <c r="FK392" s="324">
        <v>1669874.52</v>
      </c>
      <c r="FL392" s="324">
        <v>1839973.2600000002</v>
      </c>
      <c r="FM392" s="324">
        <v>1832577.67</v>
      </c>
      <c r="FN392" s="324">
        <v>1610709.73</v>
      </c>
      <c r="FO392" s="324">
        <v>1374050.6099999999</v>
      </c>
      <c r="FP392" s="324">
        <v>1448006.5899999999</v>
      </c>
      <c r="FQ392" s="324">
        <v>1533053.84</v>
      </c>
      <c r="FR392" s="349">
        <v>1234088.2</v>
      </c>
      <c r="FS392" s="349">
        <v>1922034.51</v>
      </c>
      <c r="FT392" s="349">
        <v>1368605.81</v>
      </c>
      <c r="FU392" s="349">
        <v>1039845.76</v>
      </c>
      <c r="FV392" s="349">
        <v>1116425.95</v>
      </c>
      <c r="FW392" s="349">
        <v>1374921.7142857143</v>
      </c>
      <c r="FX392" s="349">
        <v>1374921.7142857143</v>
      </c>
      <c r="FY392" s="349">
        <v>1374921.7142857143</v>
      </c>
      <c r="FZ392" s="349">
        <v>1374921.7142857143</v>
      </c>
      <c r="GA392" s="349">
        <v>1374921.7142857143</v>
      </c>
      <c r="GB392" s="349">
        <v>1374921.7142857143</v>
      </c>
      <c r="GC392" s="349">
        <v>1374921.7142857143</v>
      </c>
      <c r="GE392" s="426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4">
        <v>830846.24800000002</v>
      </c>
      <c r="EU393" s="324">
        <v>830846.24800000002</v>
      </c>
      <c r="EV393" s="324">
        <v>830846.24800000002</v>
      </c>
      <c r="EW393" s="324">
        <v>949846.13199999998</v>
      </c>
      <c r="EX393" s="324">
        <v>1306845.784</v>
      </c>
      <c r="EY393" s="324">
        <v>830846.24800000002</v>
      </c>
      <c r="EZ393" s="324">
        <v>1246269.3720000002</v>
      </c>
      <c r="FA393" s="324">
        <v>1246269.3720000002</v>
      </c>
      <c r="FB393" s="324">
        <v>5393218.1470000008</v>
      </c>
      <c r="FC393" s="324">
        <v>5393218.1470000008</v>
      </c>
      <c r="FD393" s="324">
        <v>5393218.1470000008</v>
      </c>
      <c r="FE393" s="324">
        <v>5393218.1470000008</v>
      </c>
      <c r="FF393" s="324">
        <v>1650583.3333333333</v>
      </c>
      <c r="FG393" s="324">
        <v>1843583.3333333333</v>
      </c>
      <c r="FH393" s="324">
        <v>1650583.3333333333</v>
      </c>
      <c r="FI393" s="324">
        <v>1650583.3333333333</v>
      </c>
      <c r="FJ393" s="324">
        <v>1650583.3333333333</v>
      </c>
      <c r="FK393" s="324">
        <v>1650583.3333333333</v>
      </c>
      <c r="FL393" s="324">
        <v>4650583.3333333302</v>
      </c>
      <c r="FM393" s="324">
        <v>1650583.3333333333</v>
      </c>
      <c r="FN393" s="324">
        <v>1650583.3333333333</v>
      </c>
      <c r="FO393" s="324">
        <v>2317250</v>
      </c>
      <c r="FP393" s="324">
        <v>2317250</v>
      </c>
      <c r="FQ393" s="324">
        <v>2317250</v>
      </c>
      <c r="FR393" s="324">
        <v>1941194</v>
      </c>
      <c r="FS393" s="324">
        <v>720000</v>
      </c>
      <c r="FT393" s="324">
        <v>117020</v>
      </c>
      <c r="FU393" s="324">
        <v>3138464.05</v>
      </c>
      <c r="FV393" s="324">
        <v>16941995.850000001</v>
      </c>
      <c r="FW393" s="324">
        <v>19000000</v>
      </c>
      <c r="FX393" s="324">
        <v>13000000</v>
      </c>
      <c r="FY393" s="324">
        <v>13000000</v>
      </c>
      <c r="FZ393" s="324">
        <v>13000000</v>
      </c>
      <c r="GA393" s="324">
        <v>38000000</v>
      </c>
      <c r="GB393" s="324">
        <v>7385913.0500000007</v>
      </c>
      <c r="GC393" s="324">
        <v>7385913.0500000007</v>
      </c>
      <c r="GE393" s="426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4">
        <v>830846.24800000002</v>
      </c>
      <c r="EU394" s="324">
        <v>830846.24800000002</v>
      </c>
      <c r="EV394" s="324">
        <v>830846.24800000002</v>
      </c>
      <c r="EW394" s="324">
        <v>830846.24800000002</v>
      </c>
      <c r="EX394" s="324">
        <v>830846.24800000002</v>
      </c>
      <c r="EY394" s="324">
        <v>830846.24800000002</v>
      </c>
      <c r="EZ394" s="324">
        <v>1246269.3720000002</v>
      </c>
      <c r="FA394" s="324">
        <v>1246269.3720000002</v>
      </c>
      <c r="FB394" s="324">
        <v>2223304.53675</v>
      </c>
      <c r="FC394" s="324">
        <v>3116522.6837499999</v>
      </c>
      <c r="FD394" s="324">
        <v>8116522.6837499999</v>
      </c>
      <c r="FE394" s="324">
        <v>8116522.6837499999</v>
      </c>
      <c r="FF394" s="348">
        <v>1650583.3333333333</v>
      </c>
      <c r="FG394" s="348">
        <v>1843583.3333333333</v>
      </c>
      <c r="FH394" s="348">
        <v>1650583.3333333333</v>
      </c>
      <c r="FI394" s="348">
        <v>1650583.3333333333</v>
      </c>
      <c r="FJ394" s="348">
        <v>1650583.3333333333</v>
      </c>
      <c r="FK394" s="348">
        <v>1650583.3333333333</v>
      </c>
      <c r="FL394" s="348">
        <f>1650583.33333333+3000000</f>
        <v>4650583.3333333302</v>
      </c>
      <c r="FM394" s="348">
        <v>1650583.3333333333</v>
      </c>
      <c r="FN394" s="348">
        <v>1650583.3333333333</v>
      </c>
      <c r="FO394" s="348">
        <f>3317250-1000000</f>
        <v>2317250</v>
      </c>
      <c r="FP394" s="348">
        <f>3317250-1000000</f>
        <v>2317250</v>
      </c>
      <c r="FQ394" s="348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7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4">
        <v>0</v>
      </c>
      <c r="EU395" s="324">
        <v>0</v>
      </c>
      <c r="EV395" s="324">
        <v>0</v>
      </c>
      <c r="EW395" s="324">
        <v>118999.88400000001</v>
      </c>
      <c r="EX395" s="324">
        <v>475999.53600000002</v>
      </c>
      <c r="EY395" s="324">
        <v>0</v>
      </c>
      <c r="EZ395" s="324">
        <v>0</v>
      </c>
      <c r="FA395" s="324">
        <v>0</v>
      </c>
      <c r="FB395" s="324">
        <v>0</v>
      </c>
      <c r="FC395" s="324">
        <v>0</v>
      </c>
      <c r="FD395" s="324">
        <v>0</v>
      </c>
      <c r="FE395" s="324">
        <v>0</v>
      </c>
      <c r="FF395" s="348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7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7"/>
    </row>
    <row r="397" spans="1:187">
      <c r="D397" s="72">
        <v>1005</v>
      </c>
      <c r="E397" s="76" t="s">
        <v>685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6"/>
      <c r="GE399" s="428"/>
    </row>
    <row r="400" spans="1:187">
      <c r="GE400" s="431"/>
    </row>
    <row r="401" spans="187:187">
      <c r="GE401" s="428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Analitika - 2014</vt:lpstr>
      <vt:lpstr>Pregled</vt:lpstr>
      <vt:lpstr>Analitika 2022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Ministastvo finansija</cp:lastModifiedBy>
  <cp:lastPrinted>2022-05-24T15:31:53Z</cp:lastPrinted>
  <dcterms:created xsi:type="dcterms:W3CDTF">2014-09-15T13:41:17Z</dcterms:created>
  <dcterms:modified xsi:type="dcterms:W3CDTF">2022-05-25T06:33:52Z</dcterms:modified>
</cp:coreProperties>
</file>