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JUN 2025\"/>
    </mc:Choice>
  </mc:AlternateContent>
  <xr:revisionPtr revIDLastSave="0" documentId="13_ncr:1_{C588D270-99C4-4EC2-97A2-1719149066ED}" xr6:coauthVersionLast="36" xr6:coauthVersionMax="36" xr10:uidLastSave="{00000000-0000-0000-0000-000000000000}"/>
  <workbookProtection workbookAlgorithmName="SHA-512" workbookHashValue="wanEm7bkssbOOZ/6B/e7IHi2blku7X0O31wwiYVUBwRz+24zG+oqmgUHm8zIlZjbEFIlgTPD2d3kJNs1hr4ggg==" workbookSaltValue="rtL4AXMXnpll/zTd55ZNZA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91029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31" i="28" l="1"/>
  <c r="Q131" i="28"/>
  <c r="P131" i="28"/>
  <c r="O131" i="28"/>
  <c r="N131" i="28"/>
  <c r="M131" i="28"/>
  <c r="L131" i="28"/>
  <c r="K131" i="28"/>
  <c r="J131" i="28"/>
  <c r="I131" i="28"/>
  <c r="H131" i="28"/>
  <c r="G131" i="28"/>
  <c r="R116" i="28"/>
  <c r="Q116" i="28"/>
  <c r="P116" i="28"/>
  <c r="O116" i="28"/>
  <c r="N116" i="28"/>
  <c r="M116" i="28"/>
  <c r="L116" i="28"/>
  <c r="K116" i="28"/>
  <c r="J116" i="28"/>
  <c r="I116" i="28"/>
  <c r="H116" i="28"/>
  <c r="G116" i="28"/>
  <c r="R106" i="28"/>
  <c r="Q106" i="28"/>
  <c r="P106" i="28"/>
  <c r="P105" i="28" s="1"/>
  <c r="P129" i="28" s="1"/>
  <c r="P130" i="28" s="1"/>
  <c r="O106" i="28"/>
  <c r="N106" i="28"/>
  <c r="N105" i="28" s="1"/>
  <c r="N129" i="28" s="1"/>
  <c r="N130" i="28" s="1"/>
  <c r="M106" i="28"/>
  <c r="M105" i="28" s="1"/>
  <c r="M129" i="28" s="1"/>
  <c r="M130" i="28" s="1"/>
  <c r="L106" i="28"/>
  <c r="K106" i="28"/>
  <c r="K105" i="28" s="1"/>
  <c r="K129" i="28" s="1"/>
  <c r="K130" i="28" s="1"/>
  <c r="J106" i="28"/>
  <c r="I106" i="28"/>
  <c r="H106" i="28"/>
  <c r="H105" i="28" s="1"/>
  <c r="H129" i="28" s="1"/>
  <c r="H130" i="28" s="1"/>
  <c r="G106" i="28"/>
  <c r="R105" i="28"/>
  <c r="R129" i="28" s="1"/>
  <c r="R130" i="28" s="1"/>
  <c r="Q105" i="28"/>
  <c r="Q129" i="28" s="1"/>
  <c r="Q130" i="28" s="1"/>
  <c r="O105" i="28"/>
  <c r="O129" i="28" s="1"/>
  <c r="O130" i="28" s="1"/>
  <c r="L105" i="28"/>
  <c r="L129" i="28" s="1"/>
  <c r="L130" i="28" s="1"/>
  <c r="J105" i="28"/>
  <c r="J129" i="28" s="1"/>
  <c r="J130" i="28" s="1"/>
  <c r="I105" i="28"/>
  <c r="I129" i="28" s="1"/>
  <c r="I130" i="28" s="1"/>
  <c r="G105" i="28"/>
  <c r="G129" i="28" s="1"/>
  <c r="G130" i="28" s="1"/>
  <c r="G136" i="28" l="1"/>
  <c r="G142" i="28" s="1"/>
  <c r="G137" i="28" s="1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N136" i="28"/>
  <c r="N142" i="28" s="1"/>
  <c r="N137" i="28" s="1"/>
  <c r="R136" i="28"/>
  <c r="R142" i="28" s="1"/>
  <c r="R137" i="28" s="1"/>
  <c r="S133" i="28" l="1"/>
  <c r="S132" i="28"/>
  <c r="A142" i="28" l="1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R29" i="28" s="1"/>
  <c r="Q40" i="28"/>
  <c r="P40" i="28"/>
  <c r="O40" i="28"/>
  <c r="N40" i="28"/>
  <c r="M40" i="28"/>
  <c r="L40" i="28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O29" i="28" s="1"/>
  <c r="N30" i="28"/>
  <c r="N29" i="28" s="1"/>
  <c r="M30" i="28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M19" i="28"/>
  <c r="M10" i="28" s="1"/>
  <c r="L19" i="28"/>
  <c r="N19" i="11" s="1"/>
  <c r="K19" i="28"/>
  <c r="J19" i="28"/>
  <c r="I19" i="28"/>
  <c r="H19" i="28"/>
  <c r="G19" i="28"/>
  <c r="S18" i="28"/>
  <c r="S17" i="28"/>
  <c r="S16" i="28"/>
  <c r="S15" i="28"/>
  <c r="S14" i="28"/>
  <c r="S13" i="28"/>
  <c r="S12" i="28"/>
  <c r="R11" i="28"/>
  <c r="R10" i="28" s="1"/>
  <c r="Q11" i="28"/>
  <c r="P11" i="28"/>
  <c r="O11" i="28"/>
  <c r="N11" i="28"/>
  <c r="M11" i="28"/>
  <c r="L11" i="28"/>
  <c r="N11" i="11" s="1"/>
  <c r="K11" i="28"/>
  <c r="J11" i="28"/>
  <c r="I11" i="28"/>
  <c r="H11" i="28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L29" i="28" l="1"/>
  <c r="J10" i="28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L10" i="28"/>
  <c r="P10" i="28"/>
  <c r="S19" i="28"/>
  <c r="G19" i="11" s="1"/>
  <c r="K10" i="28"/>
  <c r="O10" i="28"/>
  <c r="O53" i="28" s="1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G10" i="28"/>
  <c r="T12" i="28"/>
  <c r="T16" i="28"/>
  <c r="T34" i="28"/>
  <c r="T38" i="28"/>
  <c r="T57" i="28"/>
  <c r="T62" i="28"/>
  <c r="G52" i="11"/>
  <c r="G37" i="11"/>
  <c r="G24" i="11"/>
  <c r="G14" i="11"/>
  <c r="G62" i="11"/>
  <c r="G65" i="11"/>
  <c r="G64" i="11"/>
  <c r="G58" i="11"/>
  <c r="G56" i="11"/>
  <c r="G59" i="11"/>
  <c r="G57" i="1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M53" i="28" s="1"/>
  <c r="Q29" i="28"/>
  <c r="S40" i="28"/>
  <c r="S11" i="28"/>
  <c r="N53" i="28"/>
  <c r="N54" i="28" s="1"/>
  <c r="J53" i="28"/>
  <c r="R53" i="28"/>
  <c r="R54" i="28" s="1"/>
  <c r="O54" i="28"/>
  <c r="O60" i="28"/>
  <c r="O66" i="28" s="1"/>
  <c r="O61" i="28" s="1"/>
  <c r="S30" i="28"/>
  <c r="S87" i="28"/>
  <c r="T87" i="28" s="1"/>
  <c r="L53" i="28" l="1"/>
  <c r="N10" i="11"/>
  <c r="K53" i="28"/>
  <c r="D12" i="1"/>
  <c r="J54" i="28"/>
  <c r="I53" i="28"/>
  <c r="I54" i="28" s="1"/>
  <c r="P53" i="28"/>
  <c r="H53" i="28"/>
  <c r="H54" i="28" s="1"/>
  <c r="D16" i="1"/>
  <c r="T19" i="28"/>
  <c r="S10" i="28"/>
  <c r="R60" i="28"/>
  <c r="R66" i="28" s="1"/>
  <c r="R61" i="28" s="1"/>
  <c r="Q53" i="28"/>
  <c r="G53" i="28"/>
  <c r="G54" i="28" s="1"/>
  <c r="T55" i="28"/>
  <c r="G55" i="11"/>
  <c r="T40" i="28"/>
  <c r="G40" i="11"/>
  <c r="T30" i="28"/>
  <c r="G30" i="11"/>
  <c r="T11" i="28"/>
  <c r="G11" i="11"/>
  <c r="M54" i="28"/>
  <c r="M60" i="28"/>
  <c r="M66" i="28" s="1"/>
  <c r="M61" i="28" s="1"/>
  <c r="P54" i="28"/>
  <c r="P60" i="28"/>
  <c r="P66" i="28" s="1"/>
  <c r="P61" i="28" s="1"/>
  <c r="Q60" i="28"/>
  <c r="Q66" i="28" s="1"/>
  <c r="Q61" i="28" s="1"/>
  <c r="Q54" i="28"/>
  <c r="N60" i="28"/>
  <c r="N66" i="28" s="1"/>
  <c r="N61" i="28" s="1"/>
  <c r="L54" i="28"/>
  <c r="N54" i="11" s="1"/>
  <c r="S29" i="28"/>
  <c r="J60" i="28"/>
  <c r="L60" i="28" l="1"/>
  <c r="N53" i="11"/>
  <c r="D20" i="1"/>
  <c r="K60" i="28"/>
  <c r="K54" i="28"/>
  <c r="I60" i="28"/>
  <c r="I66" i="28" s="1"/>
  <c r="J66" i="28"/>
  <c r="H60" i="28"/>
  <c r="H66" i="28" s="1"/>
  <c r="G10" i="11"/>
  <c r="T10" i="28"/>
  <c r="S53" i="28"/>
  <c r="S60" i="28" s="1"/>
  <c r="G60" i="28"/>
  <c r="G66" i="28" s="1"/>
  <c r="G61" i="28" s="1"/>
  <c r="T29" i="28"/>
  <c r="G29" i="11"/>
  <c r="S129" i="28"/>
  <c r="S54" i="28"/>
  <c r="G19" i="26"/>
  <c r="H19" i="26"/>
  <c r="L66" i="28" l="1"/>
  <c r="N60" i="11"/>
  <c r="K66" i="28"/>
  <c r="J61" i="28"/>
  <c r="I61" i="28"/>
  <c r="T129" i="28"/>
  <c r="H61" i="28"/>
  <c r="T53" i="28"/>
  <c r="G53" i="11"/>
  <c r="G60" i="11"/>
  <c r="T54" i="28"/>
  <c r="G54" i="11"/>
  <c r="S130" i="28"/>
  <c r="S136" i="28"/>
  <c r="S66" i="28"/>
  <c r="T60" i="28"/>
  <c r="G55" i="26"/>
  <c r="L61" i="28" l="1"/>
  <c r="N61" i="11" s="1"/>
  <c r="N66" i="11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G61" i="11" l="1"/>
  <c r="I29" i="27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<sst xmlns="http://schemas.openxmlformats.org/spreadsheetml/2006/main" count="1911" uniqueCount="881">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</sst>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1,322.8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16.7%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36.7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2.7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13.1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1%. </a:t>
          </a:r>
          <a:endParaRPr lang="en-US">
            <a:effectLst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1,430.2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149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jun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107.3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1.4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28933" y="1323976"/>
          <a:ext cx="494665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2025. godinu. 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  <a:r>
            <a:rPr lang="en-US">
              <a:hlinkClick xmlns:r="http://schemas.openxmlformats.org/officeDocument/2006/relationships" r:id=""/>
            </a:rPr>
            <a:t>e2ded470-2a2e-480c-980e-f4b2d3185ac1 (wapi.gov.me) </a:t>
          </a:r>
          <a:endParaRPr lang="sr-Latn-ME"/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2025-06</v>
      </c>
      <c r="O6" s="128" t="str">
        <f>+CONCATENATE(N6,"p")</f>
        <v>2025-06p</v>
      </c>
      <c r="P6" s="116"/>
      <c r="Q6" s="116"/>
      <c r="R6" s="128" t="str">
        <f>+IF(Master!B3-10&gt;=0,CONCATENATE(Master!B4-1,"-",Master!B3),CONCATENATE(Master!B4-1,"-0",Master!B3))</f>
        <v>2024-06</v>
      </c>
      <c r="S6" s="116"/>
      <c r="T6" s="116"/>
    </row>
    <row r="7" spans="1:20">
      <c r="A7" s="129"/>
      <c r="B7" s="564" t="s">
        <v>691</v>
      </c>
      <c r="C7" s="565"/>
      <c r="D7" s="565"/>
      <c r="E7" s="565"/>
      <c r="F7" s="565"/>
      <c r="G7" s="573" t="s">
        <v>690</v>
      </c>
      <c r="H7" s="574"/>
      <c r="I7" s="574"/>
      <c r="J7" s="574"/>
      <c r="K7" s="574"/>
      <c r="L7" s="574"/>
      <c r="M7" s="575"/>
      <c r="N7" s="576" t="str">
        <f>+Master!G243</f>
        <v>Decembar</v>
      </c>
      <c r="O7" s="574"/>
      <c r="P7" s="574"/>
      <c r="Q7" s="574"/>
      <c r="R7" s="574"/>
      <c r="S7" s="574"/>
      <c r="T7" s="577"/>
    </row>
    <row r="8" spans="1:20">
      <c r="A8" s="129"/>
      <c r="B8" s="566"/>
      <c r="C8" s="567"/>
      <c r="D8" s="567"/>
      <c r="E8" s="567"/>
      <c r="F8" s="568"/>
      <c r="G8" s="130" t="str">
        <f>+Master!G26</f>
        <v>Ostvarenje</v>
      </c>
      <c r="H8" s="130" t="str">
        <f>+Master!G25</f>
        <v>Plan</v>
      </c>
      <c r="I8" s="560" t="str">
        <f>+Master!G261</f>
        <v>Odstupanje</v>
      </c>
      <c r="J8" s="560"/>
      <c r="K8" s="130" t="str">
        <f>+CONCATENATE(Master!G246," ",Master!B4-1)</f>
        <v>Jan - Jun 2024</v>
      </c>
      <c r="L8" s="560" t="str">
        <f>+I8</f>
        <v>Odstupanje</v>
      </c>
      <c r="M8" s="572"/>
      <c r="N8" s="131" t="str">
        <f>+G8</f>
        <v>Ostvarenje</v>
      </c>
      <c r="O8" s="130" t="str">
        <f>+H8</f>
        <v>Plan</v>
      </c>
      <c r="P8" s="560" t="str">
        <f>+I8</f>
        <v>Odstupanje</v>
      </c>
      <c r="Q8" s="560"/>
      <c r="R8" s="130" t="str">
        <f>+CONCATENATE(Master!G245," ",Master!B4-1)</f>
        <v>Jun 2024</v>
      </c>
      <c r="S8" s="560" t="str">
        <f>+P8</f>
        <v>Odstupanje</v>
      </c>
      <c r="T8" s="561"/>
    </row>
    <row r="9" spans="1:20" ht="15.7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94" t="e">
        <f>+VLOOKUP($A18,Master!$D$30:$G$226,4,FALSE)</f>
        <v>#N/A</v>
      </c>
      <c r="C18" s="595"/>
      <c r="D18" s="595"/>
      <c r="E18" s="595"/>
      <c r="F18" s="595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94" t="str">
        <f>+VLOOKUP($A19,Master!$D$30:$G$226,4,FALSE)</f>
        <v>Ostali državni porezi</v>
      </c>
      <c r="C19" s="595"/>
      <c r="D19" s="595"/>
      <c r="E19" s="595"/>
      <c r="F19" s="595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04" t="str">
        <f>+VLOOKUP($A20,Master!$D$30:$G$226,4,FALSE)</f>
        <v>Doprinosi</v>
      </c>
      <c r="C20" s="605"/>
      <c r="D20" s="605"/>
      <c r="E20" s="605"/>
      <c r="F20" s="605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94" t="str">
        <f>+VLOOKUP($A21,Master!$D$30:$G$226,4,FALSE)</f>
        <v>Doprinosi za penzijsko i invalidsko osiguranje</v>
      </c>
      <c r="C21" s="595"/>
      <c r="D21" s="595"/>
      <c r="E21" s="595"/>
      <c r="F21" s="595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94" t="str">
        <f>+VLOOKUP($A22,Master!$D$30:$G$226,4,FALSE)</f>
        <v>Doprinosi za zdravstveno osiguranje</v>
      </c>
      <c r="C22" s="595"/>
      <c r="D22" s="595"/>
      <c r="E22" s="595"/>
      <c r="F22" s="595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94" t="str">
        <f>+VLOOKUP($A23,Master!$D$30:$G$226,4,FALSE)</f>
        <v>Doprinosi za osiguranje od nezaposlenosti</v>
      </c>
      <c r="C23" s="595"/>
      <c r="D23" s="595"/>
      <c r="E23" s="595"/>
      <c r="F23" s="595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94" t="str">
        <f>+VLOOKUP($A24,Master!$D$30:$G$226,4,FALSE)</f>
        <v>Ostali doprinosi</v>
      </c>
      <c r="C24" s="595"/>
      <c r="D24" s="595"/>
      <c r="E24" s="595"/>
      <c r="F24" s="595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96" t="str">
        <f>+VLOOKUP($A25,Master!$D$30:$G$226,4,FALSE)</f>
        <v>Takse</v>
      </c>
      <c r="C25" s="597"/>
      <c r="D25" s="597"/>
      <c r="E25" s="597"/>
      <c r="F25" s="597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96" t="str">
        <f>+VLOOKUP($A26,Master!$D$30:$G$226,4,FALSE)</f>
        <v>Naknade</v>
      </c>
      <c r="C26" s="597"/>
      <c r="D26" s="597"/>
      <c r="E26" s="597"/>
      <c r="F26" s="597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96" t="str">
        <f>+VLOOKUP($A27,Master!$D$30:$G$226,4,FALSE)</f>
        <v>Ostali prihodi</v>
      </c>
      <c r="C27" s="597"/>
      <c r="D27" s="597"/>
      <c r="E27" s="597"/>
      <c r="F27" s="597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96" t="str">
        <f>+VLOOKUP($A28,Master!$D$30:$G$226,4,FALSE)</f>
        <v>Primici od otplate kredita i sredstva prenesena iz prethodne godine</v>
      </c>
      <c r="C28" s="597"/>
      <c r="D28" s="597"/>
      <c r="E28" s="597"/>
      <c r="F28" s="597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98" t="str">
        <f>+VLOOKUP($A29,Master!$D$30:$G$226,4,FALSE)</f>
        <v>Donacije i transferi</v>
      </c>
      <c r="C29" s="599"/>
      <c r="D29" s="599"/>
      <c r="E29" s="599"/>
      <c r="F29" s="599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84" t="str">
        <f>+VLOOKUP($A30,Master!$D$30:$G$226,4,FALSE)</f>
        <v>Izdaci budžeta</v>
      </c>
      <c r="C30" s="585"/>
      <c r="D30" s="585"/>
      <c r="E30" s="585"/>
      <c r="F30" s="585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600" t="str">
        <f>+VLOOKUP($A31,Master!$D$30:$G$226,4,FALSE)</f>
        <v>Tekući izdaci</v>
      </c>
      <c r="C31" s="601"/>
      <c r="D31" s="601"/>
      <c r="E31" s="601"/>
      <c r="F31" s="601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2" t="str">
        <f>+VLOOKUP($A32,Master!$D$30:$G$226,4,FALSE)</f>
        <v>Tekuća budžetska potrošnja</v>
      </c>
      <c r="C32" s="603"/>
      <c r="D32" s="603"/>
      <c r="E32" s="603"/>
      <c r="F32" s="603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94" t="str">
        <f>+VLOOKUP($A33,Master!$D$30:$G$226,4,FALSE)</f>
        <v>Bruto zarade i doprinosi na teret poslodavca</v>
      </c>
      <c r="C33" s="595"/>
      <c r="D33" s="595"/>
      <c r="E33" s="595"/>
      <c r="F33" s="595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94" t="str">
        <f>+VLOOKUP($A34,Master!$D$30:$G$226,4,FALSE)</f>
        <v>Ostala lična primanja</v>
      </c>
      <c r="C34" s="595"/>
      <c r="D34" s="595"/>
      <c r="E34" s="595"/>
      <c r="F34" s="595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94" t="str">
        <f>+VLOOKUP($A35,Master!$D$30:$G$226,4,FALSE)</f>
        <v>Rashodi za materijal</v>
      </c>
      <c r="C35" s="595"/>
      <c r="D35" s="595"/>
      <c r="E35" s="595"/>
      <c r="F35" s="595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94" t="str">
        <f>+VLOOKUP($A36,Master!$D$30:$G$226,4,FALSE)</f>
        <v>Rashodi za usluge</v>
      </c>
      <c r="C36" s="595"/>
      <c r="D36" s="595"/>
      <c r="E36" s="595"/>
      <c r="F36" s="595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94" t="str">
        <f>+VLOOKUP($A37,Master!$D$30:$G$226,4,FALSE)</f>
        <v>Rashodi za tekuće održavanje</v>
      </c>
      <c r="C37" s="595"/>
      <c r="D37" s="595"/>
      <c r="E37" s="595"/>
      <c r="F37" s="595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94" t="str">
        <f>+VLOOKUP($A38,Master!$D$30:$G$226,4,FALSE)</f>
        <v>Kamate</v>
      </c>
      <c r="C38" s="595"/>
      <c r="D38" s="595"/>
      <c r="E38" s="595"/>
      <c r="F38" s="595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94" t="str">
        <f>+VLOOKUP($A39,Master!$D$30:$G$226,4,FALSE)</f>
        <v>Renta</v>
      </c>
      <c r="C39" s="595"/>
      <c r="D39" s="595"/>
      <c r="E39" s="595"/>
      <c r="F39" s="595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94" t="str">
        <f>+VLOOKUP($A40,Master!$D$30:$G$226,4,FALSE)</f>
        <v>Subvencije</v>
      </c>
      <c r="C40" s="595"/>
      <c r="D40" s="595"/>
      <c r="E40" s="595"/>
      <c r="F40" s="595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94" t="str">
        <f>+VLOOKUP($A41,Master!$D$30:$G$226,4,FALSE)</f>
        <v>Ostali izdaci</v>
      </c>
      <c r="C41" s="595"/>
      <c r="D41" s="595"/>
      <c r="E41" s="595"/>
      <c r="F41" s="595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94" t="e">
        <f>+VLOOKUP($A42,Master!$D$30:$G$226,4,FALSE)</f>
        <v>#N/A</v>
      </c>
      <c r="C42" s="595"/>
      <c r="D42" s="595"/>
      <c r="E42" s="595"/>
      <c r="F42" s="595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90" t="str">
        <f>+VLOOKUP($A43,Master!$D$30:$G$226,4,FALSE)</f>
        <v>Transferi za socijalnu zaštitu</v>
      </c>
      <c r="C43" s="591"/>
      <c r="D43" s="591"/>
      <c r="E43" s="591"/>
      <c r="F43" s="591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94" t="str">
        <f>+VLOOKUP($A44,Master!$D$30:$G$226,4,FALSE)</f>
        <v>Prava iz oblasti socijalne zaštite</v>
      </c>
      <c r="C44" s="595"/>
      <c r="D44" s="595"/>
      <c r="E44" s="595"/>
      <c r="F44" s="595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94" t="str">
        <f>+VLOOKUP($A45,Master!$D$30:$G$226,4,FALSE)</f>
        <v>Sredstva za tehnološke viškove</v>
      </c>
      <c r="C45" s="595"/>
      <c r="D45" s="595"/>
      <c r="E45" s="595"/>
      <c r="F45" s="595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94" t="str">
        <f>+VLOOKUP($A46,Master!$D$30:$G$226,4,FALSE)</f>
        <v>Prava iz oblasti penzijskog i invalidskog osiguranja</v>
      </c>
      <c r="C46" s="595"/>
      <c r="D46" s="595"/>
      <c r="E46" s="595"/>
      <c r="F46" s="595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94" t="str">
        <f>+VLOOKUP($A47,Master!$D$30:$G$226,4,FALSE)</f>
        <v>Ostala prava iz oblasti zdravstvene zaštite</v>
      </c>
      <c r="C47" s="595"/>
      <c r="D47" s="595"/>
      <c r="E47" s="595"/>
      <c r="F47" s="595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94" t="str">
        <f>+VLOOKUP($A48,Master!$D$30:$G$226,4,FALSE)</f>
        <v>Ostala prava iz zdravstvenog osiguranja</v>
      </c>
      <c r="C48" s="595"/>
      <c r="D48" s="595"/>
      <c r="E48" s="595"/>
      <c r="F48" s="595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2" t="str">
        <f>+VLOOKUP($A49,Master!$D$30:$G$226,4,FALSE)</f>
        <v xml:space="preserve">Transferi institucijama, pojedincima, nevladinom i javnom sektoru </v>
      </c>
      <c r="C49" s="593"/>
      <c r="D49" s="593"/>
      <c r="E49" s="593"/>
      <c r="F49" s="593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2" t="str">
        <f>+VLOOKUP($A50,Master!$D$30:$G$226,4,FALSE)</f>
        <v>Kapitalni izdaci</v>
      </c>
      <c r="C50" s="593"/>
      <c r="D50" s="593"/>
      <c r="E50" s="593"/>
      <c r="F50" s="593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2" t="str">
        <f>+VLOOKUP($A51,Master!$D$30:$G$226,4,FALSE)</f>
        <v>Pozajmice i krediti</v>
      </c>
      <c r="C51" s="563"/>
      <c r="D51" s="563"/>
      <c r="E51" s="563"/>
      <c r="F51" s="563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2" t="str">
        <f>+VLOOKUP($A52,Master!$D$30:$G$226,4,FALSE)</f>
        <v>Rezerve</v>
      </c>
      <c r="C52" s="563"/>
      <c r="D52" s="563"/>
      <c r="E52" s="563"/>
      <c r="F52" s="563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0" t="str">
        <f>+VLOOKUP($A53,Master!$D$30:$G$226,4,FALSE)</f>
        <v>Otplata garancija</v>
      </c>
      <c r="C53" s="581"/>
      <c r="D53" s="581"/>
      <c r="E53" s="581"/>
      <c r="F53" s="581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0" t="str">
        <f>+VLOOKUP($A54,Master!$D$30:$G$226,4,FALSE)</f>
        <v>Otplata obaveza iz prethodnog perioda</v>
      </c>
      <c r="C54" s="581"/>
      <c r="D54" s="581"/>
      <c r="E54" s="581"/>
      <c r="F54" s="581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0" t="str">
        <f>+VLOOKUP($A55,Master!$D$30:$G$228,4,FALSE)</f>
        <v>Neto povećanje obaveza</v>
      </c>
      <c r="C55" s="581"/>
      <c r="D55" s="581"/>
      <c r="E55" s="581"/>
      <c r="F55" s="581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6" t="str">
        <f>+VLOOKUP($A56,Master!$D$30:$G$226,4,FALSE)</f>
        <v>Suficit / deficit</v>
      </c>
      <c r="C56" s="587"/>
      <c r="D56" s="587"/>
      <c r="E56" s="587"/>
      <c r="F56" s="587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8" t="str">
        <f>+VLOOKUP($A57,Master!$D$30:$G$226,4,FALSE)</f>
        <v>Primarni suficit/deficit</v>
      </c>
      <c r="C57" s="589"/>
      <c r="D57" s="589"/>
      <c r="E57" s="589"/>
      <c r="F57" s="589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90" t="str">
        <f>+VLOOKUP($A58,Master!$D$30:$G$226,4,FALSE)</f>
        <v>Otplata dugova</v>
      </c>
      <c r="C58" s="591"/>
      <c r="D58" s="591"/>
      <c r="E58" s="591"/>
      <c r="F58" s="591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78" t="str">
        <f>+VLOOKUP($A59,Master!$D$30:$G$226,4,FALSE)</f>
        <v>Otplata hartija od vrijednosti i kredita rezidentima</v>
      </c>
      <c r="C59" s="579"/>
      <c r="D59" s="579"/>
      <c r="E59" s="579"/>
      <c r="F59" s="579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2" t="str">
        <f>+VLOOKUP($A60,Master!$D$30:$G$226,4,FALSE)</f>
        <v>Otplata hartija od vrijednosti i kredita nerezidentima</v>
      </c>
      <c r="C60" s="563"/>
      <c r="D60" s="563"/>
      <c r="E60" s="563"/>
      <c r="F60" s="563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2" t="str">
        <f>+VLOOKUP($A62,Master!$D$30:$G$226,4,FALSE)</f>
        <v>Nedostajuća sredstva</v>
      </c>
      <c r="C62" s="583"/>
      <c r="D62" s="583"/>
      <c r="E62" s="583"/>
      <c r="F62" s="583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84" t="str">
        <f>+VLOOKUP($A63,Master!$D$30:$G$226,4,FALSE)</f>
        <v>Finansiranje</v>
      </c>
      <c r="C63" s="585"/>
      <c r="D63" s="585"/>
      <c r="E63" s="585"/>
      <c r="F63" s="585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78" t="str">
        <f>+VLOOKUP($A64,Master!$D$30:$G$226,4,FALSE)</f>
        <v>Pozajmice i krediti od domaćih izvora</v>
      </c>
      <c r="C64" s="579"/>
      <c r="D64" s="579"/>
      <c r="E64" s="579"/>
      <c r="F64" s="579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2" t="str">
        <f>+VLOOKUP($A65,Master!$D$30:$G$226,4,FALSE)</f>
        <v>Pozajmice i krediti od inostranih izvora</v>
      </c>
      <c r="C65" s="563"/>
      <c r="D65" s="563"/>
      <c r="E65" s="563"/>
      <c r="F65" s="563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2" t="str">
        <f>+VLOOKUP($A66,Master!$D$30:$G$226,4,FALSE)</f>
        <v>Primici od prodaje imovine</v>
      </c>
      <c r="C66" s="563"/>
      <c r="D66" s="563"/>
      <c r="E66" s="563"/>
      <c r="F66" s="563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64" t="s">
        <v>553</v>
      </c>
      <c r="C7" s="565"/>
      <c r="D7" s="565"/>
      <c r="E7" s="565"/>
      <c r="F7" s="565"/>
      <c r="G7" s="573">
        <v>2019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">
        <v>419</v>
      </c>
      <c r="T7" s="221">
        <v>4951000000</v>
      </c>
    </row>
    <row r="8" spans="1:20" ht="16.5" customHeight="1">
      <c r="A8" s="129"/>
      <c r="B8" s="566"/>
      <c r="C8" s="567"/>
      <c r="D8" s="567"/>
      <c r="E8" s="567"/>
      <c r="F8" s="568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3" t="s">
        <v>806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84" t="s">
        <v>680</v>
      </c>
      <c r="C10" s="585"/>
      <c r="D10" s="585"/>
      <c r="E10" s="585"/>
      <c r="F10" s="585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08" t="s">
        <v>21</v>
      </c>
      <c r="C11" s="609"/>
      <c r="D11" s="609"/>
      <c r="E11" s="609"/>
      <c r="F11" s="609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94" t="s">
        <v>23</v>
      </c>
      <c r="C12" s="595"/>
      <c r="D12" s="595"/>
      <c r="E12" s="595"/>
      <c r="F12" s="595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94" t="s">
        <v>25</v>
      </c>
      <c r="C13" s="595"/>
      <c r="D13" s="595"/>
      <c r="E13" s="595"/>
      <c r="F13" s="595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94" t="s">
        <v>27</v>
      </c>
      <c r="C14" s="595"/>
      <c r="D14" s="595"/>
      <c r="E14" s="595"/>
      <c r="F14" s="595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94" t="s">
        <v>29</v>
      </c>
      <c r="C15" s="595"/>
      <c r="D15" s="595"/>
      <c r="E15" s="595"/>
      <c r="F15" s="595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94" t="s">
        <v>31</v>
      </c>
      <c r="C16" s="595"/>
      <c r="D16" s="595"/>
      <c r="E16" s="595"/>
      <c r="F16" s="595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94" t="s">
        <v>33</v>
      </c>
      <c r="C17" s="595"/>
      <c r="D17" s="595"/>
      <c r="E17" s="595"/>
      <c r="F17" s="595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94" t="s">
        <v>721</v>
      </c>
      <c r="C18" s="595"/>
      <c r="D18" s="595"/>
      <c r="E18" s="595"/>
      <c r="F18" s="595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04" t="s">
        <v>37</v>
      </c>
      <c r="C19" s="605"/>
      <c r="D19" s="605"/>
      <c r="E19" s="605"/>
      <c r="F19" s="605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94" t="s">
        <v>39</v>
      </c>
      <c r="C20" s="595"/>
      <c r="D20" s="595"/>
      <c r="E20" s="595"/>
      <c r="F20" s="595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94" t="s">
        <v>41</v>
      </c>
      <c r="C21" s="595"/>
      <c r="D21" s="595"/>
      <c r="E21" s="595"/>
      <c r="F21" s="595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94" t="s">
        <v>43</v>
      </c>
      <c r="C22" s="595"/>
      <c r="D22" s="595"/>
      <c r="E22" s="595"/>
      <c r="F22" s="595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94" t="s">
        <v>45</v>
      </c>
      <c r="C23" s="595"/>
      <c r="D23" s="595"/>
      <c r="E23" s="595"/>
      <c r="F23" s="595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96" t="s">
        <v>47</v>
      </c>
      <c r="C24" s="597"/>
      <c r="D24" s="597"/>
      <c r="E24" s="597"/>
      <c r="F24" s="597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96" t="s">
        <v>61</v>
      </c>
      <c r="C25" s="597"/>
      <c r="D25" s="597"/>
      <c r="E25" s="597"/>
      <c r="F25" s="597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96" t="s">
        <v>81</v>
      </c>
      <c r="C26" s="597"/>
      <c r="D26" s="597"/>
      <c r="E26" s="597"/>
      <c r="F26" s="597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96" t="s">
        <v>99</v>
      </c>
      <c r="C27" s="597"/>
      <c r="D27" s="597"/>
      <c r="E27" s="597"/>
      <c r="F27" s="597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98" t="s">
        <v>105</v>
      </c>
      <c r="C28" s="599"/>
      <c r="D28" s="599"/>
      <c r="E28" s="599"/>
      <c r="F28" s="599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84" t="s">
        <v>801</v>
      </c>
      <c r="C29" s="585"/>
      <c r="D29" s="585"/>
      <c r="E29" s="585"/>
      <c r="F29" s="585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600" t="s">
        <v>120</v>
      </c>
      <c r="C30" s="601"/>
      <c r="D30" s="601"/>
      <c r="E30" s="601"/>
      <c r="F30" s="601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94" t="s">
        <v>122</v>
      </c>
      <c r="C31" s="595"/>
      <c r="D31" s="595"/>
      <c r="E31" s="595"/>
      <c r="F31" s="595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94" t="s">
        <v>133</v>
      </c>
      <c r="C32" s="595"/>
      <c r="D32" s="595"/>
      <c r="E32" s="595"/>
      <c r="F32" s="595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94" t="s">
        <v>148</v>
      </c>
      <c r="C33" s="595"/>
      <c r="D33" s="595"/>
      <c r="E33" s="595"/>
      <c r="F33" s="595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94" t="s">
        <v>162</v>
      </c>
      <c r="C34" s="595"/>
      <c r="D34" s="595"/>
      <c r="E34" s="595"/>
      <c r="F34" s="595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2" t="s">
        <v>182</v>
      </c>
      <c r="C35" s="613"/>
      <c r="D35" s="613"/>
      <c r="E35" s="613"/>
      <c r="F35" s="613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94" t="s">
        <v>190</v>
      </c>
      <c r="C36" s="595"/>
      <c r="D36" s="595"/>
      <c r="E36" s="595"/>
      <c r="F36" s="595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94" t="s">
        <v>196</v>
      </c>
      <c r="C37" s="595"/>
      <c r="D37" s="595"/>
      <c r="E37" s="595"/>
      <c r="F37" s="595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94" t="s">
        <v>204</v>
      </c>
      <c r="C38" s="595"/>
      <c r="D38" s="595"/>
      <c r="E38" s="595"/>
      <c r="F38" s="595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94" t="s">
        <v>212</v>
      </c>
      <c r="C39" s="595"/>
      <c r="D39" s="595"/>
      <c r="E39" s="595"/>
      <c r="F39" s="595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90" t="s">
        <v>230</v>
      </c>
      <c r="C40" s="591"/>
      <c r="D40" s="591"/>
      <c r="E40" s="591"/>
      <c r="F40" s="591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94" t="s">
        <v>232</v>
      </c>
      <c r="C41" s="595"/>
      <c r="D41" s="595"/>
      <c r="E41" s="595"/>
      <c r="F41" s="595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94" t="s">
        <v>248</v>
      </c>
      <c r="C42" s="595"/>
      <c r="D42" s="595"/>
      <c r="E42" s="595"/>
      <c r="F42" s="595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94" t="s">
        <v>259</v>
      </c>
      <c r="C43" s="595"/>
      <c r="D43" s="595"/>
      <c r="E43" s="595"/>
      <c r="F43" s="595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94" t="s">
        <v>274</v>
      </c>
      <c r="C44" s="595"/>
      <c r="D44" s="595"/>
      <c r="E44" s="595"/>
      <c r="F44" s="595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94" t="s">
        <v>278</v>
      </c>
      <c r="C45" s="595"/>
      <c r="D45" s="595"/>
      <c r="E45" s="595"/>
      <c r="F45" s="595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2" t="s">
        <v>286</v>
      </c>
      <c r="C46" s="593"/>
      <c r="D46" s="593"/>
      <c r="E46" s="593"/>
      <c r="F46" s="593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2" t="s">
        <v>320</v>
      </c>
      <c r="C47" s="593"/>
      <c r="D47" s="593"/>
      <c r="E47" s="593"/>
      <c r="F47" s="593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16" t="s">
        <v>113</v>
      </c>
      <c r="C48" s="617"/>
      <c r="D48" s="617"/>
      <c r="E48" s="617"/>
      <c r="F48" s="617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21" t="s">
        <v>366</v>
      </c>
      <c r="C49" s="622"/>
      <c r="D49" s="622"/>
      <c r="E49" s="622"/>
      <c r="F49" s="622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0" t="s">
        <v>359</v>
      </c>
      <c r="C50" s="581"/>
      <c r="D50" s="581"/>
      <c r="E50" s="581"/>
      <c r="F50" s="581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3" t="s">
        <v>794</v>
      </c>
      <c r="C51" s="624"/>
      <c r="D51" s="624"/>
      <c r="E51" s="624"/>
      <c r="F51" s="624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25" t="s">
        <v>684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6" t="s">
        <v>545</v>
      </c>
      <c r="C53" s="587"/>
      <c r="D53" s="587"/>
      <c r="E53" s="587"/>
      <c r="F53" s="587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8" t="s">
        <v>792</v>
      </c>
      <c r="C54" s="589"/>
      <c r="D54" s="589"/>
      <c r="E54" s="589"/>
      <c r="F54" s="589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0" t="s">
        <v>352</v>
      </c>
      <c r="C55" s="611"/>
      <c r="D55" s="611"/>
      <c r="E55" s="611"/>
      <c r="F55" s="611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78" t="s">
        <v>355</v>
      </c>
      <c r="C56" s="579"/>
      <c r="D56" s="579"/>
      <c r="E56" s="579"/>
      <c r="F56" s="579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2" t="s">
        <v>357</v>
      </c>
      <c r="C57" s="563"/>
      <c r="D57" s="563"/>
      <c r="E57" s="563"/>
      <c r="F57" s="563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5" t="s">
        <v>336</v>
      </c>
      <c r="C58" s="666"/>
      <c r="D58" s="666"/>
      <c r="E58" s="666"/>
      <c r="F58" s="666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2" t="s">
        <v>543</v>
      </c>
      <c r="C59" s="583"/>
      <c r="D59" s="583"/>
      <c r="E59" s="583"/>
      <c r="F59" s="583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84" t="s">
        <v>544</v>
      </c>
      <c r="C60" s="585"/>
      <c r="D60" s="585"/>
      <c r="E60" s="585"/>
      <c r="F60" s="585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78" t="s">
        <v>114</v>
      </c>
      <c r="C61" s="579"/>
      <c r="D61" s="579"/>
      <c r="E61" s="579"/>
      <c r="F61" s="579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2" t="s">
        <v>116</v>
      </c>
      <c r="C62" s="563"/>
      <c r="D62" s="563"/>
      <c r="E62" s="563"/>
      <c r="F62" s="563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2" t="s">
        <v>93</v>
      </c>
      <c r="C63" s="563"/>
      <c r="D63" s="563"/>
      <c r="E63" s="563"/>
      <c r="F63" s="563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3" t="s">
        <v>551</v>
      </c>
      <c r="C100" s="634"/>
      <c r="D100" s="634"/>
      <c r="E100" s="634"/>
      <c r="F100" s="634"/>
      <c r="G100" s="618">
        <v>2019</v>
      </c>
      <c r="H100" s="619"/>
      <c r="I100" s="619"/>
      <c r="J100" s="619"/>
      <c r="K100" s="619"/>
      <c r="L100" s="619"/>
      <c r="M100" s="619"/>
      <c r="N100" s="619"/>
      <c r="O100" s="619"/>
      <c r="P100" s="619"/>
      <c r="Q100" s="619"/>
      <c r="R100" s="620"/>
      <c r="S100" s="96" t="str">
        <f>+S7</f>
        <v>BDP</v>
      </c>
      <c r="T100" s="97">
        <f>+T7</f>
        <v>4951000000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18" t="s">
        <v>806</v>
      </c>
      <c r="T101" s="620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3" t="s">
        <v>680</v>
      </c>
      <c r="C103" s="664"/>
      <c r="D103" s="664"/>
      <c r="E103" s="664"/>
      <c r="F103" s="664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29" t="s">
        <v>21</v>
      </c>
      <c r="C104" s="630"/>
      <c r="D104" s="630"/>
      <c r="E104" s="630"/>
      <c r="F104" s="630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1" t="s">
        <v>23</v>
      </c>
      <c r="C105" s="632"/>
      <c r="D105" s="632"/>
      <c r="E105" s="632"/>
      <c r="F105" s="632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1" t="s">
        <v>25</v>
      </c>
      <c r="C106" s="632"/>
      <c r="D106" s="632"/>
      <c r="E106" s="632"/>
      <c r="F106" s="632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1" t="s">
        <v>27</v>
      </c>
      <c r="C107" s="632"/>
      <c r="D107" s="632"/>
      <c r="E107" s="632"/>
      <c r="F107" s="632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1" t="s">
        <v>29</v>
      </c>
      <c r="C108" s="632"/>
      <c r="D108" s="632"/>
      <c r="E108" s="632"/>
      <c r="F108" s="632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1" t="s">
        <v>31</v>
      </c>
      <c r="C109" s="632"/>
      <c r="D109" s="632"/>
      <c r="E109" s="632"/>
      <c r="F109" s="632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1" t="s">
        <v>33</v>
      </c>
      <c r="C110" s="632"/>
      <c r="D110" s="632"/>
      <c r="E110" s="632"/>
      <c r="F110" s="632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1" t="s">
        <v>721</v>
      </c>
      <c r="C111" s="632"/>
      <c r="D111" s="632"/>
      <c r="E111" s="632"/>
      <c r="F111" s="632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1" t="s">
        <v>37</v>
      </c>
      <c r="C112" s="662"/>
      <c r="D112" s="662"/>
      <c r="E112" s="662"/>
      <c r="F112" s="662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1" t="s">
        <v>39</v>
      </c>
      <c r="C113" s="632"/>
      <c r="D113" s="632"/>
      <c r="E113" s="632"/>
      <c r="F113" s="632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1" t="s">
        <v>41</v>
      </c>
      <c r="C114" s="632"/>
      <c r="D114" s="632"/>
      <c r="E114" s="632"/>
      <c r="F114" s="632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1" t="s">
        <v>43</v>
      </c>
      <c r="C115" s="632"/>
      <c r="D115" s="632"/>
      <c r="E115" s="632"/>
      <c r="F115" s="632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1" t="s">
        <v>45</v>
      </c>
      <c r="C116" s="632"/>
      <c r="D116" s="632"/>
      <c r="E116" s="632"/>
      <c r="F116" s="632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41" t="s">
        <v>47</v>
      </c>
      <c r="C117" s="642"/>
      <c r="D117" s="642"/>
      <c r="E117" s="642"/>
      <c r="F117" s="642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41" t="s">
        <v>61</v>
      </c>
      <c r="C118" s="642"/>
      <c r="D118" s="642"/>
      <c r="E118" s="642"/>
      <c r="F118" s="642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41" t="s">
        <v>81</v>
      </c>
      <c r="C119" s="642"/>
      <c r="D119" s="642"/>
      <c r="E119" s="642"/>
      <c r="F119" s="642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41" t="s">
        <v>99</v>
      </c>
      <c r="C120" s="642"/>
      <c r="D120" s="642"/>
      <c r="E120" s="642"/>
      <c r="F120" s="642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3" t="s">
        <v>105</v>
      </c>
      <c r="C121" s="644"/>
      <c r="D121" s="644"/>
      <c r="E121" s="644"/>
      <c r="F121" s="644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27" t="s">
        <v>808</v>
      </c>
      <c r="C122" s="628"/>
      <c r="D122" s="628"/>
      <c r="E122" s="628"/>
      <c r="F122" s="628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9" t="s">
        <v>773</v>
      </c>
      <c r="C123" s="670"/>
      <c r="D123" s="670"/>
      <c r="E123" s="670"/>
      <c r="F123" s="670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45" t="e">
        <v>#REF!</v>
      </c>
      <c r="C124" s="646"/>
      <c r="D124" s="646"/>
      <c r="E124" s="646"/>
      <c r="F124" s="646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1" t="s">
        <v>122</v>
      </c>
      <c r="C125" s="632"/>
      <c r="D125" s="632"/>
      <c r="E125" s="632"/>
      <c r="F125" s="632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1" t="s">
        <v>133</v>
      </c>
      <c r="C126" s="632"/>
      <c r="D126" s="632"/>
      <c r="E126" s="632"/>
      <c r="F126" s="632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1" t="s">
        <v>148</v>
      </c>
      <c r="C127" s="632"/>
      <c r="D127" s="632"/>
      <c r="E127" s="632"/>
      <c r="F127" s="632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1" t="s">
        <v>162</v>
      </c>
      <c r="C128" s="632"/>
      <c r="D128" s="632"/>
      <c r="E128" s="632"/>
      <c r="F128" s="632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1" t="s">
        <v>182</v>
      </c>
      <c r="C129" s="632"/>
      <c r="D129" s="632"/>
      <c r="E129" s="632"/>
      <c r="F129" s="632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1" t="s">
        <v>190</v>
      </c>
      <c r="C130" s="632"/>
      <c r="D130" s="632"/>
      <c r="E130" s="632"/>
      <c r="F130" s="632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1" t="s">
        <v>196</v>
      </c>
      <c r="C131" s="632"/>
      <c r="D131" s="632"/>
      <c r="E131" s="632"/>
      <c r="F131" s="632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1" t="s">
        <v>204</v>
      </c>
      <c r="C132" s="632"/>
      <c r="D132" s="632"/>
      <c r="E132" s="632"/>
      <c r="F132" s="632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1" t="s">
        <v>212</v>
      </c>
      <c r="C133" s="632"/>
      <c r="D133" s="632"/>
      <c r="E133" s="632"/>
      <c r="F133" s="632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1" t="e">
        <v>#REF!</v>
      </c>
      <c r="C134" s="632"/>
      <c r="D134" s="632"/>
      <c r="E134" s="632"/>
      <c r="F134" s="632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51" t="s">
        <v>230</v>
      </c>
      <c r="C135" s="652"/>
      <c r="D135" s="652"/>
      <c r="E135" s="652"/>
      <c r="F135" s="652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1" t="s">
        <v>232</v>
      </c>
      <c r="C136" s="632"/>
      <c r="D136" s="632"/>
      <c r="E136" s="632"/>
      <c r="F136" s="632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1" t="s">
        <v>248</v>
      </c>
      <c r="C137" s="632"/>
      <c r="D137" s="632"/>
      <c r="E137" s="632"/>
      <c r="F137" s="632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1" t="s">
        <v>259</v>
      </c>
      <c r="C138" s="632"/>
      <c r="D138" s="632"/>
      <c r="E138" s="632"/>
      <c r="F138" s="632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1" t="s">
        <v>274</v>
      </c>
      <c r="C139" s="632"/>
      <c r="D139" s="632"/>
      <c r="E139" s="632"/>
      <c r="F139" s="632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1" t="s">
        <v>278</v>
      </c>
      <c r="C140" s="632"/>
      <c r="D140" s="632"/>
      <c r="E140" s="632"/>
      <c r="F140" s="632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47" t="s">
        <v>286</v>
      </c>
      <c r="C141" s="648"/>
      <c r="D141" s="648"/>
      <c r="E141" s="648"/>
      <c r="F141" s="648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47" t="s">
        <v>809</v>
      </c>
      <c r="C142" s="648"/>
      <c r="D142" s="648"/>
      <c r="E142" s="648"/>
      <c r="F142" s="648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49" t="s">
        <v>113</v>
      </c>
      <c r="C143" s="650"/>
      <c r="D143" s="650"/>
      <c r="E143" s="650"/>
      <c r="F143" s="650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49" t="s">
        <v>366</v>
      </c>
      <c r="C144" s="650"/>
      <c r="D144" s="650"/>
      <c r="E144" s="650"/>
      <c r="F144" s="650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49" t="s">
        <v>359</v>
      </c>
      <c r="C145" s="650"/>
      <c r="D145" s="650"/>
      <c r="E145" s="650"/>
      <c r="F145" s="650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49" t="s">
        <v>365</v>
      </c>
      <c r="C146" s="650"/>
      <c r="D146" s="650"/>
      <c r="E146" s="650"/>
      <c r="F146" s="650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7" t="s">
        <v>685</v>
      </c>
      <c r="C147" s="668"/>
      <c r="D147" s="668"/>
      <c r="E147" s="668"/>
      <c r="F147" s="668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57" t="s">
        <v>545</v>
      </c>
      <c r="C148" s="658"/>
      <c r="D148" s="658"/>
      <c r="E148" s="658"/>
      <c r="F148" s="658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59" t="s">
        <v>810</v>
      </c>
      <c r="C149" s="660"/>
      <c r="D149" s="660"/>
      <c r="E149" s="660"/>
      <c r="F149" s="660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51" t="s">
        <v>352</v>
      </c>
      <c r="C150" s="652"/>
      <c r="D150" s="652"/>
      <c r="E150" s="652"/>
      <c r="F150" s="652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55" t="s">
        <v>355</v>
      </c>
      <c r="C151" s="656"/>
      <c r="D151" s="656"/>
      <c r="E151" s="656"/>
      <c r="F151" s="656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49" t="s">
        <v>357</v>
      </c>
      <c r="C152" s="650"/>
      <c r="D152" s="650"/>
      <c r="E152" s="650"/>
      <c r="F152" s="650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5" t="s">
        <v>336</v>
      </c>
      <c r="C153" s="666"/>
      <c r="D153" s="666"/>
      <c r="E153" s="666"/>
      <c r="F153" s="666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3" t="s">
        <v>543</v>
      </c>
      <c r="C154" s="654"/>
      <c r="D154" s="654"/>
      <c r="E154" s="654"/>
      <c r="F154" s="654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27" t="s">
        <v>544</v>
      </c>
      <c r="C155" s="628"/>
      <c r="D155" s="628"/>
      <c r="E155" s="628"/>
      <c r="F155" s="628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55" t="s">
        <v>114</v>
      </c>
      <c r="C156" s="656"/>
      <c r="D156" s="656"/>
      <c r="E156" s="656"/>
      <c r="F156" s="656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49" t="s">
        <v>116</v>
      </c>
      <c r="C157" s="650"/>
      <c r="D157" s="650"/>
      <c r="E157" s="650"/>
      <c r="F157" s="650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49" t="s">
        <v>93</v>
      </c>
      <c r="C158" s="650"/>
      <c r="D158" s="650"/>
      <c r="E158" s="650"/>
      <c r="F158" s="650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64" t="s">
        <v>553</v>
      </c>
      <c r="C7" s="565"/>
      <c r="D7" s="565"/>
      <c r="E7" s="565"/>
      <c r="F7" s="565"/>
      <c r="G7" s="573">
        <v>2018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">
        <v>419</v>
      </c>
      <c r="T7" s="221">
        <v>4663130000</v>
      </c>
    </row>
    <row r="8" spans="1:20" ht="16.5" customHeight="1">
      <c r="A8" s="129"/>
      <c r="B8" s="566"/>
      <c r="C8" s="567"/>
      <c r="D8" s="567"/>
      <c r="E8" s="567"/>
      <c r="F8" s="568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3" t="s">
        <v>806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06" t="s">
        <v>680</v>
      </c>
      <c r="C10" s="607"/>
      <c r="D10" s="607"/>
      <c r="E10" s="607"/>
      <c r="F10" s="607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08" t="s">
        <v>21</v>
      </c>
      <c r="C11" s="609"/>
      <c r="D11" s="609"/>
      <c r="E11" s="609"/>
      <c r="F11" s="609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94" t="s">
        <v>23</v>
      </c>
      <c r="C12" s="595"/>
      <c r="D12" s="595"/>
      <c r="E12" s="595"/>
      <c r="F12" s="595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94" t="s">
        <v>25</v>
      </c>
      <c r="C13" s="595"/>
      <c r="D13" s="595"/>
      <c r="E13" s="595"/>
      <c r="F13" s="595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94" t="s">
        <v>27</v>
      </c>
      <c r="C14" s="595"/>
      <c r="D14" s="595"/>
      <c r="E14" s="595"/>
      <c r="F14" s="595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94" t="s">
        <v>29</v>
      </c>
      <c r="C15" s="595"/>
      <c r="D15" s="595"/>
      <c r="E15" s="595"/>
      <c r="F15" s="595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94" t="s">
        <v>31</v>
      </c>
      <c r="C16" s="595"/>
      <c r="D16" s="595"/>
      <c r="E16" s="595"/>
      <c r="F16" s="595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94" t="s">
        <v>33</v>
      </c>
      <c r="C17" s="595"/>
      <c r="D17" s="595"/>
      <c r="E17" s="595"/>
      <c r="F17" s="595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94" t="s">
        <v>721</v>
      </c>
      <c r="C18" s="595"/>
      <c r="D18" s="595"/>
      <c r="E18" s="595"/>
      <c r="F18" s="595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04" t="s">
        <v>37</v>
      </c>
      <c r="C19" s="605"/>
      <c r="D19" s="605"/>
      <c r="E19" s="605"/>
      <c r="F19" s="605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94" t="s">
        <v>39</v>
      </c>
      <c r="C20" s="595"/>
      <c r="D20" s="595"/>
      <c r="E20" s="595"/>
      <c r="F20" s="595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94" t="s">
        <v>41</v>
      </c>
      <c r="C21" s="595"/>
      <c r="D21" s="595"/>
      <c r="E21" s="595"/>
      <c r="F21" s="595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94" t="s">
        <v>43</v>
      </c>
      <c r="C22" s="595"/>
      <c r="D22" s="595"/>
      <c r="E22" s="595"/>
      <c r="F22" s="595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94" t="s">
        <v>45</v>
      </c>
      <c r="C23" s="595"/>
      <c r="D23" s="595"/>
      <c r="E23" s="595"/>
      <c r="F23" s="595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96" t="s">
        <v>47</v>
      </c>
      <c r="C24" s="597"/>
      <c r="D24" s="597"/>
      <c r="E24" s="597"/>
      <c r="F24" s="597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96" t="s">
        <v>61</v>
      </c>
      <c r="C25" s="597"/>
      <c r="D25" s="597"/>
      <c r="E25" s="597"/>
      <c r="F25" s="597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96" t="s">
        <v>81</v>
      </c>
      <c r="C26" s="597"/>
      <c r="D26" s="597"/>
      <c r="E26" s="597"/>
      <c r="F26" s="597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96" t="s">
        <v>99</v>
      </c>
      <c r="C27" s="597"/>
      <c r="D27" s="597"/>
      <c r="E27" s="597"/>
      <c r="F27" s="597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98" t="s">
        <v>105</v>
      </c>
      <c r="C28" s="599"/>
      <c r="D28" s="599"/>
      <c r="E28" s="599"/>
      <c r="F28" s="599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84" t="s">
        <v>801</v>
      </c>
      <c r="C29" s="585"/>
      <c r="D29" s="585"/>
      <c r="E29" s="585"/>
      <c r="F29" s="585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600" t="s">
        <v>773</v>
      </c>
      <c r="C30" s="601"/>
      <c r="D30" s="601"/>
      <c r="E30" s="601"/>
      <c r="F30" s="601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2" t="s">
        <v>120</v>
      </c>
      <c r="C31" s="603"/>
      <c r="D31" s="603"/>
      <c r="E31" s="603"/>
      <c r="F31" s="603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94" t="s">
        <v>122</v>
      </c>
      <c r="C32" s="595"/>
      <c r="D32" s="595"/>
      <c r="E32" s="595"/>
      <c r="F32" s="595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94" t="s">
        <v>133</v>
      </c>
      <c r="C33" s="595"/>
      <c r="D33" s="595"/>
      <c r="E33" s="595"/>
      <c r="F33" s="595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94" t="s">
        <v>148</v>
      </c>
      <c r="C34" s="595"/>
      <c r="D34" s="595"/>
      <c r="E34" s="595"/>
      <c r="F34" s="595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94" t="s">
        <v>162</v>
      </c>
      <c r="C35" s="595"/>
      <c r="D35" s="595"/>
      <c r="E35" s="595"/>
      <c r="F35" s="595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94" t="s">
        <v>182</v>
      </c>
      <c r="C36" s="595"/>
      <c r="D36" s="595"/>
      <c r="E36" s="595"/>
      <c r="F36" s="595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94" t="s">
        <v>190</v>
      </c>
      <c r="C37" s="595"/>
      <c r="D37" s="595"/>
      <c r="E37" s="595"/>
      <c r="F37" s="595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94" t="s">
        <v>196</v>
      </c>
      <c r="C38" s="595"/>
      <c r="D38" s="595"/>
      <c r="E38" s="595"/>
      <c r="F38" s="595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94" t="s">
        <v>204</v>
      </c>
      <c r="C39" s="595"/>
      <c r="D39" s="595"/>
      <c r="E39" s="595"/>
      <c r="F39" s="595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94" t="s">
        <v>212</v>
      </c>
      <c r="C40" s="595"/>
      <c r="D40" s="595"/>
      <c r="E40" s="595"/>
      <c r="F40" s="595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94" t="s">
        <v>802</v>
      </c>
      <c r="C41" s="595"/>
      <c r="D41" s="595"/>
      <c r="E41" s="595"/>
      <c r="F41" s="595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90" t="s">
        <v>230</v>
      </c>
      <c r="C42" s="591"/>
      <c r="D42" s="591"/>
      <c r="E42" s="591"/>
      <c r="F42" s="591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94" t="s">
        <v>232</v>
      </c>
      <c r="C43" s="595"/>
      <c r="D43" s="595"/>
      <c r="E43" s="595"/>
      <c r="F43" s="595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94" t="s">
        <v>248</v>
      </c>
      <c r="C44" s="595"/>
      <c r="D44" s="595"/>
      <c r="E44" s="595"/>
      <c r="F44" s="595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94" t="s">
        <v>259</v>
      </c>
      <c r="C45" s="595"/>
      <c r="D45" s="595"/>
      <c r="E45" s="595"/>
      <c r="F45" s="595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94" t="s">
        <v>274</v>
      </c>
      <c r="C46" s="595"/>
      <c r="D46" s="595"/>
      <c r="E46" s="595"/>
      <c r="F46" s="595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3" t="s">
        <v>278</v>
      </c>
      <c r="C47" s="674"/>
      <c r="D47" s="674"/>
      <c r="E47" s="674"/>
      <c r="F47" s="674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2" t="s">
        <v>286</v>
      </c>
      <c r="C48" s="593"/>
      <c r="D48" s="593"/>
      <c r="E48" s="593"/>
      <c r="F48" s="593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2" t="s">
        <v>320</v>
      </c>
      <c r="C49" s="593"/>
      <c r="D49" s="593"/>
      <c r="E49" s="593"/>
      <c r="F49" s="593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16" t="s">
        <v>113</v>
      </c>
      <c r="C50" s="617"/>
      <c r="D50" s="617"/>
      <c r="E50" s="617"/>
      <c r="F50" s="617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2" t="s">
        <v>366</v>
      </c>
      <c r="C51" s="563"/>
      <c r="D51" s="563"/>
      <c r="E51" s="563"/>
      <c r="F51" s="563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0" t="s">
        <v>359</v>
      </c>
      <c r="C52" s="581"/>
      <c r="D52" s="581"/>
      <c r="E52" s="581"/>
      <c r="F52" s="581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3" t="s">
        <v>794</v>
      </c>
      <c r="C53" s="624"/>
      <c r="D53" s="624"/>
      <c r="E53" s="624"/>
      <c r="F53" s="624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25" t="s">
        <v>684</v>
      </c>
      <c r="C54" s="626"/>
      <c r="D54" s="626"/>
      <c r="E54" s="626"/>
      <c r="F54" s="626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6" t="s">
        <v>545</v>
      </c>
      <c r="C55" s="587"/>
      <c r="D55" s="587"/>
      <c r="E55" s="587"/>
      <c r="F55" s="587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8" t="s">
        <v>793</v>
      </c>
      <c r="C57" s="589"/>
      <c r="D57" s="589"/>
      <c r="E57" s="589"/>
      <c r="F57" s="589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0" t="s">
        <v>352</v>
      </c>
      <c r="C58" s="611"/>
      <c r="D58" s="611"/>
      <c r="E58" s="611"/>
      <c r="F58" s="611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78" t="s">
        <v>355</v>
      </c>
      <c r="C59" s="579"/>
      <c r="D59" s="579"/>
      <c r="E59" s="579"/>
      <c r="F59" s="579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2" t="s">
        <v>357</v>
      </c>
      <c r="C60" s="563"/>
      <c r="D60" s="563"/>
      <c r="E60" s="563"/>
      <c r="F60" s="563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1" t="s">
        <v>336</v>
      </c>
      <c r="C61" s="672"/>
      <c r="D61" s="672"/>
      <c r="E61" s="672"/>
      <c r="F61" s="672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2" t="s">
        <v>543</v>
      </c>
      <c r="C62" s="583"/>
      <c r="D62" s="583"/>
      <c r="E62" s="583"/>
      <c r="F62" s="583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84" t="s">
        <v>544</v>
      </c>
      <c r="C63" s="585"/>
      <c r="D63" s="585"/>
      <c r="E63" s="585"/>
      <c r="F63" s="585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78" t="s">
        <v>114</v>
      </c>
      <c r="C64" s="579"/>
      <c r="D64" s="579"/>
      <c r="E64" s="579"/>
      <c r="F64" s="579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2" t="s">
        <v>116</v>
      </c>
      <c r="C65" s="563"/>
      <c r="D65" s="563"/>
      <c r="E65" s="563"/>
      <c r="F65" s="563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2" t="s">
        <v>93</v>
      </c>
      <c r="C66" s="563"/>
      <c r="D66" s="563"/>
      <c r="E66" s="563"/>
      <c r="F66" s="563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3" t="s">
        <v>551</v>
      </c>
      <c r="C103" s="634"/>
      <c r="D103" s="634"/>
      <c r="E103" s="634"/>
      <c r="F103" s="634"/>
      <c r="G103" s="618">
        <v>2018</v>
      </c>
      <c r="H103" s="619"/>
      <c r="I103" s="619"/>
      <c r="J103" s="619"/>
      <c r="K103" s="619"/>
      <c r="L103" s="619"/>
      <c r="M103" s="619"/>
      <c r="N103" s="619"/>
      <c r="O103" s="619"/>
      <c r="P103" s="619"/>
      <c r="Q103" s="619"/>
      <c r="R103" s="620"/>
      <c r="S103" s="96" t="str">
        <f>+S7</f>
        <v>BDP</v>
      </c>
      <c r="T103" s="97">
        <f>+T7</f>
        <v>4663130000</v>
      </c>
    </row>
    <row r="104" spans="1:21" ht="15.75" customHeight="1">
      <c r="B104" s="635"/>
      <c r="C104" s="636"/>
      <c r="D104" s="636"/>
      <c r="E104" s="636"/>
      <c r="F104" s="637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18" t="s">
        <v>806</v>
      </c>
      <c r="T104" s="620">
        <f>+T8</f>
        <v>0</v>
      </c>
    </row>
    <row r="105" spans="1:21" ht="13.5" thickBot="1">
      <c r="B105" s="638"/>
      <c r="C105" s="639"/>
      <c r="D105" s="639"/>
      <c r="E105" s="639"/>
      <c r="F105" s="640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3" t="s">
        <v>680</v>
      </c>
      <c r="C106" s="664"/>
      <c r="D106" s="664"/>
      <c r="E106" s="664"/>
      <c r="F106" s="664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29" t="s">
        <v>21</v>
      </c>
      <c r="C107" s="630"/>
      <c r="D107" s="630"/>
      <c r="E107" s="630"/>
      <c r="F107" s="630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1" t="s">
        <v>23</v>
      </c>
      <c r="C108" s="632"/>
      <c r="D108" s="632"/>
      <c r="E108" s="632"/>
      <c r="F108" s="632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1" t="s">
        <v>25</v>
      </c>
      <c r="C109" s="632"/>
      <c r="D109" s="632"/>
      <c r="E109" s="632"/>
      <c r="F109" s="632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1" t="s">
        <v>27</v>
      </c>
      <c r="C110" s="632"/>
      <c r="D110" s="632"/>
      <c r="E110" s="632"/>
      <c r="F110" s="632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1" t="s">
        <v>29</v>
      </c>
      <c r="C111" s="632"/>
      <c r="D111" s="632"/>
      <c r="E111" s="632"/>
      <c r="F111" s="632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1" t="s">
        <v>31</v>
      </c>
      <c r="C112" s="632"/>
      <c r="D112" s="632"/>
      <c r="E112" s="632"/>
      <c r="F112" s="632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1" t="s">
        <v>33</v>
      </c>
      <c r="C113" s="632"/>
      <c r="D113" s="632"/>
      <c r="E113" s="632"/>
      <c r="F113" s="632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1" t="s">
        <v>721</v>
      </c>
      <c r="C114" s="632"/>
      <c r="D114" s="632"/>
      <c r="E114" s="632"/>
      <c r="F114" s="632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1" t="s">
        <v>37</v>
      </c>
      <c r="C115" s="662"/>
      <c r="D115" s="662"/>
      <c r="E115" s="662"/>
      <c r="F115" s="662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1" t="s">
        <v>39</v>
      </c>
      <c r="C116" s="632"/>
      <c r="D116" s="632"/>
      <c r="E116" s="632"/>
      <c r="F116" s="632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1" t="s">
        <v>41</v>
      </c>
      <c r="C117" s="632"/>
      <c r="D117" s="632"/>
      <c r="E117" s="632"/>
      <c r="F117" s="632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1" t="s">
        <v>43</v>
      </c>
      <c r="C118" s="632"/>
      <c r="D118" s="632"/>
      <c r="E118" s="632"/>
      <c r="F118" s="632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1" t="s">
        <v>45</v>
      </c>
      <c r="C119" s="632"/>
      <c r="D119" s="632"/>
      <c r="E119" s="632"/>
      <c r="F119" s="632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41" t="s">
        <v>47</v>
      </c>
      <c r="C120" s="642"/>
      <c r="D120" s="642"/>
      <c r="E120" s="642"/>
      <c r="F120" s="642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41" t="s">
        <v>61</v>
      </c>
      <c r="C121" s="642"/>
      <c r="D121" s="642"/>
      <c r="E121" s="642"/>
      <c r="F121" s="642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41" t="s">
        <v>81</v>
      </c>
      <c r="C122" s="642"/>
      <c r="D122" s="642"/>
      <c r="E122" s="642"/>
      <c r="F122" s="642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41" t="s">
        <v>99</v>
      </c>
      <c r="C123" s="642"/>
      <c r="D123" s="642"/>
      <c r="E123" s="642"/>
      <c r="F123" s="642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3" t="s">
        <v>105</v>
      </c>
      <c r="C124" s="644"/>
      <c r="D124" s="644"/>
      <c r="E124" s="644"/>
      <c r="F124" s="644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27" t="s">
        <v>808</v>
      </c>
      <c r="C125" s="628"/>
      <c r="D125" s="628"/>
      <c r="E125" s="628"/>
      <c r="F125" s="628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9" t="s">
        <v>773</v>
      </c>
      <c r="C126" s="670"/>
      <c r="D126" s="670"/>
      <c r="E126" s="670"/>
      <c r="F126" s="670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45" t="s">
        <v>120</v>
      </c>
      <c r="C127" s="646"/>
      <c r="D127" s="646"/>
      <c r="E127" s="646"/>
      <c r="F127" s="646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1" t="s">
        <v>122</v>
      </c>
      <c r="C128" s="632"/>
      <c r="D128" s="632"/>
      <c r="E128" s="632"/>
      <c r="F128" s="632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1" t="s">
        <v>133</v>
      </c>
      <c r="C129" s="632"/>
      <c r="D129" s="632"/>
      <c r="E129" s="632"/>
      <c r="F129" s="632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1" t="s">
        <v>148</v>
      </c>
      <c r="C130" s="632"/>
      <c r="D130" s="632"/>
      <c r="E130" s="632"/>
      <c r="F130" s="632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1" t="s">
        <v>162</v>
      </c>
      <c r="C131" s="632"/>
      <c r="D131" s="632"/>
      <c r="E131" s="632"/>
      <c r="F131" s="632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1" t="s">
        <v>182</v>
      </c>
      <c r="C132" s="632"/>
      <c r="D132" s="632"/>
      <c r="E132" s="632"/>
      <c r="F132" s="632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1" t="s">
        <v>190</v>
      </c>
      <c r="C133" s="632"/>
      <c r="D133" s="632"/>
      <c r="E133" s="632"/>
      <c r="F133" s="632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1" t="s">
        <v>196</v>
      </c>
      <c r="C134" s="632"/>
      <c r="D134" s="632"/>
      <c r="E134" s="632"/>
      <c r="F134" s="632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1" t="s">
        <v>204</v>
      </c>
      <c r="C135" s="632"/>
      <c r="D135" s="632"/>
      <c r="E135" s="632"/>
      <c r="F135" s="632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1" t="s">
        <v>212</v>
      </c>
      <c r="C136" s="632"/>
      <c r="D136" s="632"/>
      <c r="E136" s="632"/>
      <c r="F136" s="632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1" t="s">
        <v>802</v>
      </c>
      <c r="C137" s="632"/>
      <c r="D137" s="632"/>
      <c r="E137" s="632"/>
      <c r="F137" s="632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51" t="s">
        <v>230</v>
      </c>
      <c r="C138" s="652"/>
      <c r="D138" s="652"/>
      <c r="E138" s="652"/>
      <c r="F138" s="652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1" t="s">
        <v>232</v>
      </c>
      <c r="C139" s="632"/>
      <c r="D139" s="632"/>
      <c r="E139" s="632"/>
      <c r="F139" s="632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1" t="s">
        <v>248</v>
      </c>
      <c r="C140" s="632"/>
      <c r="D140" s="632"/>
      <c r="E140" s="632"/>
      <c r="F140" s="632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1" t="s">
        <v>259</v>
      </c>
      <c r="C141" s="632"/>
      <c r="D141" s="632"/>
      <c r="E141" s="632"/>
      <c r="F141" s="632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1" t="s">
        <v>274</v>
      </c>
      <c r="C142" s="632"/>
      <c r="D142" s="632"/>
      <c r="E142" s="632"/>
      <c r="F142" s="632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1" t="s">
        <v>278</v>
      </c>
      <c r="C143" s="632"/>
      <c r="D143" s="632"/>
      <c r="E143" s="632"/>
      <c r="F143" s="632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47" t="s">
        <v>286</v>
      </c>
      <c r="C144" s="648"/>
      <c r="D144" s="648"/>
      <c r="E144" s="648"/>
      <c r="F144" s="648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47" t="s">
        <v>809</v>
      </c>
      <c r="C145" s="648"/>
      <c r="D145" s="648"/>
      <c r="E145" s="648"/>
      <c r="F145" s="648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49" t="s">
        <v>113</v>
      </c>
      <c r="C146" s="650"/>
      <c r="D146" s="650"/>
      <c r="E146" s="650"/>
      <c r="F146" s="650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49" t="s">
        <v>366</v>
      </c>
      <c r="C147" s="650"/>
      <c r="D147" s="650"/>
      <c r="E147" s="650"/>
      <c r="F147" s="650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49" t="s">
        <v>359</v>
      </c>
      <c r="C148" s="650"/>
      <c r="D148" s="650"/>
      <c r="E148" s="650"/>
      <c r="F148" s="650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57" t="s">
        <v>545</v>
      </c>
      <c r="C150" s="658"/>
      <c r="D150" s="658"/>
      <c r="E150" s="658"/>
      <c r="F150" s="658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59" t="s">
        <v>810</v>
      </c>
      <c r="C151" s="660"/>
      <c r="D151" s="660"/>
      <c r="E151" s="660"/>
      <c r="F151" s="660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51" t="s">
        <v>352</v>
      </c>
      <c r="C152" s="652"/>
      <c r="D152" s="652"/>
      <c r="E152" s="652"/>
      <c r="F152" s="652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55" t="s">
        <v>355</v>
      </c>
      <c r="C153" s="656"/>
      <c r="D153" s="656"/>
      <c r="E153" s="656"/>
      <c r="F153" s="656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49" t="s">
        <v>357</v>
      </c>
      <c r="C154" s="650"/>
      <c r="D154" s="650"/>
      <c r="E154" s="650"/>
      <c r="F154" s="650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49" t="s">
        <v>365</v>
      </c>
      <c r="C155" s="650"/>
      <c r="D155" s="650"/>
      <c r="E155" s="650"/>
      <c r="F155" s="650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3" t="s">
        <v>543</v>
      </c>
      <c r="C157" s="654"/>
      <c r="D157" s="654"/>
      <c r="E157" s="654"/>
      <c r="F157" s="654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27" t="s">
        <v>544</v>
      </c>
      <c r="C158" s="628"/>
      <c r="D158" s="628"/>
      <c r="E158" s="628"/>
      <c r="F158" s="628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55" t="s">
        <v>114</v>
      </c>
      <c r="C159" s="656"/>
      <c r="D159" s="656"/>
      <c r="E159" s="656"/>
      <c r="F159" s="656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49" t="s">
        <v>116</v>
      </c>
      <c r="C160" s="650"/>
      <c r="D160" s="650"/>
      <c r="E160" s="650"/>
      <c r="F160" s="650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49" t="s">
        <v>93</v>
      </c>
      <c r="C161" s="650"/>
      <c r="D161" s="650"/>
      <c r="E161" s="650"/>
      <c r="F161" s="650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8" t="s">
        <v>554</v>
      </c>
      <c r="F6" s="675">
        <v>2006</v>
      </c>
      <c r="G6" s="676"/>
      <c r="H6" s="676"/>
      <c r="I6" s="676"/>
      <c r="J6" s="676"/>
      <c r="K6" s="676"/>
      <c r="L6" s="676"/>
      <c r="M6" s="676"/>
      <c r="N6" s="676"/>
      <c r="O6" s="676"/>
      <c r="P6" s="676"/>
      <c r="Q6" s="677"/>
      <c r="R6" s="675">
        <v>2007</v>
      </c>
      <c r="S6" s="676"/>
      <c r="T6" s="676"/>
      <c r="U6" s="676"/>
      <c r="V6" s="676"/>
      <c r="W6" s="676"/>
      <c r="X6" s="676"/>
      <c r="Y6" s="676"/>
      <c r="Z6" s="676"/>
      <c r="AA6" s="676"/>
      <c r="AB6" s="676"/>
      <c r="AC6" s="677"/>
      <c r="AD6" s="675">
        <v>2008</v>
      </c>
      <c r="AE6" s="676"/>
      <c r="AF6" s="676"/>
      <c r="AG6" s="676"/>
      <c r="AH6" s="676"/>
      <c r="AI6" s="676"/>
      <c r="AJ6" s="676"/>
      <c r="AK6" s="676"/>
      <c r="AL6" s="676"/>
      <c r="AM6" s="676"/>
      <c r="AN6" s="676"/>
      <c r="AO6" s="677"/>
      <c r="AP6" s="675">
        <v>2009</v>
      </c>
      <c r="AQ6" s="676"/>
      <c r="AR6" s="676"/>
      <c r="AS6" s="676"/>
      <c r="AT6" s="676"/>
      <c r="AU6" s="676"/>
      <c r="AV6" s="676"/>
      <c r="AW6" s="676"/>
      <c r="AX6" s="676"/>
      <c r="AY6" s="676"/>
      <c r="AZ6" s="676"/>
      <c r="BA6" s="677"/>
      <c r="BB6" s="675">
        <v>2010</v>
      </c>
      <c r="BC6" s="676"/>
      <c r="BD6" s="676"/>
      <c r="BE6" s="676"/>
      <c r="BF6" s="676"/>
      <c r="BG6" s="676"/>
      <c r="BH6" s="676"/>
      <c r="BI6" s="676"/>
      <c r="BJ6" s="676"/>
      <c r="BK6" s="676"/>
      <c r="BL6" s="676"/>
      <c r="BM6" s="677"/>
      <c r="BN6" s="675">
        <v>2011</v>
      </c>
      <c r="BO6" s="676"/>
      <c r="BP6" s="676"/>
      <c r="BQ6" s="676"/>
      <c r="BR6" s="676"/>
      <c r="BS6" s="676"/>
      <c r="BT6" s="676"/>
      <c r="BU6" s="676"/>
      <c r="BV6" s="676"/>
      <c r="BW6" s="676"/>
      <c r="BX6" s="676"/>
      <c r="BY6" s="677"/>
      <c r="BZ6" s="676">
        <v>2012</v>
      </c>
      <c r="CA6" s="676"/>
      <c r="CB6" s="676"/>
      <c r="CC6" s="676"/>
      <c r="CD6" s="676"/>
      <c r="CE6" s="676"/>
      <c r="CF6" s="676"/>
      <c r="CG6" s="676"/>
      <c r="CH6" s="676"/>
      <c r="CI6" s="676"/>
      <c r="CJ6" s="676"/>
      <c r="CK6" s="676"/>
      <c r="CL6" s="675">
        <v>2013</v>
      </c>
      <c r="CM6" s="676"/>
      <c r="CN6" s="676"/>
      <c r="CO6" s="676"/>
      <c r="CP6" s="676"/>
      <c r="CQ6" s="676"/>
      <c r="CR6" s="676"/>
      <c r="CS6" s="676"/>
      <c r="CT6" s="676"/>
      <c r="CU6" s="676"/>
      <c r="CV6" s="676"/>
      <c r="CW6" s="677"/>
      <c r="CX6" s="675">
        <v>2014</v>
      </c>
      <c r="CY6" s="676"/>
      <c r="CZ6" s="676"/>
      <c r="DA6" s="676"/>
      <c r="DB6" s="676"/>
      <c r="DC6" s="676"/>
      <c r="DD6" s="676"/>
      <c r="DE6" s="676"/>
      <c r="DF6" s="676"/>
      <c r="DG6" s="676"/>
      <c r="DH6" s="676"/>
      <c r="DI6" s="677"/>
      <c r="DJ6" s="675">
        <v>2015</v>
      </c>
      <c r="DK6" s="676"/>
      <c r="DL6" s="676"/>
      <c r="DM6" s="676"/>
      <c r="DN6" s="676"/>
      <c r="DO6" s="676"/>
      <c r="DP6" s="676"/>
      <c r="DQ6" s="676"/>
      <c r="DR6" s="676"/>
      <c r="DS6" s="676"/>
      <c r="DT6" s="676"/>
      <c r="DU6" s="677"/>
    </row>
    <row r="7" spans="1:321">
      <c r="E7" s="678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8" t="s">
        <v>675</v>
      </c>
      <c r="F214" s="675">
        <v>2006</v>
      </c>
      <c r="G214" s="676"/>
      <c r="H214" s="676"/>
      <c r="I214" s="676"/>
      <c r="J214" s="676"/>
      <c r="K214" s="676"/>
      <c r="L214" s="676"/>
      <c r="M214" s="676"/>
      <c r="N214" s="676"/>
      <c r="O214" s="676"/>
      <c r="P214" s="676"/>
      <c r="Q214" s="677"/>
      <c r="R214" s="675">
        <v>2007</v>
      </c>
      <c r="S214" s="676"/>
      <c r="T214" s="676"/>
      <c r="U214" s="676"/>
      <c r="V214" s="676"/>
      <c r="W214" s="676"/>
      <c r="X214" s="676"/>
      <c r="Y214" s="676"/>
      <c r="Z214" s="676"/>
      <c r="AA214" s="676"/>
      <c r="AB214" s="676"/>
      <c r="AC214" s="677"/>
      <c r="AD214" s="675">
        <v>2008</v>
      </c>
      <c r="AE214" s="676"/>
      <c r="AF214" s="676"/>
      <c r="AG214" s="676"/>
      <c r="AH214" s="676"/>
      <c r="AI214" s="676"/>
      <c r="AJ214" s="676"/>
      <c r="AK214" s="676"/>
      <c r="AL214" s="676"/>
      <c r="AM214" s="676"/>
      <c r="AN214" s="676"/>
      <c r="AO214" s="677"/>
      <c r="AP214" s="675">
        <v>2009</v>
      </c>
      <c r="AQ214" s="676"/>
      <c r="AR214" s="676"/>
      <c r="AS214" s="676"/>
      <c r="AT214" s="676"/>
      <c r="AU214" s="676"/>
      <c r="AV214" s="676"/>
      <c r="AW214" s="676"/>
      <c r="AX214" s="676"/>
      <c r="AY214" s="676"/>
      <c r="AZ214" s="676"/>
      <c r="BA214" s="677"/>
      <c r="BB214" s="675">
        <v>2010</v>
      </c>
      <c r="BC214" s="676"/>
      <c r="BD214" s="676"/>
      <c r="BE214" s="676"/>
      <c r="BF214" s="676"/>
      <c r="BG214" s="676"/>
      <c r="BH214" s="676"/>
      <c r="BI214" s="676"/>
      <c r="BJ214" s="676"/>
      <c r="BK214" s="676"/>
      <c r="BL214" s="676"/>
      <c r="BM214" s="677"/>
      <c r="BN214" s="675">
        <v>2011</v>
      </c>
      <c r="BO214" s="676"/>
      <c r="BP214" s="676"/>
      <c r="BQ214" s="676"/>
      <c r="BR214" s="676"/>
      <c r="BS214" s="676"/>
      <c r="BT214" s="676"/>
      <c r="BU214" s="676"/>
      <c r="BV214" s="676"/>
      <c r="BW214" s="676"/>
      <c r="BX214" s="676"/>
      <c r="BY214" s="677"/>
      <c r="BZ214" s="676">
        <v>2012</v>
      </c>
      <c r="CA214" s="676"/>
      <c r="CB214" s="676"/>
      <c r="CC214" s="676"/>
      <c r="CD214" s="676"/>
      <c r="CE214" s="676"/>
      <c r="CF214" s="676"/>
      <c r="CG214" s="676"/>
      <c r="CH214" s="676"/>
      <c r="CI214" s="676"/>
      <c r="CJ214" s="676"/>
      <c r="CK214" s="676"/>
      <c r="CL214" s="675">
        <v>2013</v>
      </c>
      <c r="CM214" s="676"/>
      <c r="CN214" s="676"/>
      <c r="CO214" s="676"/>
      <c r="CP214" s="676"/>
      <c r="CQ214" s="676"/>
      <c r="CR214" s="676"/>
      <c r="CS214" s="676"/>
      <c r="CT214" s="676"/>
      <c r="CU214" s="676"/>
      <c r="CV214" s="676"/>
      <c r="CW214" s="677"/>
      <c r="CX214" s="675">
        <v>2014</v>
      </c>
      <c r="CY214" s="676"/>
      <c r="CZ214" s="676"/>
      <c r="DA214" s="676"/>
      <c r="DB214" s="676"/>
      <c r="DC214" s="676"/>
      <c r="DD214" s="676"/>
      <c r="DE214" s="676"/>
      <c r="DF214" s="676"/>
      <c r="DG214" s="676"/>
      <c r="DH214" s="676"/>
      <c r="DI214" s="677"/>
      <c r="DJ214" s="675">
        <v>2015</v>
      </c>
      <c r="DK214" s="676"/>
      <c r="DL214" s="676"/>
      <c r="DM214" s="676"/>
      <c r="DN214" s="676"/>
      <c r="DO214" s="676"/>
      <c r="DP214" s="676"/>
      <c r="DQ214" s="676"/>
      <c r="DR214" s="676"/>
      <c r="DS214" s="676"/>
      <c r="DT214" s="676"/>
      <c r="DU214" s="677"/>
    </row>
    <row r="215" spans="1:187">
      <c r="E215" s="678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14" activePane="bottomLeft" state="frozen"/>
      <selection pane="bottomLeft" activeCell="D18" sqref="D18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6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Jun</v>
      </c>
    </row>
    <row r="246" spans="4:7">
      <c r="D246" s="41"/>
      <c r="G246" s="44" t="str">
        <f>+CONCATENATE("Jan - ",LEFT(G245,3))</f>
        <v>Jan - Jun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Jun</v>
      </c>
      <c r="F254" s="6" t="str">
        <f>+CONCATENATE("Analytics for period ",G246)</f>
        <v>Analytics for period Jan - Jun</v>
      </c>
      <c r="G254" s="44" t="str">
        <f>+IF(ISBLANK(IF($B$2=1,E254,F254)),"",IF($B$2=1,E254,F254))</f>
        <v>Analitika za period Jan - Jun</v>
      </c>
    </row>
    <row r="255" spans="4:7">
      <c r="E255" s="5" t="str">
        <f>+CONCATENATE("Analitika za period ",G245)</f>
        <v>Analitika za period Jun</v>
      </c>
      <c r="F255" s="6" t="str">
        <f>+CONCATENATE("Analytics for period ",G245)</f>
        <v>Analytics for period Jun</v>
      </c>
      <c r="G255" s="44" t="str">
        <f>+IF(ISBLANK(IF($B$2=1,E255,F255)),"",IF($B$2=1,E255,F255))</f>
        <v>Analitika za period Jun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Jun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Jun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Jun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Jun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Jun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Jun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B6" sqref="B6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Jun</v>
      </c>
      <c r="G11" s="122" t="str">
        <f>+Master!G274</f>
        <v>Prihodi za period Januar - Jun</v>
      </c>
      <c r="J11" s="121"/>
    </row>
    <row r="12" spans="3:10">
      <c r="C12" s="120"/>
      <c r="D12" s="123">
        <f>+'Analitika 2025'!N10</f>
        <v>225817786.13999999</v>
      </c>
      <c r="E12" s="427">
        <f>+D12/'2025'!T7</f>
        <v>2.8517747823451411E-2</v>
      </c>
      <c r="G12" s="123">
        <f>+'Analitika 2025'!G10</f>
        <v>1322829470.8899999</v>
      </c>
      <c r="H12" s="427">
        <f>+G12/'2025'!T7</f>
        <v>0.16705556240323291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Jun</v>
      </c>
      <c r="G15" s="122" t="str">
        <f>+Master!G275</f>
        <v>Rashodi za period Januar - Jun</v>
      </c>
      <c r="J15" s="121"/>
    </row>
    <row r="16" spans="3:10">
      <c r="C16" s="120"/>
      <c r="D16" s="123">
        <f>+'Analitika 2025'!N29</f>
        <v>267365516.46000001</v>
      </c>
      <c r="E16" s="427">
        <f>+D16/'2025'!T7</f>
        <v>3.3764667103618112E-2</v>
      </c>
      <c r="G16" s="123">
        <f>+'Analitika 2025'!G29</f>
        <v>1430170268.23</v>
      </c>
      <c r="H16" s="427">
        <f>+G16/'2025'!T7</f>
        <v>0.18061126074761635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Jun</v>
      </c>
      <c r="G19" s="122" t="str">
        <f>+Master!G276</f>
        <v>Suficit/Deficit za period Januar - Jun</v>
      </c>
      <c r="J19" s="121"/>
    </row>
    <row r="20" spans="3:11">
      <c r="C20" s="120"/>
      <c r="D20" s="123">
        <f>+'Analitika 2025'!N53</f>
        <v>-41547730.320000023</v>
      </c>
      <c r="E20" s="427">
        <f>+D20/'2025'!T7</f>
        <v>-5.2469192801667015E-3</v>
      </c>
      <c r="G20" s="123">
        <f>+'Analitika 2025'!G53</f>
        <v>-107340797.34000012</v>
      </c>
      <c r="H20" s="427">
        <f>+G20/'2025'!T7</f>
        <v>-1.3555698344383421E-2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QmGbmR2Nc5GtGfwRNOes0M12KR+11V9BW5dGJMpGn9lIWMhkjqQEFZkBBSl4+1yHd1qeB66wAnQbQefX3Ai6kw==" saltValue="biay5LmUg1KtrO6T/xn0r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D6" sqref="D6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2025-06</v>
      </c>
      <c r="O6" s="128" t="str">
        <f>+CONCATENATE(N6,"p")</f>
        <v>2025-06p</v>
      </c>
      <c r="P6" s="116"/>
      <c r="Q6" s="116"/>
      <c r="R6" s="128" t="str">
        <f>+IF(Master!B3-10&gt;=0,CONCATENATE(Master!B4-1,"-",Master!B3),CONCATENATE(Master!B4-1,"-0",Master!B3))</f>
        <v>2024-06</v>
      </c>
      <c r="S6" s="116"/>
      <c r="T6" s="116"/>
    </row>
    <row r="7" spans="1:25" ht="14.25" customHeight="1">
      <c r="A7" s="129"/>
      <c r="B7" s="564" t="str">
        <f>+Master!G254</f>
        <v>Analitika za period Jan - Jun</v>
      </c>
      <c r="C7" s="565"/>
      <c r="D7" s="565"/>
      <c r="E7" s="565"/>
      <c r="F7" s="565"/>
      <c r="G7" s="573" t="str">
        <f>+Master!G246</f>
        <v>Jan - Jun</v>
      </c>
      <c r="H7" s="574"/>
      <c r="I7" s="574"/>
      <c r="J7" s="574"/>
      <c r="K7" s="574"/>
      <c r="L7" s="574"/>
      <c r="M7" s="577"/>
      <c r="N7" s="574" t="str">
        <f>+Master!G245</f>
        <v>Jun</v>
      </c>
      <c r="O7" s="574"/>
      <c r="P7" s="574"/>
      <c r="Q7" s="574"/>
      <c r="R7" s="574"/>
      <c r="S7" s="574"/>
      <c r="T7" s="577"/>
    </row>
    <row r="8" spans="1:25" ht="29.25" customHeight="1">
      <c r="A8" s="129"/>
      <c r="B8" s="566"/>
      <c r="C8" s="567"/>
      <c r="D8" s="567"/>
      <c r="E8" s="567"/>
      <c r="F8" s="568"/>
      <c r="G8" s="487" t="str">
        <f>+Master!G26</f>
        <v>Ostvarenje</v>
      </c>
      <c r="H8" s="330" t="str">
        <f>+Master!G25</f>
        <v>Plan</v>
      </c>
      <c r="I8" s="560" t="str">
        <f>+Master!G261</f>
        <v>Odstupanje</v>
      </c>
      <c r="J8" s="560"/>
      <c r="K8" s="130" t="str">
        <f>+CONCATENATE(Master!G246," ",Master!B4-1)</f>
        <v>Jan - Jun 2024</v>
      </c>
      <c r="L8" s="560" t="str">
        <f>+I8</f>
        <v>Odstupanje</v>
      </c>
      <c r="M8" s="561"/>
      <c r="N8" s="487" t="str">
        <f>+G8</f>
        <v>Ostvarenje</v>
      </c>
      <c r="O8" s="130" t="str">
        <f>+H8</f>
        <v>Plan</v>
      </c>
      <c r="P8" s="560" t="str">
        <f>+I8</f>
        <v>Odstupanje</v>
      </c>
      <c r="Q8" s="560"/>
      <c r="R8" s="130" t="str">
        <f>+CONCATENATE(Master!G245," ",Master!B4-1)</f>
        <v>Jun 2024</v>
      </c>
      <c r="S8" s="560" t="str">
        <f>+P8</f>
        <v>Odstupanje</v>
      </c>
      <c r="T8" s="561"/>
    </row>
    <row r="9" spans="1:25" ht="15.75" thickBot="1">
      <c r="A9" s="129"/>
      <c r="B9" s="569"/>
      <c r="C9" s="570"/>
      <c r="D9" s="570"/>
      <c r="E9" s="570"/>
      <c r="F9" s="571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'2025'!S10</f>
        <v>1322829470.8899999</v>
      </c>
      <c r="H10" s="136">
        <f>SUM('2025'!G86:L86)</f>
        <v>1359561883.3961887</v>
      </c>
      <c r="I10" s="137">
        <f>+G10-H10</f>
        <v>-36732412.506188869</v>
      </c>
      <c r="J10" s="139">
        <f>IF(+IF(ISERROR(G10/H10),"…",G10/H10-1)&gt;200%,"...",IF(ISERROR(G10/H10),"…",G10/H10-1))</f>
        <v>-2.7017830489945216E-2</v>
      </c>
      <c r="K10" s="136">
        <f>SUM('2024'!G10:L10)</f>
        <v>1309730668.79</v>
      </c>
      <c r="L10" s="137">
        <f>+G10-K10</f>
        <v>13098802.099999905</v>
      </c>
      <c r="M10" s="141">
        <f>IF(+IF(ISERROR(G10/K10),"…",G10/K10-1)&gt;200%,"...",IF(ISERROR(G10/K10),"…",G10/K10-1))</f>
        <v>1.0001141770697997E-2</v>
      </c>
      <c r="N10" s="136">
        <f>'2025'!L10</f>
        <v>225817786.13999999</v>
      </c>
      <c r="O10" s="136">
        <f>'2025'!L86</f>
        <v>240317685.16175744</v>
      </c>
      <c r="P10" s="137">
        <f>+N10-O10</f>
        <v>-14499899.021757454</v>
      </c>
      <c r="Q10" s="139">
        <f>IF(+IF(ISERROR(N10/O10),"…",N10/O10-1)&gt;200%,"...",IF(ISERROR(N10/O10),"…",N10/O10-1))</f>
        <v>-6.0336379372153193E-2</v>
      </c>
      <c r="R10" s="136">
        <f>'2024'!L10</f>
        <v>221230415.70000005</v>
      </c>
      <c r="S10" s="137">
        <f>+N10-R10</f>
        <v>4587370.439999938</v>
      </c>
      <c r="T10" s="141">
        <f>IF(+IF(ISERROR(N10/R10),"…",N10/R10-1)&gt;200%,"...",IF(ISERROR(N10/R10),"…",N10/R10-1))</f>
        <v>2.0735713149952373E-2</v>
      </c>
      <c r="W10" s="470"/>
      <c r="Y10" s="470"/>
    </row>
    <row r="11" spans="1:25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262">
        <f>'2025'!S11</f>
        <v>1071434911.4400001</v>
      </c>
      <c r="H11" s="262">
        <f>SUM('2025'!G87:L87)</f>
        <v>1064921577.5455701</v>
      </c>
      <c r="I11" s="143">
        <f t="shared" ref="I11:I57" si="0">+G11-H11</f>
        <v>6513333.8944299221</v>
      </c>
      <c r="J11" s="145">
        <f t="shared" ref="J11:J66" si="1">IF(+IF(ISERROR(G11/H11-1),"…",G11/H11-1)&gt;200%,"...",IF(ISERROR(G11/H11-1),"…",G11/H11-1))</f>
        <v>6.1162568509898207E-3</v>
      </c>
      <c r="K11" s="262">
        <f>SUM('2024'!G11:L11)</f>
        <v>959313974.54999995</v>
      </c>
      <c r="L11" s="143">
        <f>+G11-K11</f>
        <v>112120936.8900001</v>
      </c>
      <c r="M11" s="147">
        <f t="shared" ref="M11:M66" si="2">IF(+IF(ISERROR(G11/K11),"…",G11/K11-1)&gt;200%,"...",IF(ISERROR(G11/K11),"…",G11/K11-1))</f>
        <v>0.11687616345065166</v>
      </c>
      <c r="N11" s="262">
        <f>'2025'!L11</f>
        <v>177871216.63999999</v>
      </c>
      <c r="O11" s="262">
        <f>'2025'!L87</f>
        <v>187364739.47822165</v>
      </c>
      <c r="P11" s="143">
        <f>+N11-O11</f>
        <v>-9493522.8382216692</v>
      </c>
      <c r="Q11" s="145">
        <f t="shared" ref="Q11:Q66" si="3">IF(+IF(ISERROR(N11/O11),"…",N11/O11-1)&gt;200%,"...",IF(ISERROR(N11/O11),"…",N11/O11-1))</f>
        <v>-5.06686736504397E-2</v>
      </c>
      <c r="R11" s="262">
        <f>'2024'!L11</f>
        <v>153003406.79000002</v>
      </c>
      <c r="S11" s="143">
        <f t="shared" ref="S11:S57" si="4">+N11-R11</f>
        <v>24867809.849999964</v>
      </c>
      <c r="T11" s="147">
        <f t="shared" ref="T11:T66" si="5">IF(+IF(ISERROR(N11/R11),"…",N11/R11-1)&gt;200%,"...",IF(ISERROR(N11/R11),"…",N11/R11-1))</f>
        <v>0.16253108588707099</v>
      </c>
      <c r="W11" s="470"/>
      <c r="Y11" s="470"/>
    </row>
    <row r="12" spans="1:25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f>'2025'!S12</f>
        <v>46585289.640000001</v>
      </c>
      <c r="H12" s="148">
        <f>SUM('2025'!G88:L88)</f>
        <v>47454013.386564322</v>
      </c>
      <c r="I12" s="149">
        <f t="shared" si="0"/>
        <v>-868723.74656432122</v>
      </c>
      <c r="J12" s="151">
        <f t="shared" si="1"/>
        <v>-1.830664436088103E-2</v>
      </c>
      <c r="K12" s="148">
        <f>SUM('2024'!G12:L12)</f>
        <v>37769481.849999994</v>
      </c>
      <c r="L12" s="149">
        <f>+G12-K12</f>
        <v>8815807.7900000066</v>
      </c>
      <c r="M12" s="153">
        <f t="shared" si="2"/>
        <v>0.23341087455241349</v>
      </c>
      <c r="N12" s="148">
        <f>'2025'!L12</f>
        <v>7843776.29</v>
      </c>
      <c r="O12" s="148">
        <f>'2025'!L88</f>
        <v>8631219.9475545604</v>
      </c>
      <c r="P12" s="149">
        <f t="shared" ref="P12:P57" si="6">+N12-O12</f>
        <v>-787443.65755456034</v>
      </c>
      <c r="Q12" s="151">
        <f t="shared" si="3"/>
        <v>-9.123202309050904E-2</v>
      </c>
      <c r="R12" s="148">
        <f>'2024'!L12</f>
        <v>5714143.4300000006</v>
      </c>
      <c r="S12" s="149">
        <f t="shared" si="4"/>
        <v>2129632.8599999994</v>
      </c>
      <c r="T12" s="153">
        <f t="shared" si="5"/>
        <v>0.37269503051308583</v>
      </c>
      <c r="W12" s="470"/>
      <c r="Y12" s="470"/>
    </row>
    <row r="13" spans="1:25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f>'2025'!S13</f>
        <v>210114445.28999999</v>
      </c>
      <c r="H13" s="148">
        <f>SUM('2025'!G89:L89)</f>
        <v>198385149.93708393</v>
      </c>
      <c r="I13" s="149">
        <f t="shared" si="0"/>
        <v>11729295.352916062</v>
      </c>
      <c r="J13" s="151">
        <f t="shared" si="1"/>
        <v>5.9123857590328122E-2</v>
      </c>
      <c r="K13" s="148">
        <f>SUM('2024'!G13:L13)</f>
        <v>191189769.47999999</v>
      </c>
      <c r="L13" s="149">
        <f t="shared" ref="L13:L57" si="7">+G13-K13</f>
        <v>18924675.810000002</v>
      </c>
      <c r="M13" s="153">
        <f t="shared" si="2"/>
        <v>9.8983726281335782E-2</v>
      </c>
      <c r="N13" s="148">
        <f>'2025'!L13</f>
        <v>10311268.779999999</v>
      </c>
      <c r="O13" s="148">
        <f>'2025'!L89</f>
        <v>5448872.5777699081</v>
      </c>
      <c r="P13" s="149">
        <f t="shared" si="6"/>
        <v>4862396.2022300912</v>
      </c>
      <c r="Q13" s="151">
        <f t="shared" si="3"/>
        <v>0.89236739028684586</v>
      </c>
      <c r="R13" s="148">
        <f>'2024'!L13</f>
        <v>5452063.1399999997</v>
      </c>
      <c r="S13" s="149">
        <f t="shared" si="4"/>
        <v>4859205.6399999997</v>
      </c>
      <c r="T13" s="153">
        <f t="shared" si="5"/>
        <v>0.89125997172512572</v>
      </c>
      <c r="W13" s="470"/>
      <c r="Y13" s="470"/>
    </row>
    <row r="14" spans="1:25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f>'2025'!S14</f>
        <v>0</v>
      </c>
      <c r="H14" s="148">
        <f>SUM('2025'!G90:L90)</f>
        <v>0</v>
      </c>
      <c r="I14" s="149">
        <f t="shared" si="0"/>
        <v>0</v>
      </c>
      <c r="J14" s="151" t="str">
        <f t="shared" si="1"/>
        <v>...</v>
      </c>
      <c r="K14" s="148">
        <f>SUM('2024'!G14:L14)</f>
        <v>0</v>
      </c>
      <c r="L14" s="149">
        <f t="shared" si="7"/>
        <v>0</v>
      </c>
      <c r="M14" s="153" t="str">
        <f t="shared" si="2"/>
        <v>...</v>
      </c>
      <c r="N14" s="148">
        <f>'2025'!L14</f>
        <v>0</v>
      </c>
      <c r="O14" s="148">
        <f>'2025'!L90</f>
        <v>0</v>
      </c>
      <c r="P14" s="149">
        <f t="shared" si="6"/>
        <v>0</v>
      </c>
      <c r="Q14" s="151" t="str">
        <f t="shared" si="3"/>
        <v>...</v>
      </c>
      <c r="R14" s="148">
        <f>'2024'!L14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f>'2025'!S15</f>
        <v>602058876.58000004</v>
      </c>
      <c r="H15" s="148">
        <f>SUM('2025'!G91:L91)</f>
        <v>611764887.9529773</v>
      </c>
      <c r="I15" s="149">
        <f t="shared" si="0"/>
        <v>-9706011.3729772568</v>
      </c>
      <c r="J15" s="151">
        <f t="shared" si="1"/>
        <v>-1.586559079167571E-2</v>
      </c>
      <c r="K15" s="148">
        <f>SUM('2024'!G15:L15)</f>
        <v>535961758.94</v>
      </c>
      <c r="L15" s="149">
        <f t="shared" si="7"/>
        <v>66097117.640000045</v>
      </c>
      <c r="M15" s="153">
        <f t="shared" si="2"/>
        <v>0.12332431659065346</v>
      </c>
      <c r="N15" s="148">
        <f>'2025'!L15</f>
        <v>114852175.14</v>
      </c>
      <c r="O15" s="148">
        <f>'2025'!L91</f>
        <v>126280000.17691053</v>
      </c>
      <c r="P15" s="149">
        <f t="shared" si="6"/>
        <v>-11427825.036910534</v>
      </c>
      <c r="Q15" s="151">
        <f t="shared" si="3"/>
        <v>-9.0495921926677658E-2</v>
      </c>
      <c r="R15" s="148">
        <f>'2024'!L15</f>
        <v>100885481.08999999</v>
      </c>
      <c r="S15" s="149">
        <f t="shared" si="4"/>
        <v>13966694.050000012</v>
      </c>
      <c r="T15" s="153">
        <f t="shared" si="5"/>
        <v>0.13844107099554104</v>
      </c>
      <c r="W15" s="470"/>
      <c r="Y15" s="470"/>
    </row>
    <row r="16" spans="1:25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f>'2025'!S16</f>
        <v>172861788.03</v>
      </c>
      <c r="H16" s="148">
        <f>SUM('2025'!G92:L92)</f>
        <v>170651764.84999999</v>
      </c>
      <c r="I16" s="149">
        <f t="shared" si="0"/>
        <v>2210023.1800000072</v>
      </c>
      <c r="J16" s="151">
        <f t="shared" si="1"/>
        <v>1.2950485346240548E-2</v>
      </c>
      <c r="K16" s="148">
        <f>SUM('2024'!G16:L16)</f>
        <v>160218575.26999998</v>
      </c>
      <c r="L16" s="149">
        <f t="shared" si="7"/>
        <v>12643212.76000002</v>
      </c>
      <c r="M16" s="153">
        <f t="shared" si="2"/>
        <v>7.8912278046997297E-2</v>
      </c>
      <c r="N16" s="148">
        <f>'2025'!L16</f>
        <v>37020225.659999996</v>
      </c>
      <c r="O16" s="148">
        <f>'2025'!L92</f>
        <v>40000000</v>
      </c>
      <c r="P16" s="149">
        <f t="shared" si="6"/>
        <v>-2979774.3400000036</v>
      </c>
      <c r="Q16" s="151">
        <f t="shared" si="3"/>
        <v>-7.449435850000008E-2</v>
      </c>
      <c r="R16" s="148">
        <f>'2024'!L16</f>
        <v>34644163.43</v>
      </c>
      <c r="S16" s="149">
        <f t="shared" si="4"/>
        <v>2376062.2299999967</v>
      </c>
      <c r="T16" s="153">
        <f t="shared" si="5"/>
        <v>6.8584777196335933E-2</v>
      </c>
      <c r="W16" s="470"/>
      <c r="Y16" s="470"/>
    </row>
    <row r="17" spans="1:25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f>'2025'!S17</f>
        <v>32307775.360000003</v>
      </c>
      <c r="H17" s="148">
        <f>SUM('2025'!G93:L93)</f>
        <v>28829454.731989071</v>
      </c>
      <c r="I17" s="149">
        <f t="shared" si="0"/>
        <v>3478320.6280109324</v>
      </c>
      <c r="J17" s="151">
        <f t="shared" si="1"/>
        <v>0.12065162731473378</v>
      </c>
      <c r="K17" s="148">
        <f>SUM('2024'!G17:L17)</f>
        <v>27246928.510000005</v>
      </c>
      <c r="L17" s="149">
        <f t="shared" si="7"/>
        <v>5060846.8499999978</v>
      </c>
      <c r="M17" s="153">
        <f t="shared" si="2"/>
        <v>0.18574008619513194</v>
      </c>
      <c r="N17" s="148">
        <f>'2025'!L17</f>
        <v>6373571.0700000003</v>
      </c>
      <c r="O17" s="148">
        <f>'2025'!L93</f>
        <v>5791471.9092387911</v>
      </c>
      <c r="P17" s="149" t="s">
        <v>92</v>
      </c>
      <c r="Q17" s="151">
        <f>IF(+IF(ISERROR(N17/O17),"…",N17/O17-1)&gt;200%,"...",IF(ISERROR(N17/O17),"…",N17/O17-1))</f>
        <v>0.10050970977388674</v>
      </c>
      <c r="R17" s="148">
        <f>'2024'!L17</f>
        <v>5120393.0799999991</v>
      </c>
      <c r="S17" s="149">
        <f t="shared" si="4"/>
        <v>1253177.9900000012</v>
      </c>
      <c r="T17" s="153">
        <f t="shared" si="5"/>
        <v>0.24474253644604982</v>
      </c>
      <c r="W17" s="470"/>
      <c r="Y17" s="470"/>
    </row>
    <row r="18" spans="1:25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f>'2025'!S18</f>
        <v>7506736.54</v>
      </c>
      <c r="H18" s="148">
        <f>SUM('2025'!G94:L94)</f>
        <v>7836306.6869554538</v>
      </c>
      <c r="I18" s="149">
        <f t="shared" si="0"/>
        <v>-329570.14695545379</v>
      </c>
      <c r="J18" s="151">
        <f t="shared" si="1"/>
        <v>-4.2056820913360382E-2</v>
      </c>
      <c r="K18" s="148">
        <f>SUM('2024'!G18:L18)</f>
        <v>6927460.5</v>
      </c>
      <c r="L18" s="149">
        <f t="shared" si="7"/>
        <v>579276.04</v>
      </c>
      <c r="M18" s="153">
        <f t="shared" si="2"/>
        <v>8.3620258823561722E-2</v>
      </c>
      <c r="N18" s="148">
        <f>'2025'!L18</f>
        <v>1470199.7</v>
      </c>
      <c r="O18" s="148">
        <f>'2025'!L94</f>
        <v>1213174.8667478566</v>
      </c>
      <c r="P18" s="149">
        <f t="shared" si="6"/>
        <v>257024.83325214335</v>
      </c>
      <c r="Q18" s="151">
        <f t="shared" si="3"/>
        <v>0.21186132378520739</v>
      </c>
      <c r="R18" s="148">
        <f>'2024'!L18</f>
        <v>1187162.6199999996</v>
      </c>
      <c r="S18" s="149">
        <f t="shared" si="4"/>
        <v>283037.08000000031</v>
      </c>
      <c r="T18" s="153">
        <f t="shared" si="5"/>
        <v>0.23841475062616135</v>
      </c>
      <c r="W18" s="470"/>
      <c r="Y18" s="470"/>
    </row>
    <row r="19" spans="1:25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f>'2025'!S19</f>
        <v>184079723.10999998</v>
      </c>
      <c r="H19" s="154">
        <f>SUM('2025'!G95:L95)</f>
        <v>202775930.78324041</v>
      </c>
      <c r="I19" s="155">
        <f t="shared" si="0"/>
        <v>-18696207.673240423</v>
      </c>
      <c r="J19" s="157">
        <f t="shared" si="1"/>
        <v>-9.2201316009373646E-2</v>
      </c>
      <c r="K19" s="154">
        <f>SUM('2024'!G19:L19)</f>
        <v>265955415.07000011</v>
      </c>
      <c r="L19" s="155">
        <f t="shared" si="7"/>
        <v>-81875691.960000128</v>
      </c>
      <c r="M19" s="159">
        <f t="shared" si="2"/>
        <v>-0.30785495357727632</v>
      </c>
      <c r="N19" s="154">
        <f>'2025'!L19</f>
        <v>34152040.779999994</v>
      </c>
      <c r="O19" s="154">
        <f>'2025'!L95</f>
        <v>37745306.491635233</v>
      </c>
      <c r="P19" s="155">
        <f t="shared" si="6"/>
        <v>-3593265.7116352394</v>
      </c>
      <c r="Q19" s="157">
        <f t="shared" si="3"/>
        <v>-9.5197682721997356E-2</v>
      </c>
      <c r="R19" s="154">
        <f>'2024'!L19</f>
        <v>48567223.640000008</v>
      </c>
      <c r="S19" s="155">
        <f t="shared" si="4"/>
        <v>-14415182.860000014</v>
      </c>
      <c r="T19" s="159">
        <f t="shared" si="5"/>
        <v>-0.29680887190198901</v>
      </c>
      <c r="W19" s="470"/>
      <c r="Y19" s="470"/>
    </row>
    <row r="20" spans="1:25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f>'2025'!S20</f>
        <v>155399995.99000001</v>
      </c>
      <c r="H20" s="148">
        <f>SUM('2025'!G96:L96)</f>
        <v>180601436.69070491</v>
      </c>
      <c r="I20" s="149">
        <f t="shared" si="0"/>
        <v>-25201440.700704902</v>
      </c>
      <c r="J20" s="151">
        <f t="shared" si="1"/>
        <v>-0.13954175095442056</v>
      </c>
      <c r="K20" s="148">
        <f>SUM('2024'!G20:L20)</f>
        <v>244101507.1100001</v>
      </c>
      <c r="L20" s="149">
        <f t="shared" si="7"/>
        <v>-88701511.120000094</v>
      </c>
      <c r="M20" s="153">
        <f t="shared" si="2"/>
        <v>-0.36337961272819308</v>
      </c>
      <c r="N20" s="148">
        <f>'2025'!L20</f>
        <v>28518289.399999999</v>
      </c>
      <c r="O20" s="148">
        <f>'2025'!L96</f>
        <v>33551536.6065332</v>
      </c>
      <c r="P20" s="149">
        <f t="shared" si="6"/>
        <v>-5033247.206533201</v>
      </c>
      <c r="Q20" s="151">
        <f t="shared" si="3"/>
        <v>-0.1500154006524137</v>
      </c>
      <c r="R20" s="148">
        <f>'2024'!L20</f>
        <v>44568700.900000006</v>
      </c>
      <c r="S20" s="149">
        <f t="shared" si="4"/>
        <v>-16050411.500000007</v>
      </c>
      <c r="T20" s="153">
        <f t="shared" si="5"/>
        <v>-0.36012742520839336</v>
      </c>
      <c r="W20" s="470"/>
      <c r="Y20" s="470"/>
    </row>
    <row r="21" spans="1:25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f>'2025'!S21</f>
        <v>3649257.4600000004</v>
      </c>
      <c r="H21" s="148">
        <f>SUM('2025'!G97:L97)</f>
        <v>2899856.792164648</v>
      </c>
      <c r="I21" s="149">
        <f t="shared" si="0"/>
        <v>749400.66783535248</v>
      </c>
      <c r="J21" s="151">
        <f t="shared" si="1"/>
        <v>0.25842678502614924</v>
      </c>
      <c r="K21" s="148">
        <f>SUM('2024'!G21:L21)</f>
        <v>2309927.1300000004</v>
      </c>
      <c r="L21" s="149">
        <f t="shared" si="7"/>
        <v>1339330.33</v>
      </c>
      <c r="M21" s="153">
        <f t="shared" si="2"/>
        <v>0.57981497018046624</v>
      </c>
      <c r="N21" s="148">
        <f>'2025'!L21</f>
        <v>572757.14</v>
      </c>
      <c r="O21" s="148">
        <f>'2025'!L97</f>
        <v>500023.86869410798</v>
      </c>
      <c r="P21" s="149">
        <f t="shared" si="6"/>
        <v>72733.271305892034</v>
      </c>
      <c r="Q21" s="151">
        <f t="shared" si="3"/>
        <v>0.14545959875044878</v>
      </c>
      <c r="R21" s="148">
        <f>'2024'!L21</f>
        <v>372046.09000000032</v>
      </c>
      <c r="S21" s="149">
        <f t="shared" si="4"/>
        <v>200711.0499999997</v>
      </c>
      <c r="T21" s="153">
        <f t="shared" si="5"/>
        <v>0.53947899304626357</v>
      </c>
      <c r="W21" s="470"/>
      <c r="Y21" s="470"/>
    </row>
    <row r="22" spans="1:25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f>'2025'!S22</f>
        <v>14678875.32</v>
      </c>
      <c r="H22" s="148">
        <f>SUM('2025'!G98:L98)</f>
        <v>10553803.432800625</v>
      </c>
      <c r="I22" s="149">
        <f t="shared" si="0"/>
        <v>4125071.8871993758</v>
      </c>
      <c r="J22" s="151">
        <f t="shared" si="1"/>
        <v>0.39086116332040888</v>
      </c>
      <c r="K22" s="148">
        <f>SUM('2024'!G22:L22)</f>
        <v>11381160.690000001</v>
      </c>
      <c r="L22" s="149">
        <f t="shared" si="7"/>
        <v>3297714.629999999</v>
      </c>
      <c r="M22" s="153">
        <f t="shared" si="2"/>
        <v>0.28975204900652352</v>
      </c>
      <c r="N22" s="148">
        <f>'2025'!L22</f>
        <v>2974122.76</v>
      </c>
      <c r="O22" s="148">
        <f>'2025'!L98</f>
        <v>2083724.3671199933</v>
      </c>
      <c r="P22" s="149">
        <f t="shared" si="6"/>
        <v>890398.39288000646</v>
      </c>
      <c r="Q22" s="151">
        <f t="shared" si="3"/>
        <v>0.42731102391947595</v>
      </c>
      <c r="R22" s="148">
        <f>'2024'!L22</f>
        <v>2095564.3700000006</v>
      </c>
      <c r="S22" s="149">
        <f t="shared" si="4"/>
        <v>878558.3899999992</v>
      </c>
      <c r="T22" s="153">
        <f t="shared" si="5"/>
        <v>0.41924667291417972</v>
      </c>
      <c r="W22" s="470"/>
      <c r="Y22" s="470"/>
    </row>
    <row r="23" spans="1:25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f>'2025'!S23</f>
        <v>10351594.34</v>
      </c>
      <c r="H23" s="148">
        <f>SUM('2025'!G99:L99)</f>
        <v>8720833.8675702307</v>
      </c>
      <c r="I23" s="149">
        <f t="shared" si="0"/>
        <v>1630760.4724297691</v>
      </c>
      <c r="J23" s="151">
        <f t="shared" si="1"/>
        <v>0.18699593378266322</v>
      </c>
      <c r="K23" s="148">
        <f>SUM('2024'!G23:L23)</f>
        <v>8162820.1400000006</v>
      </c>
      <c r="L23" s="149">
        <f t="shared" si="7"/>
        <v>2188774.1999999993</v>
      </c>
      <c r="M23" s="153">
        <f t="shared" si="2"/>
        <v>0.26813946190905535</v>
      </c>
      <c r="N23" s="148">
        <f>'2025'!L23</f>
        <v>2086871.48</v>
      </c>
      <c r="O23" s="148">
        <f>'2025'!L99</f>
        <v>1610021.64928793</v>
      </c>
      <c r="P23" s="149">
        <f t="shared" si="6"/>
        <v>476849.83071206999</v>
      </c>
      <c r="Q23" s="151">
        <f t="shared" si="3"/>
        <v>0.29617603646694324</v>
      </c>
      <c r="R23" s="148">
        <f>'2024'!L23</f>
        <v>1530912.2800000003</v>
      </c>
      <c r="S23" s="149">
        <f t="shared" si="4"/>
        <v>555959.19999999972</v>
      </c>
      <c r="T23" s="153">
        <f t="shared" si="5"/>
        <v>0.36315549052882345</v>
      </c>
      <c r="W23" s="470"/>
      <c r="Y23" s="470"/>
    </row>
    <row r="24" spans="1:25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f>'2025'!S24</f>
        <v>6926498.1899999995</v>
      </c>
      <c r="H24" s="160">
        <f>SUM('2025'!G100:L100)</f>
        <v>7217893.7652577497</v>
      </c>
      <c r="I24" s="161">
        <f t="shared" si="0"/>
        <v>-291395.57525775023</v>
      </c>
      <c r="J24" s="163">
        <f t="shared" si="1"/>
        <v>-4.0371275157905395E-2</v>
      </c>
      <c r="K24" s="160">
        <f>SUM('2024'!G24:L24)</f>
        <v>6824970.4099999983</v>
      </c>
      <c r="L24" s="161">
        <f t="shared" si="7"/>
        <v>101527.78000000119</v>
      </c>
      <c r="M24" s="165">
        <f t="shared" si="2"/>
        <v>1.4875929696521739E-2</v>
      </c>
      <c r="N24" s="160">
        <f>'2025'!L24</f>
        <v>1429401.73</v>
      </c>
      <c r="O24" s="160">
        <f>'2025'!L100</f>
        <v>1413926.2298446554</v>
      </c>
      <c r="P24" s="161">
        <f t="shared" si="6"/>
        <v>15475.500155344605</v>
      </c>
      <c r="Q24" s="163">
        <f t="shared" si="3"/>
        <v>1.0945054861203563E-2</v>
      </c>
      <c r="R24" s="160">
        <f>'2024'!L24</f>
        <v>1305037.7399999998</v>
      </c>
      <c r="S24" s="161">
        <f t="shared" si="4"/>
        <v>124363.99000000022</v>
      </c>
      <c r="T24" s="165">
        <f t="shared" si="5"/>
        <v>9.5295320731491051E-2</v>
      </c>
      <c r="W24" s="470"/>
      <c r="Y24" s="470"/>
    </row>
    <row r="25" spans="1:25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f>'2025'!S25</f>
        <v>31417697.100000001</v>
      </c>
      <c r="H25" s="160">
        <f>SUM('2025'!G101:L101)</f>
        <v>33089284.613380402</v>
      </c>
      <c r="I25" s="161">
        <f t="shared" si="0"/>
        <v>-1671587.5133804008</v>
      </c>
      <c r="J25" s="163">
        <f t="shared" si="1"/>
        <v>-5.0517487244328585E-2</v>
      </c>
      <c r="K25" s="160">
        <f>SUM('2024'!G25:L25)</f>
        <v>22970622.700000007</v>
      </c>
      <c r="L25" s="161">
        <f t="shared" si="7"/>
        <v>8447074.3999999948</v>
      </c>
      <c r="M25" s="165">
        <f t="shared" si="2"/>
        <v>0.36773380113896481</v>
      </c>
      <c r="N25" s="160">
        <f>'2025'!L25</f>
        <v>7205854.8599999994</v>
      </c>
      <c r="O25" s="160">
        <f>'2025'!L101</f>
        <v>6855033.0871420931</v>
      </c>
      <c r="P25" s="161">
        <f t="shared" si="6"/>
        <v>350821.7728579063</v>
      </c>
      <c r="Q25" s="163">
        <f t="shared" si="3"/>
        <v>5.1177254492897895E-2</v>
      </c>
      <c r="R25" s="160">
        <f>'2024'!L25</f>
        <v>4104367.62</v>
      </c>
      <c r="S25" s="161">
        <f t="shared" si="4"/>
        <v>3101487.2399999993</v>
      </c>
      <c r="T25" s="165">
        <f t="shared" si="5"/>
        <v>0.75565532309700845</v>
      </c>
      <c r="W25" s="470"/>
      <c r="Y25" s="470"/>
    </row>
    <row r="26" spans="1:25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f>'2025'!S26</f>
        <v>23724666.869999997</v>
      </c>
      <c r="H26" s="160">
        <f>SUM('2025'!G102:L102)</f>
        <v>14596068.495406771</v>
      </c>
      <c r="I26" s="161">
        <f t="shared" si="0"/>
        <v>9128598.3745932262</v>
      </c>
      <c r="J26" s="163">
        <f t="shared" si="1"/>
        <v>0.62541487644196114</v>
      </c>
      <c r="K26" s="160">
        <f>SUM('2024'!G26:L26)</f>
        <v>40941515.400000006</v>
      </c>
      <c r="L26" s="161">
        <f t="shared" si="7"/>
        <v>-17216848.530000009</v>
      </c>
      <c r="M26" s="165">
        <f t="shared" si="2"/>
        <v>-0.42052299143768401</v>
      </c>
      <c r="N26" s="160">
        <f>'2025'!L26</f>
        <v>4110498.33</v>
      </c>
      <c r="O26" s="160">
        <f>'2025'!L102</f>
        <v>2784970.4771360368</v>
      </c>
      <c r="P26" s="161">
        <f t="shared" si="6"/>
        <v>1325527.8528639632</v>
      </c>
      <c r="Q26" s="163">
        <f t="shared" si="3"/>
        <v>0.47595759586905495</v>
      </c>
      <c r="R26" s="160">
        <f>'2024'!L26</f>
        <v>11737785.010000005</v>
      </c>
      <c r="S26" s="161">
        <f t="shared" si="4"/>
        <v>-7627286.6800000053</v>
      </c>
      <c r="T26" s="165">
        <f t="shared" si="5"/>
        <v>-0.64980630276512463</v>
      </c>
      <c r="W26" s="470"/>
      <c r="Y26" s="470"/>
    </row>
    <row r="27" spans="1:25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f>'2025'!S27</f>
        <v>0</v>
      </c>
      <c r="H27" s="160">
        <f>SUM('2025'!G103:L103)</f>
        <v>0</v>
      </c>
      <c r="I27" s="161">
        <f t="shared" si="0"/>
        <v>0</v>
      </c>
      <c r="J27" s="163" t="str">
        <f t="shared" si="1"/>
        <v>...</v>
      </c>
      <c r="K27" s="160">
        <f>SUM('2024'!G27:L27)</f>
        <v>0</v>
      </c>
      <c r="L27" s="161">
        <f t="shared" si="7"/>
        <v>0</v>
      </c>
      <c r="M27" s="165" t="str">
        <f t="shared" si="2"/>
        <v>...</v>
      </c>
      <c r="N27" s="160">
        <f>'2025'!L27</f>
        <v>0</v>
      </c>
      <c r="O27" s="160">
        <f>'2025'!L103</f>
        <v>0</v>
      </c>
      <c r="P27" s="161">
        <f t="shared" si="6"/>
        <v>0</v>
      </c>
      <c r="Q27" s="163" t="str">
        <f t="shared" si="3"/>
        <v>...</v>
      </c>
      <c r="R27" s="160">
        <f>'2024'!L27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f>'2025'!S28</f>
        <v>5245974.18</v>
      </c>
      <c r="H28" s="160">
        <f>SUM('2025'!G104:L104)</f>
        <v>36961128.193333261</v>
      </c>
      <c r="I28" s="161">
        <f t="shared" si="0"/>
        <v>-31715154.013333261</v>
      </c>
      <c r="J28" s="163">
        <f t="shared" si="1"/>
        <v>-0.85806780159523854</v>
      </c>
      <c r="K28" s="160">
        <f>SUM('2024'!G28:L28)</f>
        <v>13724170.659999996</v>
      </c>
      <c r="L28" s="161">
        <f t="shared" si="7"/>
        <v>-8478196.4799999967</v>
      </c>
      <c r="M28" s="165">
        <f t="shared" si="2"/>
        <v>-0.61775656176516813</v>
      </c>
      <c r="N28" s="160">
        <f>'2025'!L28</f>
        <v>1048773.8</v>
      </c>
      <c r="O28" s="160">
        <f>'2025'!L104</f>
        <v>4153709.39777778</v>
      </c>
      <c r="P28" s="161">
        <f t="shared" si="6"/>
        <v>-3104935.5977777801</v>
      </c>
      <c r="Q28" s="163">
        <f t="shared" si="3"/>
        <v>-0.74750910582211394</v>
      </c>
      <c r="R28" s="160">
        <f>'2024'!L28</f>
        <v>2512594.8999999994</v>
      </c>
      <c r="S28" s="161">
        <f t="shared" si="4"/>
        <v>-1463821.0999999994</v>
      </c>
      <c r="T28" s="165">
        <f t="shared" si="5"/>
        <v>-0.58259335796629996</v>
      </c>
      <c r="W28" s="470"/>
      <c r="Y28" s="470"/>
    </row>
    <row r="29" spans="1:25" ht="15.7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'2025'!S29</f>
        <v>1430170268.23</v>
      </c>
      <c r="H29" s="136">
        <f>SUM('2025'!G105:L105)</f>
        <v>1475854533.4299998</v>
      </c>
      <c r="I29" s="137">
        <f t="shared" si="0"/>
        <v>-45684265.199999809</v>
      </c>
      <c r="J29" s="139">
        <f t="shared" si="1"/>
        <v>-3.095444989000784E-2</v>
      </c>
      <c r="K29" s="136">
        <f>SUM('2024'!G29:L29)</f>
        <v>1280254520.4299998</v>
      </c>
      <c r="L29" s="137">
        <f t="shared" si="7"/>
        <v>149915747.80000019</v>
      </c>
      <c r="M29" s="141">
        <f t="shared" si="2"/>
        <v>0.11709839364570085</v>
      </c>
      <c r="N29" s="136">
        <f>'2025'!L29</f>
        <v>267365516.46000001</v>
      </c>
      <c r="O29" s="136">
        <f>'2025'!L105</f>
        <v>250480398.60000002</v>
      </c>
      <c r="P29" s="137">
        <f t="shared" si="6"/>
        <v>16885117.859999985</v>
      </c>
      <c r="Q29" s="139">
        <f t="shared" si="3"/>
        <v>6.7410934964872604E-2</v>
      </c>
      <c r="R29" s="136">
        <f>'2024'!L29</f>
        <v>224309523.64999995</v>
      </c>
      <c r="S29" s="137">
        <f t="shared" si="4"/>
        <v>43055992.810000062</v>
      </c>
      <c r="T29" s="141">
        <f t="shared" si="5"/>
        <v>0.19194901807728071</v>
      </c>
      <c r="W29" s="470"/>
      <c r="Y29" s="470"/>
    </row>
    <row r="30" spans="1:25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294">
        <f>'2025'!S30</f>
        <v>558202030.24000013</v>
      </c>
      <c r="H30" s="294">
        <f>SUM('2025'!G106:L106)</f>
        <v>589389389.38999999</v>
      </c>
      <c r="I30" s="173">
        <f t="shared" si="0"/>
        <v>-31187359.149999857</v>
      </c>
      <c r="J30" s="556">
        <f t="shared" si="1"/>
        <v>-5.2914693938209245E-2</v>
      </c>
      <c r="K30" s="294">
        <f>SUM('2024'!G30:L30)</f>
        <v>513600153.04000002</v>
      </c>
      <c r="L30" s="173">
        <f t="shared" si="7"/>
        <v>44601877.200000107</v>
      </c>
      <c r="M30" s="177">
        <f t="shared" si="2"/>
        <v>8.6841635338310352E-2</v>
      </c>
      <c r="N30" s="294">
        <f>'2025'!L30</f>
        <v>96514064.159999996</v>
      </c>
      <c r="O30" s="294">
        <f>'2025'!L106</f>
        <v>94353477</v>
      </c>
      <c r="P30" s="173">
        <f t="shared" si="6"/>
        <v>2160587.1599999964</v>
      </c>
      <c r="Q30" s="175">
        <f t="shared" si="3"/>
        <v>2.2898861056280806E-2</v>
      </c>
      <c r="R30" s="294">
        <f>'2024'!L30</f>
        <v>85927319.290000021</v>
      </c>
      <c r="S30" s="173">
        <f t="shared" si="4"/>
        <v>10586744.869999975</v>
      </c>
      <c r="T30" s="177">
        <f t="shared" si="5"/>
        <v>0.12320580878672915</v>
      </c>
      <c r="W30" s="470"/>
      <c r="Y30" s="470"/>
    </row>
    <row r="31" spans="1:25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f>'2025'!S31</f>
        <v>343335405.44000006</v>
      </c>
      <c r="H31" s="148">
        <f>SUM('2025'!G107:L107)</f>
        <v>355227517.49999994</v>
      </c>
      <c r="I31" s="149">
        <f t="shared" si="0"/>
        <v>-11892112.059999883</v>
      </c>
      <c r="J31" s="557">
        <f t="shared" si="1"/>
        <v>-3.347745170107741E-2</v>
      </c>
      <c r="K31" s="148">
        <f>SUM('2024'!G31:L31)</f>
        <v>335038268.71000004</v>
      </c>
      <c r="L31" s="149">
        <f t="shared" si="7"/>
        <v>8297136.7300000191</v>
      </c>
      <c r="M31" s="153">
        <f t="shared" si="2"/>
        <v>2.4764743329013017E-2</v>
      </c>
      <c r="N31" s="148">
        <f>'2025'!L31</f>
        <v>57842289.750000007</v>
      </c>
      <c r="O31" s="148">
        <f>'2025'!L107</f>
        <v>60517104.439999983</v>
      </c>
      <c r="P31" s="149">
        <f>+N31-O31</f>
        <v>-2674814.6899999753</v>
      </c>
      <c r="Q31" s="151">
        <f>IF(+IF(ISERROR(N31/O31),"…",N31/O31-1)&gt;200%,"...",IF(ISERROR(N31/O31),"…",N31/O31-1))</f>
        <v>-4.4199317114584247E-2</v>
      </c>
      <c r="R31" s="148">
        <f>'2024'!L31</f>
        <v>56817583.930000015</v>
      </c>
      <c r="S31" s="149">
        <f t="shared" si="4"/>
        <v>1024705.8199999928</v>
      </c>
      <c r="T31" s="153">
        <f t="shared" si="5"/>
        <v>1.8035012211403467E-2</v>
      </c>
      <c r="W31" s="470"/>
      <c r="Y31" s="470"/>
    </row>
    <row r="32" spans="1:25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f>'2025'!S32</f>
        <v>10499649.760000002</v>
      </c>
      <c r="H32" s="148">
        <f>SUM('2025'!G108:L108)</f>
        <v>12204408.639999999</v>
      </c>
      <c r="I32" s="149">
        <f t="shared" si="0"/>
        <v>-1704758.8799999971</v>
      </c>
      <c r="J32" s="557">
        <f t="shared" si="1"/>
        <v>-0.13968385771782854</v>
      </c>
      <c r="K32" s="148">
        <f>SUM('2024'!G32:L32)</f>
        <v>9003562.2699999996</v>
      </c>
      <c r="L32" s="149">
        <f t="shared" si="7"/>
        <v>1496087.4900000021</v>
      </c>
      <c r="M32" s="153">
        <f t="shared" si="2"/>
        <v>0.16616617346947082</v>
      </c>
      <c r="N32" s="148">
        <f>'2025'!L32</f>
        <v>2658566.0099999998</v>
      </c>
      <c r="O32" s="148">
        <f>'2025'!L108</f>
        <v>2049900.9899999998</v>
      </c>
      <c r="P32" s="149">
        <f t="shared" si="6"/>
        <v>608665.02</v>
      </c>
      <c r="Q32" s="151">
        <f t="shared" si="3"/>
        <v>0.29692410656380042</v>
      </c>
      <c r="R32" s="148">
        <f>'2024'!L32</f>
        <v>1609176.6600000001</v>
      </c>
      <c r="S32" s="149">
        <f t="shared" si="4"/>
        <v>1049389.3499999996</v>
      </c>
      <c r="T32" s="153">
        <f t="shared" si="5"/>
        <v>0.65212811997907028</v>
      </c>
      <c r="W32" s="470"/>
      <c r="Y32" s="470"/>
    </row>
    <row r="33" spans="1:25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f>'2025'!S33</f>
        <v>15469888.75</v>
      </c>
      <c r="H33" s="148">
        <f>SUM('2025'!G109:L109)</f>
        <v>20140882.260000005</v>
      </c>
      <c r="I33" s="149">
        <f t="shared" si="0"/>
        <v>-4670993.5100000054</v>
      </c>
      <c r="J33" s="557">
        <f t="shared" si="1"/>
        <v>-0.23191603275873596</v>
      </c>
      <c r="K33" s="148">
        <f>SUM('2024'!G33:L33)</f>
        <v>14772222.98</v>
      </c>
      <c r="L33" s="149">
        <f t="shared" si="7"/>
        <v>697665.76999999955</v>
      </c>
      <c r="M33" s="153">
        <f t="shared" si="2"/>
        <v>4.7228218186563087E-2</v>
      </c>
      <c r="N33" s="148">
        <f>'2025'!L33</f>
        <v>2839973.1600000006</v>
      </c>
      <c r="O33" s="148">
        <f>'2025'!L109</f>
        <v>3769260.350000002</v>
      </c>
      <c r="P33" s="149">
        <f t="shared" si="6"/>
        <v>-929287.19000000134</v>
      </c>
      <c r="Q33" s="151">
        <f t="shared" si="3"/>
        <v>-0.24654364615593638</v>
      </c>
      <c r="R33" s="148">
        <f>'2024'!L33</f>
        <v>2342625.54</v>
      </c>
      <c r="S33" s="149">
        <f t="shared" si="4"/>
        <v>497347.62000000058</v>
      </c>
      <c r="T33" s="153">
        <f t="shared" si="5"/>
        <v>0.21230350796909714</v>
      </c>
      <c r="W33" s="470"/>
      <c r="Y33" s="470"/>
    </row>
    <row r="34" spans="1:25">
      <c r="A34" s="135">
        <v>414</v>
      </c>
      <c r="B34" s="594" t="str">
        <f>+VLOOKUP($A34,Master!$D$30:$G$226,4,FALSE)</f>
        <v>Rashodi za usluge</v>
      </c>
      <c r="C34" s="595"/>
      <c r="D34" s="595"/>
      <c r="E34" s="595"/>
      <c r="F34" s="595"/>
      <c r="G34" s="148">
        <f>'2025'!S34</f>
        <v>32734464.780000001</v>
      </c>
      <c r="H34" s="148">
        <f>SUM('2025'!G110:L110)</f>
        <v>39322099.610000014</v>
      </c>
      <c r="I34" s="149">
        <f t="shared" si="0"/>
        <v>-6587634.8300000131</v>
      </c>
      <c r="J34" s="557">
        <f t="shared" si="1"/>
        <v>-0.16753008855927698</v>
      </c>
      <c r="K34" s="148">
        <f>SUM('2024'!G34:L34)</f>
        <v>26696553.479999997</v>
      </c>
      <c r="L34" s="149">
        <f t="shared" si="7"/>
        <v>6037911.3000000045</v>
      </c>
      <c r="M34" s="153">
        <f t="shared" si="2"/>
        <v>0.22616819450208681</v>
      </c>
      <c r="N34" s="148">
        <f>'2025'!L34</f>
        <v>7597865.9999999991</v>
      </c>
      <c r="O34" s="148">
        <f>'2025'!L110</f>
        <v>7815871.950000003</v>
      </c>
      <c r="P34" s="149">
        <f t="shared" si="6"/>
        <v>-218005.95000000391</v>
      </c>
      <c r="Q34" s="151">
        <f t="shared" si="3"/>
        <v>-2.789272283305555E-2</v>
      </c>
      <c r="R34" s="148">
        <f>'2024'!L34</f>
        <v>5569605.379999999</v>
      </c>
      <c r="S34" s="149">
        <f t="shared" si="4"/>
        <v>2028260.62</v>
      </c>
      <c r="T34" s="153">
        <f t="shared" si="5"/>
        <v>0.36416594742660213</v>
      </c>
      <c r="W34" s="470"/>
      <c r="Y34" s="470"/>
    </row>
    <row r="35" spans="1:25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f>'2025'!S35</f>
        <v>12278396.860000001</v>
      </c>
      <c r="H35" s="148">
        <f>SUM('2025'!G111:L111)</f>
        <v>17398104.539999999</v>
      </c>
      <c r="I35" s="149">
        <f t="shared" si="0"/>
        <v>-5119707.6799999978</v>
      </c>
      <c r="J35" s="557">
        <f t="shared" si="1"/>
        <v>-0.29426812950969872</v>
      </c>
      <c r="K35" s="148">
        <f>SUM('2024'!G35:L35)</f>
        <v>10192636.48</v>
      </c>
      <c r="L35" s="149">
        <f t="shared" si="7"/>
        <v>2085760.3800000008</v>
      </c>
      <c r="M35" s="153">
        <f t="shared" si="2"/>
        <v>0.20463403988680273</v>
      </c>
      <c r="N35" s="148">
        <f>'2025'!L35</f>
        <v>3214980.1100000008</v>
      </c>
      <c r="O35" s="148">
        <f>'2025'!L111</f>
        <v>3194128.9400000004</v>
      </c>
      <c r="P35" s="149">
        <f t="shared" si="6"/>
        <v>20851.170000000391</v>
      </c>
      <c r="Q35" s="151">
        <f t="shared" si="3"/>
        <v>6.5279675278231419E-3</v>
      </c>
      <c r="R35" s="148">
        <f>'2024'!L35</f>
        <v>3134652.47</v>
      </c>
      <c r="S35" s="149">
        <f t="shared" si="4"/>
        <v>80327.640000000596</v>
      </c>
      <c r="T35" s="153">
        <f t="shared" si="5"/>
        <v>2.5625692407299061E-2</v>
      </c>
      <c r="W35" s="470"/>
      <c r="Y35" s="470"/>
    </row>
    <row r="36" spans="1:25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f>'2025'!S36</f>
        <v>80622241.840000004</v>
      </c>
      <c r="H36" s="148">
        <f>SUM('2025'!G112:L112)</f>
        <v>74835566.230000004</v>
      </c>
      <c r="I36" s="149">
        <f t="shared" si="0"/>
        <v>5786675.6099999994</v>
      </c>
      <c r="J36" s="557">
        <f t="shared" si="1"/>
        <v>7.7325206469544217E-2</v>
      </c>
      <c r="K36" s="148">
        <f>SUM('2024'!G36:L36)</f>
        <v>60430995.719999991</v>
      </c>
      <c r="L36" s="149">
        <f t="shared" si="7"/>
        <v>20191246.120000012</v>
      </c>
      <c r="M36" s="153">
        <f t="shared" si="2"/>
        <v>0.33412069219500884</v>
      </c>
      <c r="N36" s="148">
        <f>'2025'!L36</f>
        <v>5428174.1699999999</v>
      </c>
      <c r="O36" s="148">
        <f>'2025'!L112</f>
        <v>7054881.1500000022</v>
      </c>
      <c r="P36" s="149">
        <f t="shared" si="6"/>
        <v>-1626706.9800000023</v>
      </c>
      <c r="Q36" s="151">
        <f t="shared" si="3"/>
        <v>-0.23057893469970103</v>
      </c>
      <c r="R36" s="148">
        <f>'2024'!L36</f>
        <v>5854358.290000001</v>
      </c>
      <c r="S36" s="149">
        <f t="shared" si="4"/>
        <v>-426184.12000000104</v>
      </c>
      <c r="T36" s="153">
        <f t="shared" si="5"/>
        <v>-7.279775150215495E-2</v>
      </c>
      <c r="W36" s="470"/>
      <c r="Y36" s="470"/>
    </row>
    <row r="37" spans="1:25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f>'2025'!S37</f>
        <v>5353350.4899999993</v>
      </c>
      <c r="H37" s="148">
        <f>SUM('2025'!G113:L113)</f>
        <v>6685437.4900000021</v>
      </c>
      <c r="I37" s="149">
        <f t="shared" si="0"/>
        <v>-1332087.0000000028</v>
      </c>
      <c r="J37" s="557">
        <f t="shared" si="1"/>
        <v>-0.19925203129825431</v>
      </c>
      <c r="K37" s="148">
        <f>SUM('2024'!G37:L37)</f>
        <v>5360782.8600000013</v>
      </c>
      <c r="L37" s="149">
        <f t="shared" si="7"/>
        <v>-7432.3700000019744</v>
      </c>
      <c r="M37" s="153">
        <f t="shared" si="2"/>
        <v>-1.3864336971115554E-3</v>
      </c>
      <c r="N37" s="148">
        <f>'2025'!L37</f>
        <v>1422017.38</v>
      </c>
      <c r="O37" s="148">
        <f>'2025'!L113</f>
        <v>1104492.9300000002</v>
      </c>
      <c r="P37" s="149">
        <f t="shared" si="6"/>
        <v>317524.44999999972</v>
      </c>
      <c r="Q37" s="151">
        <f t="shared" si="3"/>
        <v>0.28748436624216289</v>
      </c>
      <c r="R37" s="148">
        <f>'2024'!L37</f>
        <v>996164.27000000014</v>
      </c>
      <c r="S37" s="149">
        <f t="shared" si="4"/>
        <v>425853.10999999975</v>
      </c>
      <c r="T37" s="153">
        <f t="shared" si="5"/>
        <v>0.42749285717705954</v>
      </c>
      <c r="W37" s="470"/>
      <c r="Y37" s="470"/>
    </row>
    <row r="38" spans="1:25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f>'2025'!S38</f>
        <v>27627261.059999987</v>
      </c>
      <c r="H38" s="148">
        <f>SUM('2025'!G114:L114)</f>
        <v>27753064.940000001</v>
      </c>
      <c r="I38" s="149">
        <f t="shared" si="0"/>
        <v>-125803.88000001386</v>
      </c>
      <c r="J38" s="557">
        <f t="shared" si="1"/>
        <v>-4.5329724941007843E-3</v>
      </c>
      <c r="K38" s="148">
        <f>SUM('2024'!G38:L38)</f>
        <v>25070634.64999998</v>
      </c>
      <c r="L38" s="149">
        <f t="shared" si="7"/>
        <v>2556626.4100000076</v>
      </c>
      <c r="M38" s="153">
        <f t="shared" si="2"/>
        <v>0.10197693220342985</v>
      </c>
      <c r="N38" s="148">
        <f>'2025'!L38</f>
        <v>5186790.0599999968</v>
      </c>
      <c r="O38" s="148">
        <f>'2025'!L114</f>
        <v>4114321.09</v>
      </c>
      <c r="P38" s="149">
        <f t="shared" si="6"/>
        <v>1072468.9699999969</v>
      </c>
      <c r="Q38" s="151">
        <f t="shared" si="3"/>
        <v>0.26066730003321092</v>
      </c>
      <c r="R38" s="148">
        <f>'2024'!L38</f>
        <v>5603254.6099999947</v>
      </c>
      <c r="S38" s="149">
        <f t="shared" si="4"/>
        <v>-416464.54999999795</v>
      </c>
      <c r="T38" s="153">
        <f t="shared" si="5"/>
        <v>-7.4325473137833775E-2</v>
      </c>
      <c r="W38" s="470"/>
      <c r="Y38" s="470"/>
    </row>
    <row r="39" spans="1:25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f>'2025'!S39</f>
        <v>30281371.259999998</v>
      </c>
      <c r="H39" s="148">
        <f>SUM('2025'!G115:L115)</f>
        <v>35822308.180000007</v>
      </c>
      <c r="I39" s="149">
        <f t="shared" si="0"/>
        <v>-5540936.9200000092</v>
      </c>
      <c r="J39" s="557">
        <f t="shared" si="1"/>
        <v>-0.1546783890127319</v>
      </c>
      <c r="K39" s="148">
        <f>SUM('2024'!G39:L39)</f>
        <v>27034495.890000001</v>
      </c>
      <c r="L39" s="149">
        <f t="shared" si="7"/>
        <v>3246875.3699999973</v>
      </c>
      <c r="M39" s="153">
        <f t="shared" si="2"/>
        <v>0.12010119897227334</v>
      </c>
      <c r="N39" s="148">
        <f>'2025'!L39</f>
        <v>10323407.519999998</v>
      </c>
      <c r="O39" s="148">
        <f>'2025'!L115</f>
        <v>4733515.16</v>
      </c>
      <c r="P39" s="149">
        <f t="shared" si="6"/>
        <v>5589892.3599999975</v>
      </c>
      <c r="Q39" s="151">
        <f t="shared" si="3"/>
        <v>1.1809178107713079</v>
      </c>
      <c r="R39" s="148">
        <f>'2024'!L39</f>
        <v>3999898.1399999997</v>
      </c>
      <c r="S39" s="149">
        <f t="shared" si="4"/>
        <v>6323509.379999998</v>
      </c>
      <c r="T39" s="153">
        <f t="shared" si="5"/>
        <v>1.5809176030667618</v>
      </c>
      <c r="W39" s="470"/>
      <c r="Y39" s="470"/>
    </row>
    <row r="40" spans="1:25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'2025'!S40</f>
        <v>543633169.64999998</v>
      </c>
      <c r="H40" s="178">
        <f>SUM('2025'!G116:L116)</f>
        <v>531403955.78000009</v>
      </c>
      <c r="I40" s="179">
        <f t="shared" si="0"/>
        <v>12229213.869999886</v>
      </c>
      <c r="J40" s="181">
        <f t="shared" si="1"/>
        <v>2.3013027541448627E-2</v>
      </c>
      <c r="K40" s="178">
        <f>SUM('2024'!G40:L40)</f>
        <v>483041055.71999991</v>
      </c>
      <c r="L40" s="179">
        <f t="shared" si="7"/>
        <v>60592113.930000067</v>
      </c>
      <c r="M40" s="183">
        <f t="shared" si="2"/>
        <v>0.12543884875310263</v>
      </c>
      <c r="N40" s="178">
        <f>'2025'!L40</f>
        <v>93432135.900000006</v>
      </c>
      <c r="O40" s="178">
        <f>'2025'!L116</f>
        <v>88846142.960000008</v>
      </c>
      <c r="P40" s="179">
        <f t="shared" si="6"/>
        <v>4585992.9399999976</v>
      </c>
      <c r="Q40" s="181">
        <f t="shared" si="3"/>
        <v>5.1617242878677194E-2</v>
      </c>
      <c r="R40" s="178">
        <f>'2024'!L40</f>
        <v>84080432.439999953</v>
      </c>
      <c r="S40" s="179">
        <f t="shared" si="4"/>
        <v>9351703.460000053</v>
      </c>
      <c r="T40" s="183">
        <f t="shared" si="5"/>
        <v>0.11122330355131615</v>
      </c>
      <c r="W40" s="470"/>
      <c r="Y40" s="470"/>
    </row>
    <row r="41" spans="1:25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f>'2025'!S41</f>
        <v>122579962.19000003</v>
      </c>
      <c r="H41" s="148">
        <f>SUM('2025'!G117:L117)</f>
        <v>111438145.60000001</v>
      </c>
      <c r="I41" s="149">
        <f t="shared" si="0"/>
        <v>11141816.590000018</v>
      </c>
      <c r="J41" s="151">
        <f t="shared" si="1"/>
        <v>9.9982071040493059E-2</v>
      </c>
      <c r="K41" s="148">
        <f>SUM('2024'!G41:L41)</f>
        <v>104227586.47999999</v>
      </c>
      <c r="L41" s="149">
        <f t="shared" si="7"/>
        <v>18352375.710000038</v>
      </c>
      <c r="M41" s="153">
        <f t="shared" si="2"/>
        <v>0.17607983001238958</v>
      </c>
      <c r="N41" s="148">
        <f>'2025'!L41</f>
        <v>20328527.629999995</v>
      </c>
      <c r="O41" s="148">
        <f>'2025'!L117</f>
        <v>18350642.420000002</v>
      </c>
      <c r="P41" s="149">
        <f t="shared" si="6"/>
        <v>1977885.2099999934</v>
      </c>
      <c r="Q41" s="151">
        <f t="shared" si="3"/>
        <v>0.10778288654594115</v>
      </c>
      <c r="R41" s="148">
        <f>'2024'!L41</f>
        <v>17979185.619999997</v>
      </c>
      <c r="S41" s="149">
        <f t="shared" si="4"/>
        <v>2349342.0099999979</v>
      </c>
      <c r="T41" s="153">
        <f t="shared" si="5"/>
        <v>0.13067010150819036</v>
      </c>
      <c r="W41" s="470"/>
      <c r="Y41" s="470"/>
    </row>
    <row r="42" spans="1:25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f>'2025'!S42</f>
        <v>10680906.48</v>
      </c>
      <c r="H42" s="148">
        <f>SUM('2025'!G118:L118)</f>
        <v>13457750.880000003</v>
      </c>
      <c r="I42" s="149">
        <f t="shared" si="0"/>
        <v>-2776844.4000000022</v>
      </c>
      <c r="J42" s="151">
        <f t="shared" si="1"/>
        <v>-0.20633792561331776</v>
      </c>
      <c r="K42" s="148">
        <f>SUM('2024'!G42:L42)</f>
        <v>9578144.4299999997</v>
      </c>
      <c r="L42" s="149">
        <f t="shared" si="7"/>
        <v>1102762.0500000007</v>
      </c>
      <c r="M42" s="153">
        <f t="shared" si="2"/>
        <v>0.11513316154912068</v>
      </c>
      <c r="N42" s="148">
        <f>'2025'!L42</f>
        <v>2092533.03</v>
      </c>
      <c r="O42" s="148">
        <f>'2025'!L118</f>
        <v>2246098.89</v>
      </c>
      <c r="P42" s="149">
        <f t="shared" si="6"/>
        <v>-153565.8600000001</v>
      </c>
      <c r="Q42" s="151">
        <f t="shared" si="3"/>
        <v>-6.8370035123431316E-2</v>
      </c>
      <c r="R42" s="148">
        <f>'2024'!L42</f>
        <v>1850184.16</v>
      </c>
      <c r="S42" s="149">
        <f t="shared" si="4"/>
        <v>242348.87000000011</v>
      </c>
      <c r="T42" s="153">
        <f t="shared" si="5"/>
        <v>0.13098635002906955</v>
      </c>
      <c r="W42" s="470"/>
      <c r="Y42" s="470"/>
    </row>
    <row r="43" spans="1:25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f>'2025'!S43</f>
        <v>392159038.35000002</v>
      </c>
      <c r="H43" s="148">
        <f>SUM('2025'!G119:L119)</f>
        <v>387543955.89999998</v>
      </c>
      <c r="I43" s="149">
        <f t="shared" si="0"/>
        <v>4615082.4500000477</v>
      </c>
      <c r="J43" s="151">
        <f t="shared" si="1"/>
        <v>1.1908539353380876E-2</v>
      </c>
      <c r="K43" s="148">
        <f>SUM('2024'!G43:L43)</f>
        <v>355504273.29999995</v>
      </c>
      <c r="L43" s="149">
        <f t="shared" si="7"/>
        <v>36654765.050000072</v>
      </c>
      <c r="M43" s="153">
        <f t="shared" si="2"/>
        <v>0.10310639787744025</v>
      </c>
      <c r="N43" s="148">
        <f>'2025'!L43</f>
        <v>67001633.210000016</v>
      </c>
      <c r="O43" s="148">
        <f>'2025'!L119</f>
        <v>64943554.629999995</v>
      </c>
      <c r="P43" s="149">
        <f t="shared" si="6"/>
        <v>2058078.5800000206</v>
      </c>
      <c r="Q43" s="151">
        <f t="shared" si="3"/>
        <v>3.1690266905244346E-2</v>
      </c>
      <c r="R43" s="148">
        <f>'2024'!L43</f>
        <v>61972227.06999997</v>
      </c>
      <c r="S43" s="149">
        <f t="shared" si="4"/>
        <v>5029406.1400000453</v>
      </c>
      <c r="T43" s="153">
        <f t="shared" si="5"/>
        <v>8.1155807654276213E-2</v>
      </c>
      <c r="W43" s="470"/>
      <c r="Y43" s="470"/>
    </row>
    <row r="44" spans="1:25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f>'2025'!S44</f>
        <v>10798063.800000001</v>
      </c>
      <c r="H44" s="148">
        <f>SUM('2025'!G120:L120)</f>
        <v>11271252.350000001</v>
      </c>
      <c r="I44" s="149">
        <f t="shared" si="0"/>
        <v>-473188.55000000075</v>
      </c>
      <c r="J44" s="151">
        <f t="shared" si="1"/>
        <v>-4.1981896536989582E-2</v>
      </c>
      <c r="K44" s="148">
        <f>SUM('2024'!G44:L44)</f>
        <v>6281315.1699999999</v>
      </c>
      <c r="L44" s="149">
        <f t="shared" si="7"/>
        <v>4516748.6300000008</v>
      </c>
      <c r="M44" s="153">
        <f t="shared" si="2"/>
        <v>0.71907689834961763</v>
      </c>
      <c r="N44" s="148">
        <f>'2025'!L44</f>
        <v>2688499.03</v>
      </c>
      <c r="O44" s="148">
        <f>'2025'!L120</f>
        <v>1838301.37</v>
      </c>
      <c r="P44" s="149">
        <f t="shared" si="6"/>
        <v>850197.65999999968</v>
      </c>
      <c r="Q44" s="151">
        <f t="shared" si="3"/>
        <v>0.4624909026750057</v>
      </c>
      <c r="R44" s="148">
        <f>'2024'!L44</f>
        <v>1033640.7399999999</v>
      </c>
      <c r="S44" s="149">
        <f t="shared" si="4"/>
        <v>1654858.29</v>
      </c>
      <c r="T44" s="153">
        <f t="shared" si="5"/>
        <v>1.6009994826635801</v>
      </c>
      <c r="W44" s="470"/>
      <c r="Y44" s="470"/>
    </row>
    <row r="45" spans="1:25">
      <c r="A45" s="135">
        <v>425</v>
      </c>
      <c r="B45" s="594" t="str">
        <f>+VLOOKUP($A45,Master!$D$30:$G$226,4,FALSE)</f>
        <v>Ostala prava iz zdravstvenog osiguranja</v>
      </c>
      <c r="C45" s="595"/>
      <c r="D45" s="595"/>
      <c r="E45" s="595"/>
      <c r="F45" s="595"/>
      <c r="G45" s="148">
        <f>'2025'!S45</f>
        <v>7415198.8300000001</v>
      </c>
      <c r="H45" s="148">
        <f>SUM('2025'!G121:L121)</f>
        <v>7692851.0500000007</v>
      </c>
      <c r="I45" s="149">
        <f t="shared" si="0"/>
        <v>-277652.22000000067</v>
      </c>
      <c r="J45" s="151">
        <f t="shared" si="1"/>
        <v>-3.6092239170547935E-2</v>
      </c>
      <c r="K45" s="148">
        <f>SUM('2024'!G45:L45)</f>
        <v>7449736.3399999989</v>
      </c>
      <c r="L45" s="149">
        <f t="shared" si="7"/>
        <v>-34537.509999998845</v>
      </c>
      <c r="M45" s="153">
        <f t="shared" si="2"/>
        <v>-4.6360714559192662E-3</v>
      </c>
      <c r="N45" s="148">
        <f>'2025'!L45</f>
        <v>1320942.9999999995</v>
      </c>
      <c r="O45" s="148">
        <f>'2025'!L121</f>
        <v>1467545.6500000001</v>
      </c>
      <c r="P45" s="149">
        <f t="shared" si="6"/>
        <v>-146602.65000000061</v>
      </c>
      <c r="Q45" s="151">
        <f t="shared" si="3"/>
        <v>-9.9896483628976407E-2</v>
      </c>
      <c r="R45" s="148">
        <f>'2024'!L45</f>
        <v>1245194.8499999999</v>
      </c>
      <c r="S45" s="149">
        <f t="shared" si="4"/>
        <v>75748.149999999674</v>
      </c>
      <c r="T45" s="153">
        <f t="shared" si="5"/>
        <v>6.0832366918317726E-2</v>
      </c>
      <c r="W45" s="470"/>
      <c r="Y45" s="470"/>
    </row>
    <row r="46" spans="1:25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f>'2025'!S46</f>
        <v>203126821.40000001</v>
      </c>
      <c r="H46" s="160">
        <f>SUM('2025'!G122:L122)</f>
        <v>211623792.93000001</v>
      </c>
      <c r="I46" s="161">
        <f t="shared" si="0"/>
        <v>-8496971.5300000012</v>
      </c>
      <c r="J46" s="163">
        <f t="shared" si="1"/>
        <v>-4.0151305353508082E-2</v>
      </c>
      <c r="K46" s="160">
        <f>SUM('2024'!G46:L46)</f>
        <v>176258567.12</v>
      </c>
      <c r="L46" s="161">
        <f t="shared" si="7"/>
        <v>26868254.280000001</v>
      </c>
      <c r="M46" s="165">
        <f t="shared" si="2"/>
        <v>0.15243658631190171</v>
      </c>
      <c r="N46" s="160">
        <f>'2025'!L46</f>
        <v>42288285.969999999</v>
      </c>
      <c r="O46" s="160">
        <f>'2025'!L122</f>
        <v>44921912.290000007</v>
      </c>
      <c r="P46" s="161">
        <f t="shared" si="6"/>
        <v>-2633626.3200000077</v>
      </c>
      <c r="Q46" s="163">
        <f t="shared" si="3"/>
        <v>-5.8626763326508624E-2</v>
      </c>
      <c r="R46" s="160">
        <f>'2024'!L46</f>
        <v>33632618.140000001</v>
      </c>
      <c r="S46" s="161">
        <f t="shared" si="4"/>
        <v>8655667.8299999982</v>
      </c>
      <c r="T46" s="165">
        <f t="shared" si="5"/>
        <v>0.25735932284455809</v>
      </c>
      <c r="W46" s="470"/>
      <c r="Y46" s="470"/>
    </row>
    <row r="47" spans="1:25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f>'2025'!S47</f>
        <v>106255928.94000001</v>
      </c>
      <c r="H47" s="160">
        <f>SUM('2025'!G123:L123)</f>
        <v>97956898.99000001</v>
      </c>
      <c r="I47" s="161">
        <f t="shared" si="0"/>
        <v>8299029.950000003</v>
      </c>
      <c r="J47" s="163">
        <f t="shared" si="1"/>
        <v>8.4721240010335652E-2</v>
      </c>
      <c r="K47" s="160">
        <f>SUM('2024'!G47:L47)</f>
        <v>77800578.899999991</v>
      </c>
      <c r="L47" s="161">
        <f t="shared" si="7"/>
        <v>28455350.040000021</v>
      </c>
      <c r="M47" s="165">
        <f t="shared" si="2"/>
        <v>0.36574727903470694</v>
      </c>
      <c r="N47" s="160">
        <f>'2025'!L47</f>
        <v>33636049.24000001</v>
      </c>
      <c r="O47" s="160">
        <f>'2025'!L123</f>
        <v>17136236.030000009</v>
      </c>
      <c r="P47" s="161">
        <f t="shared" si="6"/>
        <v>16499813.210000001</v>
      </c>
      <c r="Q47" s="163">
        <f t="shared" si="3"/>
        <v>0.96286099124184354</v>
      </c>
      <c r="R47" s="160">
        <f>'2024'!L47</f>
        <v>14825602.35</v>
      </c>
      <c r="S47" s="161">
        <f t="shared" si="4"/>
        <v>18810446.890000008</v>
      </c>
      <c r="T47" s="165">
        <f t="shared" si="5"/>
        <v>1.2687812910346952</v>
      </c>
      <c r="W47" s="470"/>
      <c r="Y47" s="470"/>
    </row>
    <row r="48" spans="1:25">
      <c r="A48" s="135">
        <v>451</v>
      </c>
      <c r="B48" s="562" t="str">
        <f>+VLOOKUP($A48,Master!$D$30:$G$226,4,FALSE)</f>
        <v>Pozajmice i krediti</v>
      </c>
      <c r="C48" s="563"/>
      <c r="D48" s="563"/>
      <c r="E48" s="563"/>
      <c r="F48" s="563"/>
      <c r="G48" s="148">
        <f>'2025'!S48</f>
        <v>0</v>
      </c>
      <c r="H48" s="148">
        <f>SUM('2025'!G124:L124)</f>
        <v>0</v>
      </c>
      <c r="I48" s="149">
        <f>G48-H48</f>
        <v>0</v>
      </c>
      <c r="J48" s="266" t="str">
        <f t="shared" si="1"/>
        <v>...</v>
      </c>
      <c r="K48" s="148">
        <f>SUM('2024'!G48:L48)</f>
        <v>0</v>
      </c>
      <c r="L48" s="263">
        <f t="shared" si="7"/>
        <v>0</v>
      </c>
      <c r="M48" s="475" t="str">
        <f t="shared" si="2"/>
        <v>...</v>
      </c>
      <c r="N48" s="148">
        <f>'2025'!L48</f>
        <v>0</v>
      </c>
      <c r="O48" s="148">
        <f>'2025'!L124</f>
        <v>0</v>
      </c>
      <c r="P48" s="149">
        <f t="shared" si="6"/>
        <v>0</v>
      </c>
      <c r="Q48" s="266" t="str">
        <f t="shared" si="3"/>
        <v>...</v>
      </c>
      <c r="R48" s="148">
        <f>'2024'!L48</f>
        <v>0</v>
      </c>
      <c r="S48" s="263">
        <f>+N48-R48-S58</f>
        <v>0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2" t="str">
        <f>+VLOOKUP($A49,Master!$D$30:$G$226,4,FALSE)</f>
        <v>Rezerve</v>
      </c>
      <c r="C49" s="563"/>
      <c r="D49" s="563"/>
      <c r="E49" s="563"/>
      <c r="F49" s="563"/>
      <c r="G49" s="148">
        <f>'2025'!S49</f>
        <v>4587906.29</v>
      </c>
      <c r="H49" s="148">
        <f>SUM('2025'!G125:L125)</f>
        <v>27076800</v>
      </c>
      <c r="I49" s="149">
        <f t="shared" ref="I49:I50" si="8">G49-H49</f>
        <v>-22488893.710000001</v>
      </c>
      <c r="J49" s="267">
        <f t="shared" si="1"/>
        <v>-0.83055950887844943</v>
      </c>
      <c r="K49" s="148">
        <f>SUM('2024'!G49:L49)</f>
        <v>14920384.25</v>
      </c>
      <c r="L49" s="264">
        <f t="shared" si="7"/>
        <v>-10332477.960000001</v>
      </c>
      <c r="M49" s="476">
        <f t="shared" si="2"/>
        <v>-0.69250749758673269</v>
      </c>
      <c r="N49" s="148">
        <f>'2025'!L49</f>
        <v>196840.99</v>
      </c>
      <c r="O49" s="148">
        <f>'2025'!L125</f>
        <v>2744200</v>
      </c>
      <c r="P49" s="149">
        <f t="shared" si="6"/>
        <v>-2547359.0099999998</v>
      </c>
      <c r="Q49" s="267">
        <f t="shared" si="3"/>
        <v>-0.92827017345674512</v>
      </c>
      <c r="R49" s="148">
        <f>'2024'!L49</f>
        <v>3778637.8999999994</v>
      </c>
      <c r="S49" s="264">
        <f t="shared" si="4"/>
        <v>-3581796.9099999992</v>
      </c>
      <c r="T49" s="476">
        <f t="shared" si="5"/>
        <v>-0.94790689258687633</v>
      </c>
      <c r="W49" s="470"/>
      <c r="Y49" s="470"/>
    </row>
    <row r="50" spans="1:25" ht="15.7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f>'2025'!S50</f>
        <v>4062322.96</v>
      </c>
      <c r="H50" s="148">
        <f>SUM('2025'!G126:L126)</f>
        <v>4100001.5999999996</v>
      </c>
      <c r="I50" s="149">
        <f t="shared" si="8"/>
        <v>-37678.639999999665</v>
      </c>
      <c r="J50" s="268">
        <f t="shared" si="1"/>
        <v>-9.1899086088160775E-3</v>
      </c>
      <c r="K50" s="148">
        <f>SUM('2024'!G50:L50)</f>
        <v>2301161.16</v>
      </c>
      <c r="L50" s="264">
        <f t="shared" si="7"/>
        <v>1761161.7999999998</v>
      </c>
      <c r="M50" s="477">
        <f t="shared" si="2"/>
        <v>0.76533614012501405</v>
      </c>
      <c r="N50" s="148">
        <f>'2025'!L50</f>
        <v>0</v>
      </c>
      <c r="O50" s="148">
        <f>'2025'!L126</f>
        <v>0.4</v>
      </c>
      <c r="P50" s="149">
        <f t="shared" si="6"/>
        <v>-0.4</v>
      </c>
      <c r="Q50" s="268">
        <f t="shared" si="3"/>
        <v>-1</v>
      </c>
      <c r="R50" s="148">
        <f>'2024'!L50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0" t="str">
        <f>+VLOOKUP($A51,Master!$D$30:$G$226,4,FALSE)</f>
        <v>Otplata obaveza iz prethodnog perioda</v>
      </c>
      <c r="C51" s="581"/>
      <c r="D51" s="581"/>
      <c r="E51" s="581"/>
      <c r="F51" s="581"/>
      <c r="G51" s="295">
        <f>'2025'!S51</f>
        <v>10302088.75</v>
      </c>
      <c r="H51" s="295">
        <f>SUM('2025'!G127:L127)</f>
        <v>14303694.739999995</v>
      </c>
      <c r="I51" s="265">
        <f>G51-H51</f>
        <v>-4001605.9899999946</v>
      </c>
      <c r="J51" s="269">
        <f t="shared" si="1"/>
        <v>-0.27976030408490082</v>
      </c>
      <c r="K51" s="295">
        <f>SUM('2024'!G51:L51)</f>
        <v>12332620.239999998</v>
      </c>
      <c r="L51" s="271">
        <f t="shared" si="7"/>
        <v>-2030531.4899999984</v>
      </c>
      <c r="M51" s="478">
        <f t="shared" si="2"/>
        <v>-0.16464720801295007</v>
      </c>
      <c r="N51" s="295">
        <f>'2025'!L51</f>
        <v>1298140.2</v>
      </c>
      <c r="O51" s="295">
        <f>'2025'!L127</f>
        <v>2478429.92</v>
      </c>
      <c r="P51" s="265">
        <f>N51-O51</f>
        <v>-1180289.72</v>
      </c>
      <c r="Q51" s="269">
        <f t="shared" si="3"/>
        <v>-0.47622477055958068</v>
      </c>
      <c r="R51" s="295">
        <f>'2024'!L51</f>
        <v>2064913.53</v>
      </c>
      <c r="S51" s="271">
        <f>+N51-R51</f>
        <v>-766773.33000000007</v>
      </c>
      <c r="T51" s="478">
        <f t="shared" si="5"/>
        <v>-0.3713343531629627</v>
      </c>
      <c r="W51" s="470"/>
      <c r="Y51" s="470"/>
    </row>
    <row r="52" spans="1:25" ht="15.75" thickBot="1">
      <c r="A52" s="129">
        <v>1005</v>
      </c>
      <c r="B52" s="580" t="str">
        <f>+VLOOKUP($A52,Master!$D$30:$G$228,4,FALSE)</f>
        <v>Neto povećanje obaveza</v>
      </c>
      <c r="C52" s="581"/>
      <c r="D52" s="581"/>
      <c r="E52" s="581"/>
      <c r="F52" s="581"/>
      <c r="G52" s="148">
        <f>'2025'!S52</f>
        <v>0</v>
      </c>
      <c r="H52" s="148">
        <f>SUM('2025'!G128:L128)</f>
        <v>0</v>
      </c>
      <c r="I52" s="265">
        <f>G52-H52</f>
        <v>0</v>
      </c>
      <c r="J52" s="269" t="str">
        <f t="shared" si="1"/>
        <v>...</v>
      </c>
      <c r="K52" s="148">
        <f>SUM('2024'!G52:L52)</f>
        <v>0</v>
      </c>
      <c r="L52" s="271">
        <f t="shared" si="7"/>
        <v>0</v>
      </c>
      <c r="M52" s="478" t="str">
        <f t="shared" si="2"/>
        <v>...</v>
      </c>
      <c r="N52" s="148">
        <f>'2025'!L52</f>
        <v>0</v>
      </c>
      <c r="O52" s="148">
        <f>'2025'!L128</f>
        <v>0</v>
      </c>
      <c r="P52" s="265">
        <f>N52-O52</f>
        <v>0</v>
      </c>
      <c r="Q52" s="269" t="str">
        <f t="shared" si="3"/>
        <v>...</v>
      </c>
      <c r="R52" s="148">
        <f>'2024'!L52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>'2025'!S53</f>
        <v>-107340797.34000012</v>
      </c>
      <c r="H53" s="136">
        <f>SUM('2025'!G129:L129)</f>
        <v>-116292650.03381133</v>
      </c>
      <c r="I53" s="299">
        <f>+G53-H53</f>
        <v>8951852.693811208</v>
      </c>
      <c r="J53" s="270">
        <f t="shared" si="1"/>
        <v>-7.6976943007219467E-2</v>
      </c>
      <c r="K53" s="136">
        <f>SUM('2024'!G53:L53)</f>
        <v>29476148.360000104</v>
      </c>
      <c r="L53" s="272">
        <f t="shared" si="7"/>
        <v>-136816945.70000023</v>
      </c>
      <c r="M53" s="479">
        <f t="shared" si="2"/>
        <v>-4.6416154522299919</v>
      </c>
      <c r="N53" s="136">
        <f>'2025'!L53</f>
        <v>-41547730.320000023</v>
      </c>
      <c r="O53" s="136">
        <f>'2025'!L129</f>
        <v>-10162713.438242584</v>
      </c>
      <c r="P53" s="299">
        <f>N53-O53</f>
        <v>-31385016.881757438</v>
      </c>
      <c r="Q53" s="270" t="str">
        <f t="shared" si="3"/>
        <v>...</v>
      </c>
      <c r="R53" s="136">
        <f>'2024'!L53</f>
        <v>-3079107.9499998987</v>
      </c>
      <c r="S53" s="272">
        <f t="shared" si="4"/>
        <v>-38468622.370000124</v>
      </c>
      <c r="T53" s="479" t="str">
        <f t="shared" si="5"/>
        <v>...</v>
      </c>
      <c r="W53" s="470"/>
      <c r="Y53" s="470"/>
    </row>
    <row r="54" spans="1:25" ht="15.7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36">
        <f>'2025'!S54</f>
        <v>-26718555.500000115</v>
      </c>
      <c r="H54" s="136">
        <f>SUM('2025'!G130:L130)</f>
        <v>-41457083.803811327</v>
      </c>
      <c r="I54" s="191">
        <f t="shared" si="0"/>
        <v>14738528.303811211</v>
      </c>
      <c r="J54" s="193">
        <f t="shared" si="1"/>
        <v>-0.35551290519031242</v>
      </c>
      <c r="K54" s="136">
        <f>SUM('2024'!G54:L54)</f>
        <v>89907144.080000103</v>
      </c>
      <c r="L54" s="191">
        <f t="shared" si="7"/>
        <v>-116625699.58000022</v>
      </c>
      <c r="M54" s="195">
        <f t="shared" si="2"/>
        <v>-1.2971794485677992</v>
      </c>
      <c r="N54" s="136">
        <f>'2025'!L54</f>
        <v>-36119556.150000021</v>
      </c>
      <c r="O54" s="136">
        <f>'2025'!L130</f>
        <v>-3107832.2882425822</v>
      </c>
      <c r="P54" s="191">
        <f t="shared" si="6"/>
        <v>-33011723.861757439</v>
      </c>
      <c r="Q54" s="193" t="str">
        <f t="shared" si="3"/>
        <v>...</v>
      </c>
      <c r="R54" s="136">
        <f>'2024'!L54</f>
        <v>2775250.3400001023</v>
      </c>
      <c r="S54" s="191">
        <f t="shared" si="4"/>
        <v>-38894806.490000121</v>
      </c>
      <c r="T54" s="195">
        <f t="shared" si="5"/>
        <v>-14.014882163746961</v>
      </c>
      <c r="W54" s="470"/>
      <c r="Y54" s="470"/>
    </row>
    <row r="55" spans="1:25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460">
        <f>'2025'!S55</f>
        <v>673656865.41999996</v>
      </c>
      <c r="H55" s="460">
        <f>SUM('2025'!G131:L131)</f>
        <v>680622732.88999999</v>
      </c>
      <c r="I55" s="461">
        <f t="shared" si="0"/>
        <v>-6965867.4700000286</v>
      </c>
      <c r="J55" s="462">
        <f t="shared" si="1"/>
        <v>-1.02345501162181E-2</v>
      </c>
      <c r="K55" s="460">
        <f>SUM('2024'!G55:L55)</f>
        <v>307600280.01000005</v>
      </c>
      <c r="L55" s="461">
        <f t="shared" si="7"/>
        <v>366056585.40999991</v>
      </c>
      <c r="M55" s="480">
        <f t="shared" si="2"/>
        <v>1.1900398315570437</v>
      </c>
      <c r="N55" s="460">
        <f>'2025'!L55</f>
        <v>38233496.119999997</v>
      </c>
      <c r="O55" s="460">
        <f>'2025'!L131</f>
        <v>38999380.129999995</v>
      </c>
      <c r="P55" s="461">
        <f t="shared" si="6"/>
        <v>-765884.00999999791</v>
      </c>
      <c r="Q55" s="462">
        <f t="shared" si="3"/>
        <v>-1.9638363672627945E-2</v>
      </c>
      <c r="R55" s="460">
        <f>'2024'!L55</f>
        <v>49926359.850000001</v>
      </c>
      <c r="S55" s="461">
        <f t="shared" si="4"/>
        <v>-11692863.730000004</v>
      </c>
      <c r="T55" s="480">
        <f t="shared" si="5"/>
        <v>-0.23420220831501304</v>
      </c>
      <c r="W55" s="470"/>
      <c r="Y55" s="470"/>
    </row>
    <row r="56" spans="1:25">
      <c r="A56" s="129">
        <v>4611</v>
      </c>
      <c r="B56" s="562" t="str">
        <f>+VLOOKUP($A56,Master!$D$30:$G$226,4,FALSE)</f>
        <v>Otplata hartija od vrijednosti i kredita rezidentima</v>
      </c>
      <c r="C56" s="563"/>
      <c r="D56" s="563"/>
      <c r="E56" s="563"/>
      <c r="F56" s="563"/>
      <c r="G56" s="148">
        <f>'2025'!S56</f>
        <v>28388127.440000001</v>
      </c>
      <c r="H56" s="148">
        <f>SUM('2025'!G132:L132)</f>
        <v>28378320.579999998</v>
      </c>
      <c r="I56" s="197">
        <f t="shared" si="0"/>
        <v>9806.8600000031292</v>
      </c>
      <c r="J56" s="199">
        <f t="shared" si="1"/>
        <v>3.4557577050264854E-4</v>
      </c>
      <c r="K56" s="148">
        <f>SUM('2024'!G56:L56)</f>
        <v>161676167.66</v>
      </c>
      <c r="L56" s="197">
        <f t="shared" si="7"/>
        <v>-133288040.22</v>
      </c>
      <c r="M56" s="201">
        <f t="shared" si="2"/>
        <v>-0.82441365446205184</v>
      </c>
      <c r="N56" s="148">
        <f>'2025'!L56</f>
        <v>15431758.25</v>
      </c>
      <c r="O56" s="148">
        <f>'2025'!L132</f>
        <v>15431758.25</v>
      </c>
      <c r="P56" s="197">
        <f t="shared" si="6"/>
        <v>0</v>
      </c>
      <c r="Q56" s="199">
        <f t="shared" si="3"/>
        <v>0</v>
      </c>
      <c r="R56" s="148">
        <f>'2024'!L56</f>
        <v>27246632.220000003</v>
      </c>
      <c r="S56" s="197">
        <f t="shared" si="4"/>
        <v>-11814873.970000003</v>
      </c>
      <c r="T56" s="201">
        <f t="shared" si="5"/>
        <v>-0.43362694789587475</v>
      </c>
      <c r="W56" s="470"/>
      <c r="Y56" s="470"/>
    </row>
    <row r="57" spans="1:25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48">
        <f>'2025'!S57</f>
        <v>645268737.98000002</v>
      </c>
      <c r="H57" s="148">
        <f>SUM('2025'!G133:L133)</f>
        <v>652244412.30999994</v>
      </c>
      <c r="I57" s="197">
        <f t="shared" si="0"/>
        <v>-6975674.3299999237</v>
      </c>
      <c r="J57" s="199">
        <f t="shared" si="1"/>
        <v>-1.0694877868397179E-2</v>
      </c>
      <c r="K57" s="148">
        <f>SUM('2024'!G57:L57)</f>
        <v>145924112.34999999</v>
      </c>
      <c r="L57" s="197">
        <f t="shared" si="7"/>
        <v>499344625.63</v>
      </c>
      <c r="M57" s="201" t="str">
        <f t="shared" si="2"/>
        <v>...</v>
      </c>
      <c r="N57" s="148">
        <f>'2025'!L57</f>
        <v>22801737.869999997</v>
      </c>
      <c r="O57" s="148">
        <f>'2025'!L133</f>
        <v>23567621.879999999</v>
      </c>
      <c r="P57" s="197">
        <f t="shared" si="6"/>
        <v>-765884.01000000164</v>
      </c>
      <c r="Q57" s="199">
        <f t="shared" si="3"/>
        <v>-3.24972970925822E-2</v>
      </c>
      <c r="R57" s="148">
        <f>'2024'!L57</f>
        <v>22679727.629999999</v>
      </c>
      <c r="S57" s="197">
        <f t="shared" si="4"/>
        <v>122010.23999999836</v>
      </c>
      <c r="T57" s="201">
        <f t="shared" si="5"/>
        <v>5.3797048179100582E-3</v>
      </c>
      <c r="W57" s="470"/>
      <c r="Y57" s="470"/>
    </row>
    <row r="58" spans="1:25" ht="15.75" thickBot="1">
      <c r="A58" s="129">
        <v>4418</v>
      </c>
      <c r="B58" s="590" t="str">
        <f>+VLOOKUP($A58,Master!$D$30:$G$226,4,FALSE)</f>
        <v>Izdaci za kupovinu hartija od vrijednosti</v>
      </c>
      <c r="C58" s="591"/>
      <c r="D58" s="591"/>
      <c r="E58" s="591"/>
      <c r="F58" s="591"/>
      <c r="G58" s="313">
        <f>'2025'!S58</f>
        <v>1402866.42</v>
      </c>
      <c r="H58" s="313">
        <f>SUM('2025'!G134:L134)</f>
        <v>13685001.439999999</v>
      </c>
      <c r="I58" s="314">
        <f t="shared" ref="I58:I66" si="9">+G58-H58</f>
        <v>-12282135.02</v>
      </c>
      <c r="J58" s="315">
        <f t="shared" si="1"/>
        <v>-0.89748876343559958</v>
      </c>
      <c r="K58" s="313">
        <f>SUM('2024'!G58:L58)</f>
        <v>3266458.45</v>
      </c>
      <c r="L58" s="314">
        <f t="shared" ref="L58:L66" si="10">+G58-K58</f>
        <v>-1863592.0300000003</v>
      </c>
      <c r="M58" s="481">
        <f t="shared" si="2"/>
        <v>-0.5705237211880041</v>
      </c>
      <c r="N58" s="313">
        <f>'2025'!L58</f>
        <v>360695.5</v>
      </c>
      <c r="O58" s="313">
        <f>'2025'!L134</f>
        <v>3420000.36</v>
      </c>
      <c r="P58" s="314">
        <f t="shared" ref="P58:P66" si="11">+N58-O58</f>
        <v>-3059304.86</v>
      </c>
      <c r="Q58" s="315">
        <f t="shared" si="3"/>
        <v>-0.89453349063390153</v>
      </c>
      <c r="R58" s="313">
        <f>'2024'!L58</f>
        <v>360695.5</v>
      </c>
      <c r="S58" s="314">
        <f t="shared" ref="S58:S66" si="12">+N58-R58</f>
        <v>0</v>
      </c>
      <c r="T58" s="481">
        <f t="shared" si="5"/>
        <v>0</v>
      </c>
      <c r="W58" s="470"/>
      <c r="Y58" s="470"/>
    </row>
    <row r="59" spans="1:25" ht="15.75" thickBot="1">
      <c r="A59" s="129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313">
        <f>'2025'!S59</f>
        <v>5151368.4000000004</v>
      </c>
      <c r="H59" s="313">
        <f>SUM('2025'!G135:L135)</f>
        <v>4620002.3999999985</v>
      </c>
      <c r="I59" s="314">
        <f t="shared" si="9"/>
        <v>531366.00000000186</v>
      </c>
      <c r="J59" s="315">
        <f t="shared" si="1"/>
        <v>0.11501422596663624</v>
      </c>
      <c r="K59" s="313">
        <f>SUM('2024'!G59:L59)</f>
        <v>4787376.97</v>
      </c>
      <c r="L59" s="314">
        <f t="shared" si="10"/>
        <v>363991.43000000063</v>
      </c>
      <c r="M59" s="481">
        <f t="shared" si="2"/>
        <v>7.6031495384830894E-2</v>
      </c>
      <c r="N59" s="313">
        <f>'2025'!L59</f>
        <v>776984.56</v>
      </c>
      <c r="O59" s="313">
        <f>'2025'!L135</f>
        <v>780000.59999999986</v>
      </c>
      <c r="P59" s="314">
        <f t="shared" si="11"/>
        <v>-3016.0399999998044</v>
      </c>
      <c r="Q59" s="315">
        <f t="shared" si="3"/>
        <v>-3.8667149743215612E-3</v>
      </c>
      <c r="R59" s="313">
        <f>'2024'!L59</f>
        <v>1012363.69</v>
      </c>
      <c r="S59" s="314">
        <f t="shared" si="12"/>
        <v>-235379.12999999989</v>
      </c>
      <c r="T59" s="481">
        <f t="shared" si="5"/>
        <v>-0.23250451623763779</v>
      </c>
      <c r="W59" s="470"/>
      <c r="Y59" s="470"/>
    </row>
    <row r="60" spans="1:25" ht="15.7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98">
        <f>'2025'!S60</f>
        <v>-787551897.58000004</v>
      </c>
      <c r="H60" s="298">
        <f>SUM('2025'!G136:L136)</f>
        <v>-815220386.76381147</v>
      </c>
      <c r="I60" s="300">
        <f t="shared" si="9"/>
        <v>27668489.183811426</v>
      </c>
      <c r="J60" s="301">
        <f t="shared" si="1"/>
        <v>-3.3939888689054176E-2</v>
      </c>
      <c r="K60" s="298">
        <f>SUM('2024'!G60:L60)</f>
        <v>-286177967.06999993</v>
      </c>
      <c r="L60" s="300">
        <f>+G60-K60</f>
        <v>-501373930.51000011</v>
      </c>
      <c r="M60" s="482">
        <f t="shared" si="2"/>
        <v>1.7519655186709837</v>
      </c>
      <c r="N60" s="298">
        <f>'2025'!L60</f>
        <v>-80918906.50000003</v>
      </c>
      <c r="O60" s="298">
        <f>'2025'!L136</f>
        <v>-53362094.528242581</v>
      </c>
      <c r="P60" s="300">
        <f t="shared" si="11"/>
        <v>-27556811.971757449</v>
      </c>
      <c r="Q60" s="301">
        <f t="shared" si="3"/>
        <v>0.5164117378708335</v>
      </c>
      <c r="R60" s="298">
        <f>'2024'!L60</f>
        <v>-54378526.989999898</v>
      </c>
      <c r="S60" s="300">
        <f t="shared" si="12"/>
        <v>-26540379.510000132</v>
      </c>
      <c r="T60" s="482">
        <f t="shared" si="5"/>
        <v>0.48806727543173167</v>
      </c>
      <c r="W60" s="470"/>
      <c r="Y60" s="470"/>
    </row>
    <row r="61" spans="1:25" ht="15.7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'2025'!S61</f>
        <v>787551897.58000004</v>
      </c>
      <c r="H61" s="136">
        <f>SUM('2025'!G137:L137)</f>
        <v>815220386.76381147</v>
      </c>
      <c r="I61" s="299">
        <f t="shared" si="9"/>
        <v>-27668489.183811426</v>
      </c>
      <c r="J61" s="302">
        <f t="shared" si="1"/>
        <v>-3.3939888689054176E-2</v>
      </c>
      <c r="K61" s="136">
        <f>SUM('2024'!G61:L61)</f>
        <v>286177967.06999993</v>
      </c>
      <c r="L61" s="299">
        <f t="shared" si="10"/>
        <v>501373930.51000011</v>
      </c>
      <c r="M61" s="483">
        <f t="shared" si="2"/>
        <v>1.7519655186709837</v>
      </c>
      <c r="N61" s="136">
        <f>'2025'!L61</f>
        <v>80918906.50000003</v>
      </c>
      <c r="O61" s="136">
        <f>'2025'!L137</f>
        <v>53362094.528242581</v>
      </c>
      <c r="P61" s="300">
        <f t="shared" si="11"/>
        <v>27556811.971757449</v>
      </c>
      <c r="Q61" s="302">
        <f t="shared" si="3"/>
        <v>0.5164117378708335</v>
      </c>
      <c r="R61" s="136">
        <f>'2024'!L61</f>
        <v>54378526.989999898</v>
      </c>
      <c r="S61" s="299">
        <f t="shared" si="12"/>
        <v>26540379.510000132</v>
      </c>
      <c r="T61" s="483">
        <f t="shared" si="5"/>
        <v>0.48806727543173167</v>
      </c>
      <c r="W61" s="470"/>
      <c r="Y61" s="470"/>
    </row>
    <row r="62" spans="1:25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48">
        <f>'2025'!S62</f>
        <v>6127675</v>
      </c>
      <c r="H62" s="148">
        <f>SUM('2025'!G138:L138)</f>
        <v>35014118.590000004</v>
      </c>
      <c r="I62" s="197">
        <f t="shared" si="9"/>
        <v>-28886443.590000004</v>
      </c>
      <c r="J62" s="199">
        <f t="shared" si="1"/>
        <v>-0.82499416673164361</v>
      </c>
      <c r="K62" s="148">
        <f>SUM('2024'!G62:L62)</f>
        <v>0</v>
      </c>
      <c r="L62" s="197">
        <f t="shared" si="10"/>
        <v>6127675</v>
      </c>
      <c r="M62" s="201" t="str">
        <f t="shared" si="2"/>
        <v>...</v>
      </c>
      <c r="N62" s="148">
        <f>'2025'!L62</f>
        <v>6127675</v>
      </c>
      <c r="O62" s="148">
        <f>'2025'!L138</f>
        <v>35014118.590000004</v>
      </c>
      <c r="P62" s="197">
        <f t="shared" si="11"/>
        <v>-28886443.590000004</v>
      </c>
      <c r="Q62" s="199">
        <f t="shared" si="3"/>
        <v>-0.82499416673164361</v>
      </c>
      <c r="R62" s="148">
        <f>'2024'!L62</f>
        <v>0</v>
      </c>
      <c r="S62" s="197">
        <f t="shared" si="12"/>
        <v>6127675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148">
        <f>'2025'!S63</f>
        <v>914581403.7700001</v>
      </c>
      <c r="H63" s="148">
        <f>SUM('2025'!G139:L139)</f>
        <v>850000000</v>
      </c>
      <c r="I63" s="197">
        <f t="shared" si="9"/>
        <v>64581403.7700001</v>
      </c>
      <c r="J63" s="199">
        <f t="shared" si="1"/>
        <v>7.5978122082352995E-2</v>
      </c>
      <c r="K63" s="148">
        <f>SUM('2024'!G63:L63)</f>
        <v>702350710.28999996</v>
      </c>
      <c r="L63" s="197">
        <f t="shared" si="10"/>
        <v>212230693.48000014</v>
      </c>
      <c r="M63" s="201">
        <f t="shared" si="2"/>
        <v>0.30217196390727685</v>
      </c>
      <c r="N63" s="148">
        <f>'2025'!L63</f>
        <v>13860000</v>
      </c>
      <c r="O63" s="148">
        <f>'2025'!L139</f>
        <v>0</v>
      </c>
      <c r="P63" s="197">
        <f t="shared" si="11"/>
        <v>13860000</v>
      </c>
      <c r="Q63" s="199" t="str">
        <f t="shared" si="3"/>
        <v>...</v>
      </c>
      <c r="R63" s="148">
        <f>'2024'!L63</f>
        <v>3040803.26</v>
      </c>
      <c r="S63" s="197">
        <f t="shared" si="12"/>
        <v>10819196.74</v>
      </c>
      <c r="T63" s="201" t="str">
        <f t="shared" si="5"/>
        <v>...</v>
      </c>
      <c r="W63" s="470"/>
      <c r="Y63" s="470"/>
    </row>
    <row r="64" spans="1:25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48">
        <f>'2025'!S64</f>
        <v>924273.91</v>
      </c>
      <c r="H64" s="148">
        <f>SUM('2025'!G140:L140)</f>
        <v>3000000</v>
      </c>
      <c r="I64" s="197">
        <f t="shared" si="9"/>
        <v>-2075726.0899999999</v>
      </c>
      <c r="J64" s="199">
        <f t="shared" si="1"/>
        <v>-0.69190869666666666</v>
      </c>
      <c r="K64" s="148">
        <f>SUM('2024'!G64:L64)</f>
        <v>1067317.03</v>
      </c>
      <c r="L64" s="197">
        <f t="shared" si="10"/>
        <v>-143043.12</v>
      </c>
      <c r="M64" s="201">
        <f t="shared" si="2"/>
        <v>-0.13402121017407542</v>
      </c>
      <c r="N64" s="148">
        <f>'2025'!L64</f>
        <v>96396.750000000015</v>
      </c>
      <c r="O64" s="148">
        <f>'2025'!L140</f>
        <v>500000</v>
      </c>
      <c r="P64" s="197">
        <f t="shared" si="11"/>
        <v>-403603.25</v>
      </c>
      <c r="Q64" s="199">
        <f t="shared" si="3"/>
        <v>-0.80720649999999994</v>
      </c>
      <c r="R64" s="148">
        <f>'2024'!L64</f>
        <v>390561.8</v>
      </c>
      <c r="S64" s="197">
        <f t="shared" si="12"/>
        <v>-294165.05</v>
      </c>
      <c r="T64" s="201">
        <f t="shared" si="5"/>
        <v>-0.75318438720837522</v>
      </c>
      <c r="W64" s="470"/>
      <c r="Y64" s="470"/>
    </row>
    <row r="65" spans="1:25">
      <c r="A65" s="129">
        <v>73</v>
      </c>
      <c r="B65" s="562" t="str">
        <f>+VLOOKUP($A65,Master!$D$30:$G$226,4,FALSE)</f>
        <v>Primici od otplate kredita i sredstva prenesena iz prethodne godine</v>
      </c>
      <c r="C65" s="563"/>
      <c r="D65" s="563"/>
      <c r="E65" s="563"/>
      <c r="F65" s="563"/>
      <c r="G65" s="148">
        <f>'2025'!S65</f>
        <v>9554711.6500000004</v>
      </c>
      <c r="H65" s="148">
        <f>SUM('2025'!G141:L141)</f>
        <v>3726463.6537240706</v>
      </c>
      <c r="I65" s="197">
        <f t="shared" si="9"/>
        <v>5828247.9962759297</v>
      </c>
      <c r="J65" s="199">
        <f t="shared" si="1"/>
        <v>1.5640157902657723</v>
      </c>
      <c r="K65" s="148">
        <f>SUM('2024'!G65:L65)</f>
        <v>10222571.48</v>
      </c>
      <c r="L65" s="197">
        <f t="shared" si="10"/>
        <v>-667859.83000000007</v>
      </c>
      <c r="M65" s="201">
        <f t="shared" si="2"/>
        <v>-6.5331881641193523E-2</v>
      </c>
      <c r="N65" s="148">
        <f>'2025'!L65</f>
        <v>2464204.52</v>
      </c>
      <c r="O65" s="148">
        <f>'2025'!L141</f>
        <v>1530930.5926958604</v>
      </c>
      <c r="P65" s="197">
        <f t="shared" si="11"/>
        <v>933273.92730413959</v>
      </c>
      <c r="Q65" s="199">
        <f t="shared" si="3"/>
        <v>0.60961217429244141</v>
      </c>
      <c r="R65" s="148">
        <f>'2024'!L65</f>
        <v>2214616.3699999996</v>
      </c>
      <c r="S65" s="197">
        <f t="shared" si="12"/>
        <v>249588.15000000037</v>
      </c>
      <c r="T65" s="201">
        <f t="shared" si="5"/>
        <v>0.11270039966335132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-143636166.75</v>
      </c>
      <c r="H66" s="296">
        <f>SUM('2025'!G142:L142)</f>
        <v>-76520195.479912728</v>
      </c>
      <c r="I66" s="211">
        <f t="shared" si="9"/>
        <v>-67115971.270087272</v>
      </c>
      <c r="J66" s="213">
        <f t="shared" si="1"/>
        <v>0.87710140896994759</v>
      </c>
      <c r="K66" s="296">
        <f>SUM('2024'!G66:L66)</f>
        <v>-427462631.73000008</v>
      </c>
      <c r="L66" s="211">
        <f t="shared" si="10"/>
        <v>283826464.98000008</v>
      </c>
      <c r="M66" s="215">
        <f t="shared" si="2"/>
        <v>-0.66397959473396617</v>
      </c>
      <c r="N66" s="296">
        <f>'2025'!L66</f>
        <v>58370630.230000034</v>
      </c>
      <c r="O66" s="296">
        <f>'2025'!L142</f>
        <v>16317045.345546715</v>
      </c>
      <c r="P66" s="211">
        <f t="shared" si="11"/>
        <v>42053584.884453319</v>
      </c>
      <c r="Q66" s="213" t="str">
        <f t="shared" si="3"/>
        <v>...</v>
      </c>
      <c r="R66" s="296">
        <f>'2024'!L66</f>
        <v>48732545.559999898</v>
      </c>
      <c r="S66" s="211">
        <f t="shared" si="12"/>
        <v>9638084.6700001359</v>
      </c>
      <c r="T66" s="215">
        <f t="shared" si="5"/>
        <v>0.19777511228371303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you+rzu20ROikN7ckZuCuk7d2TtbYXy7MISsbErhkoX3RFlz9xSidDJI0qzXwDYpJ6Vq1+YsP19mC04EPLnJhQ==" saltValue="XO58ilFVx5TGlXos1G9C+Q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2024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7459213000</v>
      </c>
    </row>
    <row r="8" spans="1:24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4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96" t="s">
        <v>101</v>
      </c>
      <c r="C65" s="597"/>
      <c r="D65" s="597"/>
      <c r="E65" s="597"/>
      <c r="F65" s="597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2024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7279700000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50"/>
  <sheetViews>
    <sheetView zoomScale="80" zoomScaleNormal="80" workbookViewId="0">
      <pane ySplit="1" topLeftCell="A2" activePane="bottomLeft" state="frozen"/>
      <selection pane="bottomLeft" activeCell="D6" sqref="D6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2025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7918500000</v>
      </c>
    </row>
    <row r="8" spans="1:23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3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513">
        <f>G11+G19+G24+G25+G26+G27+G28</f>
        <v>156750672.07999998</v>
      </c>
      <c r="H10" s="513">
        <f t="shared" ref="H10:L10" si="1">+H11+H19+SUM(H24:H28)</f>
        <v>178348802.93000001</v>
      </c>
      <c r="I10" s="513">
        <f t="shared" si="1"/>
        <v>245354780.28999996</v>
      </c>
      <c r="J10" s="513">
        <f t="shared" si="1"/>
        <v>317073738.62000006</v>
      </c>
      <c r="K10" s="513">
        <f t="shared" si="1"/>
        <v>199483690.82999998</v>
      </c>
      <c r="L10" s="513">
        <f t="shared" si="1"/>
        <v>225817786.13999999</v>
      </c>
      <c r="M10" s="513">
        <f t="shared" ref="M10:R10" si="2">+M11+M19+SUM(M24:M28)</f>
        <v>0</v>
      </c>
      <c r="N10" s="513">
        <f t="shared" si="2"/>
        <v>0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1322829470.8899999</v>
      </c>
      <c r="T10" s="515">
        <f>+S10/$T$7*100</f>
        <v>16.70555624032329</v>
      </c>
    </row>
    <row r="11" spans="1:23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516">
        <f t="shared" ref="G11:I11" si="3">+SUM(G12:G18)</f>
        <v>132702629.50999999</v>
      </c>
      <c r="H11" s="516">
        <f t="shared" si="3"/>
        <v>134657233.55000001</v>
      </c>
      <c r="I11" s="516">
        <f t="shared" si="3"/>
        <v>202518041.17999998</v>
      </c>
      <c r="J11" s="516">
        <f>+SUM(J12:J18)</f>
        <v>265707637.32000002</v>
      </c>
      <c r="K11" s="516">
        <f>+SUM(K12:K18)</f>
        <v>157978153.23999998</v>
      </c>
      <c r="L11" s="516">
        <f>+SUM(L12:L18)</f>
        <v>177871216.63999999</v>
      </c>
      <c r="M11" s="516">
        <f t="shared" ref="M11:R11" si="4">+SUM(M12:M18)</f>
        <v>0</v>
      </c>
      <c r="N11" s="516">
        <f t="shared" si="4"/>
        <v>0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1071434911.4400001</v>
      </c>
      <c r="T11" s="519">
        <f t="shared" ref="T11:T66" si="5">+S11/$T$7*100</f>
        <v>13.530781226747489</v>
      </c>
    </row>
    <row r="12" spans="1:23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499">
        <v>3030555.43</v>
      </c>
      <c r="H12" s="499">
        <v>8431658.6199999992</v>
      </c>
      <c r="I12" s="499">
        <v>8822636.5500000007</v>
      </c>
      <c r="J12" s="499">
        <v>10595893.43</v>
      </c>
      <c r="K12" s="499">
        <v>7860769.3200000003</v>
      </c>
      <c r="L12" s="148">
        <v>7843776.29</v>
      </c>
      <c r="M12" s="148"/>
      <c r="N12" s="148"/>
      <c r="O12" s="148"/>
      <c r="P12" s="148"/>
      <c r="Q12" s="148"/>
      <c r="R12" s="148"/>
      <c r="S12" s="227">
        <f>+SUM(G12:R12)</f>
        <v>46585289.640000001</v>
      </c>
      <c r="T12" s="436">
        <f t="shared" si="5"/>
        <v>0.58830952377344192</v>
      </c>
    </row>
    <row r="13" spans="1:23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499">
        <v>4758743.22</v>
      </c>
      <c r="H13" s="499">
        <v>4374185.16</v>
      </c>
      <c r="I13" s="499">
        <v>69066545.549999997</v>
      </c>
      <c r="J13" s="499">
        <v>112838365.88</v>
      </c>
      <c r="K13" s="499">
        <v>8765336.6999999993</v>
      </c>
      <c r="L13" s="148">
        <v>10311268.779999999</v>
      </c>
      <c r="M13" s="148"/>
      <c r="N13" s="148"/>
      <c r="O13" s="148"/>
      <c r="P13" s="148"/>
      <c r="Q13" s="148"/>
      <c r="R13" s="148"/>
      <c r="S13" s="227">
        <f t="shared" ref="S13:S65" si="6">+SUM(G13:R13)</f>
        <v>210114445.28999999</v>
      </c>
      <c r="T13" s="436">
        <f t="shared" si="5"/>
        <v>2.653462717560144</v>
      </c>
      <c r="V13" s="276"/>
      <c r="W13" s="494"/>
    </row>
    <row r="14" spans="1:23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/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499">
        <v>96606704.819999993</v>
      </c>
      <c r="H15" s="499">
        <v>90486320.040000007</v>
      </c>
      <c r="I15" s="499">
        <v>95190601.359999999</v>
      </c>
      <c r="J15" s="499">
        <v>101620940.56</v>
      </c>
      <c r="K15" s="499">
        <v>103302134.66</v>
      </c>
      <c r="L15" s="148">
        <v>114852175.14</v>
      </c>
      <c r="M15" s="148"/>
      <c r="N15" s="148"/>
      <c r="O15" s="148"/>
      <c r="P15" s="148"/>
      <c r="Q15" s="148"/>
      <c r="R15" s="148"/>
      <c r="S15" s="227">
        <f t="shared" si="6"/>
        <v>602058876.58000004</v>
      </c>
      <c r="T15" s="436">
        <f t="shared" si="5"/>
        <v>7.6031934909389403</v>
      </c>
      <c r="V15" s="276"/>
      <c r="W15" s="494"/>
    </row>
    <row r="16" spans="1:23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499">
        <v>23651764.850000001</v>
      </c>
      <c r="H16" s="499">
        <v>25416734.460000001</v>
      </c>
      <c r="I16" s="499">
        <v>22396675.600000001</v>
      </c>
      <c r="J16" s="499">
        <v>33254768.050000001</v>
      </c>
      <c r="K16" s="499">
        <v>31121619.41</v>
      </c>
      <c r="L16" s="148">
        <v>37020225.659999996</v>
      </c>
      <c r="M16" s="148"/>
      <c r="N16" s="148"/>
      <c r="O16" s="148"/>
      <c r="P16" s="148"/>
      <c r="Q16" s="148"/>
      <c r="R16" s="148"/>
      <c r="S16" s="227">
        <f t="shared" si="6"/>
        <v>172861788.03</v>
      </c>
      <c r="T16" s="436">
        <f t="shared" si="5"/>
        <v>2.1830117829134306</v>
      </c>
      <c r="V16" s="276"/>
      <c r="W16" s="494"/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499">
        <v>3527264.2</v>
      </c>
      <c r="H17" s="499">
        <v>4794688.67</v>
      </c>
      <c r="I17" s="499">
        <v>5839125.4400000004</v>
      </c>
      <c r="J17" s="499">
        <v>6146881</v>
      </c>
      <c r="K17" s="499">
        <v>5626244.9800000004</v>
      </c>
      <c r="L17" s="148">
        <v>6373571.0700000003</v>
      </c>
      <c r="M17" s="148"/>
      <c r="N17" s="148"/>
      <c r="O17" s="148"/>
      <c r="P17" s="148"/>
      <c r="Q17" s="148"/>
      <c r="R17" s="148"/>
      <c r="S17" s="227">
        <f t="shared" si="6"/>
        <v>32307775.360000003</v>
      </c>
      <c r="T17" s="436">
        <f t="shared" si="5"/>
        <v>0.40800372999936863</v>
      </c>
      <c r="V17" s="276"/>
      <c r="W17" s="494"/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499">
        <v>1127596.99</v>
      </c>
      <c r="H18" s="499">
        <v>1153646.6000000001</v>
      </c>
      <c r="I18" s="499">
        <v>1202456.68</v>
      </c>
      <c r="J18" s="499">
        <v>1250788.3999999999</v>
      </c>
      <c r="K18" s="499">
        <v>1302048.17</v>
      </c>
      <c r="L18" s="148">
        <v>1470199.7</v>
      </c>
      <c r="M18" s="148"/>
      <c r="N18" s="148"/>
      <c r="O18" s="148"/>
      <c r="P18" s="148"/>
      <c r="Q18" s="148"/>
      <c r="R18" s="148"/>
      <c r="S18" s="227">
        <f t="shared" si="6"/>
        <v>7506736.54</v>
      </c>
      <c r="T18" s="436">
        <f t="shared" si="5"/>
        <v>9.4799981562164556E-2</v>
      </c>
      <c r="V18" s="276"/>
      <c r="W18" s="494"/>
    </row>
    <row r="19" spans="1:23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</v>
      </c>
      <c r="K19" s="520">
        <f t="shared" si="7"/>
        <v>31771983.16</v>
      </c>
      <c r="L19" s="520">
        <f t="shared" si="7"/>
        <v>34152040.779999994</v>
      </c>
      <c r="M19" s="520">
        <f t="shared" si="7"/>
        <v>0</v>
      </c>
      <c r="N19" s="520">
        <f t="shared" si="7"/>
        <v>0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184079723.10999998</v>
      </c>
      <c r="T19" s="522">
        <f t="shared" si="5"/>
        <v>2.3246792083096546</v>
      </c>
      <c r="V19" s="276"/>
      <c r="W19" s="494"/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499">
        <v>14262452.49</v>
      </c>
      <c r="H20" s="499">
        <v>29554149.210000001</v>
      </c>
      <c r="I20" s="499">
        <v>27476313.780000001</v>
      </c>
      <c r="J20" s="499">
        <v>28513630.079999998</v>
      </c>
      <c r="K20" s="499">
        <v>27075161.030000001</v>
      </c>
      <c r="L20" s="148">
        <v>28518289.399999999</v>
      </c>
      <c r="M20" s="148"/>
      <c r="N20" s="148"/>
      <c r="O20" s="148"/>
      <c r="P20" s="148"/>
      <c r="Q20" s="148"/>
      <c r="R20" s="148"/>
      <c r="S20" s="227">
        <f>+SUM(G20:R20)</f>
        <v>155399995.99000001</v>
      </c>
      <c r="T20" s="436">
        <f t="shared" si="5"/>
        <v>1.9624928457409863</v>
      </c>
      <c r="V20" s="276"/>
      <c r="W20" s="494"/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499">
        <v>314658.88</v>
      </c>
      <c r="H21" s="499">
        <v>1154569.93</v>
      </c>
      <c r="I21" s="499">
        <v>583561.47</v>
      </c>
      <c r="J21" s="499">
        <v>524440.96</v>
      </c>
      <c r="K21" s="499">
        <v>499269.08</v>
      </c>
      <c r="L21" s="148">
        <v>572757.14</v>
      </c>
      <c r="M21" s="148"/>
      <c r="N21" s="148"/>
      <c r="O21" s="148"/>
      <c r="P21" s="148"/>
      <c r="Q21" s="148"/>
      <c r="R21" s="148"/>
      <c r="S21" s="227">
        <f t="shared" si="6"/>
        <v>3649257.4600000004</v>
      </c>
      <c r="T21" s="436">
        <f t="shared" si="5"/>
        <v>4.6085211340531673E-2</v>
      </c>
      <c r="V21" s="276"/>
      <c r="W21" s="494"/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499">
        <v>1216722.56</v>
      </c>
      <c r="H22" s="499">
        <v>2764148.03</v>
      </c>
      <c r="I22" s="499">
        <v>2567338.7400000002</v>
      </c>
      <c r="J22" s="499">
        <v>2726994.09</v>
      </c>
      <c r="K22" s="499">
        <v>2429549.14</v>
      </c>
      <c r="L22" s="148">
        <v>2974122.76</v>
      </c>
      <c r="M22" s="148"/>
      <c r="N22" s="148"/>
      <c r="O22" s="148"/>
      <c r="P22" s="148"/>
      <c r="Q22" s="148"/>
      <c r="R22" s="148"/>
      <c r="S22" s="227">
        <f t="shared" si="6"/>
        <v>14678875.32</v>
      </c>
      <c r="T22" s="436">
        <f t="shared" si="5"/>
        <v>0.18537444364462968</v>
      </c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499">
        <v>819141.76</v>
      </c>
      <c r="H23" s="499">
        <v>1881585.61</v>
      </c>
      <c r="I23" s="499">
        <v>1805929.14</v>
      </c>
      <c r="J23" s="499">
        <v>1990062.44</v>
      </c>
      <c r="K23" s="499">
        <v>1768003.91</v>
      </c>
      <c r="L23" s="148">
        <v>2086871.48</v>
      </c>
      <c r="M23" s="148"/>
      <c r="N23" s="148"/>
      <c r="O23" s="148"/>
      <c r="P23" s="148"/>
      <c r="Q23" s="148"/>
      <c r="R23" s="148"/>
      <c r="S23" s="227">
        <f t="shared" si="6"/>
        <v>10351594.34</v>
      </c>
      <c r="T23" s="436">
        <f t="shared" si="5"/>
        <v>0.13072670758350696</v>
      </c>
      <c r="V23" s="495"/>
      <c r="W23" s="494"/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876568.74</v>
      </c>
      <c r="H24" s="160">
        <v>1052557.3699999999</v>
      </c>
      <c r="I24" s="160">
        <v>1107384.3999999999</v>
      </c>
      <c r="J24" s="160">
        <v>1237358.1299999999</v>
      </c>
      <c r="K24" s="160">
        <v>1223227.82</v>
      </c>
      <c r="L24" s="523">
        <v>1429401.73</v>
      </c>
      <c r="M24" s="523"/>
      <c r="N24" s="523"/>
      <c r="O24" s="523"/>
      <c r="P24" s="523"/>
      <c r="Q24" s="523"/>
      <c r="R24" s="523"/>
      <c r="S24" s="521">
        <f t="shared" si="6"/>
        <v>6926498.1899999995</v>
      </c>
      <c r="T24" s="522">
        <f t="shared" si="5"/>
        <v>8.7472351960598591E-2</v>
      </c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4273770.1400000006</v>
      </c>
      <c r="H25" s="160">
        <v>3496530.8</v>
      </c>
      <c r="I25" s="160">
        <v>4383671.12</v>
      </c>
      <c r="J25" s="160">
        <v>7314217.7100000009</v>
      </c>
      <c r="K25" s="160">
        <v>4743652.47</v>
      </c>
      <c r="L25" s="523">
        <v>7205854.8599999994</v>
      </c>
      <c r="M25" s="523"/>
      <c r="N25" s="523"/>
      <c r="O25" s="523"/>
      <c r="P25" s="523"/>
      <c r="Q25" s="523"/>
      <c r="R25" s="523"/>
      <c r="S25" s="521">
        <f t="shared" si="6"/>
        <v>31417697.100000001</v>
      </c>
      <c r="T25" s="522">
        <f t="shared" si="5"/>
        <v>0.3967632392498579</v>
      </c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2284728</v>
      </c>
      <c r="H26" s="160">
        <v>2935178.32</v>
      </c>
      <c r="I26" s="160">
        <v>2894676.9999999995</v>
      </c>
      <c r="J26" s="160">
        <v>8456379.870000001</v>
      </c>
      <c r="K26" s="160">
        <v>3043205.3499999996</v>
      </c>
      <c r="L26" s="523">
        <v>4110498.33</v>
      </c>
      <c r="M26" s="523"/>
      <c r="N26" s="523"/>
      <c r="O26" s="523"/>
      <c r="P26" s="523"/>
      <c r="Q26" s="523"/>
      <c r="R26" s="523"/>
      <c r="S26" s="521">
        <f t="shared" si="6"/>
        <v>23724666.869999997</v>
      </c>
      <c r="T26" s="522">
        <f t="shared" si="5"/>
        <v>0.29961061905663949</v>
      </c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/>
      <c r="N27" s="523"/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0</v>
      </c>
      <c r="H28" s="160">
        <v>852850.11</v>
      </c>
      <c r="I28" s="160">
        <v>2017863.46</v>
      </c>
      <c r="J28" s="160">
        <v>603018.02</v>
      </c>
      <c r="K28" s="160">
        <v>723468.79</v>
      </c>
      <c r="L28" s="523">
        <v>1048773.8</v>
      </c>
      <c r="M28" s="523"/>
      <c r="N28" s="523"/>
      <c r="O28" s="523"/>
      <c r="P28" s="523"/>
      <c r="Q28" s="523"/>
      <c r="R28" s="523"/>
      <c r="S28" s="521">
        <f t="shared" si="6"/>
        <v>5245974.18</v>
      </c>
      <c r="T28" s="524">
        <f t="shared" si="5"/>
        <v>6.6249594999052849E-2</v>
      </c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154390488.06999996</v>
      </c>
      <c r="H29" s="136">
        <f t="shared" ref="H29:L29" si="8">+H30+H40+H46+SUM(H47:H51)</f>
        <v>212758826.39000002</v>
      </c>
      <c r="I29" s="136">
        <f t="shared" si="8"/>
        <v>278523976.18000001</v>
      </c>
      <c r="J29" s="136">
        <f t="shared" si="8"/>
        <v>281280010.37000006</v>
      </c>
      <c r="K29" s="136">
        <f t="shared" si="8"/>
        <v>235851450.76000005</v>
      </c>
      <c r="L29" s="136">
        <f t="shared" si="8"/>
        <v>267365516.46000001</v>
      </c>
      <c r="M29" s="136">
        <f t="shared" ref="M29:R29" si="9">+M30+M40+M46+SUM(M47:M51)</f>
        <v>0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1430170268.23</v>
      </c>
      <c r="T29" s="526">
        <f t="shared" si="5"/>
        <v>18.061126074761635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" si="10">+SUM(G31:G39)</f>
        <v>62043543.54999999</v>
      </c>
      <c r="H30" s="172">
        <f t="shared" ref="H30:L30" si="11">+SUM(H31:H39)</f>
        <v>75176540.300000027</v>
      </c>
      <c r="I30" s="172">
        <f t="shared" si="11"/>
        <v>110899692.14000003</v>
      </c>
      <c r="J30" s="172">
        <f t="shared" si="11"/>
        <v>122541415.61000006</v>
      </c>
      <c r="K30" s="172">
        <f t="shared" si="11"/>
        <v>91026774.479999989</v>
      </c>
      <c r="L30" s="172">
        <f t="shared" si="11"/>
        <v>96514064.159999996</v>
      </c>
      <c r="M30" s="172">
        <f t="shared" ref="M30:R30" si="12">+SUM(M31:M39)</f>
        <v>0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558202030.24000013</v>
      </c>
      <c r="T30" s="519">
        <f t="shared" si="5"/>
        <v>7.0493405346972295</v>
      </c>
      <c r="U30" s="472"/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499">
        <v>55836509.87999998</v>
      </c>
      <c r="H31" s="499">
        <v>57530041.020000033</v>
      </c>
      <c r="I31" s="499">
        <v>56241192.140000015</v>
      </c>
      <c r="J31" s="499">
        <v>57955580.230000041</v>
      </c>
      <c r="K31" s="499">
        <v>57929792.419999994</v>
      </c>
      <c r="L31" s="499">
        <v>57842289.750000007</v>
      </c>
      <c r="M31" s="499"/>
      <c r="N31" s="499"/>
      <c r="O31" s="499"/>
      <c r="P31" s="499"/>
      <c r="Q31" s="499"/>
      <c r="R31" s="148"/>
      <c r="S31" s="227">
        <f t="shared" si="6"/>
        <v>343335405.44000006</v>
      </c>
      <c r="T31" s="436">
        <f t="shared" si="5"/>
        <v>4.3358641843783552</v>
      </c>
      <c r="U31" s="472"/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499">
        <v>31766.52</v>
      </c>
      <c r="H32" s="499">
        <v>1842166.1700000016</v>
      </c>
      <c r="I32" s="499">
        <v>1859578.6300000004</v>
      </c>
      <c r="J32" s="499">
        <v>2512992.9100000006</v>
      </c>
      <c r="K32" s="499">
        <v>1594579.5199999996</v>
      </c>
      <c r="L32" s="499">
        <v>2658566.0099999998</v>
      </c>
      <c r="M32" s="499"/>
      <c r="N32" s="499"/>
      <c r="O32" s="499"/>
      <c r="P32" s="499"/>
      <c r="Q32" s="499"/>
      <c r="R32" s="148"/>
      <c r="S32" s="227">
        <f t="shared" si="6"/>
        <v>10499649.760000002</v>
      </c>
      <c r="T32" s="436">
        <f t="shared" si="5"/>
        <v>0.1325964483172318</v>
      </c>
      <c r="U32" s="472"/>
    </row>
    <row r="33" spans="1:23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499">
        <v>39625.339999999997</v>
      </c>
      <c r="H33" s="499">
        <v>1487088.8500000003</v>
      </c>
      <c r="I33" s="499">
        <v>4592010.7299999995</v>
      </c>
      <c r="J33" s="499">
        <v>3866754.5999999992</v>
      </c>
      <c r="K33" s="499">
        <v>2644436.0699999998</v>
      </c>
      <c r="L33" s="499">
        <v>2839973.1600000006</v>
      </c>
      <c r="M33" s="499"/>
      <c r="N33" s="499"/>
      <c r="O33" s="499"/>
      <c r="P33" s="499"/>
      <c r="Q33" s="499"/>
      <c r="R33" s="148"/>
      <c r="S33" s="227">
        <f t="shared" si="6"/>
        <v>15469888.75</v>
      </c>
      <c r="T33" s="436">
        <f t="shared" si="5"/>
        <v>0.19536387889120413</v>
      </c>
      <c r="U33" s="472"/>
    </row>
    <row r="34" spans="1:23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499">
        <v>1245697.8400000001</v>
      </c>
      <c r="H34" s="499">
        <v>3160849.0199999991</v>
      </c>
      <c r="I34" s="499">
        <v>5714884.3200000012</v>
      </c>
      <c r="J34" s="499">
        <v>8516085.3900000006</v>
      </c>
      <c r="K34" s="499">
        <v>6499082.209999999</v>
      </c>
      <c r="L34" s="499">
        <v>7597865.9999999991</v>
      </c>
      <c r="M34" s="499"/>
      <c r="N34" s="499"/>
      <c r="O34" s="499"/>
      <c r="P34" s="499"/>
      <c r="Q34" s="499"/>
      <c r="R34" s="148"/>
      <c r="S34" s="227">
        <f t="shared" si="6"/>
        <v>32734464.780000001</v>
      </c>
      <c r="T34" s="436">
        <f t="shared" si="5"/>
        <v>0.41339224322788409</v>
      </c>
      <c r="U34" s="472"/>
    </row>
    <row r="35" spans="1:23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499">
        <v>1721.01</v>
      </c>
      <c r="H35" s="499">
        <v>948846.46</v>
      </c>
      <c r="I35" s="499">
        <v>3236889.07</v>
      </c>
      <c r="J35" s="499">
        <v>2562919.08</v>
      </c>
      <c r="K35" s="499">
        <v>2313041.1300000004</v>
      </c>
      <c r="L35" s="499">
        <v>3214980.1100000008</v>
      </c>
      <c r="M35" s="499"/>
      <c r="N35" s="499"/>
      <c r="O35" s="499"/>
      <c r="P35" s="499"/>
      <c r="Q35" s="499"/>
      <c r="R35" s="148"/>
      <c r="S35" s="227">
        <f t="shared" si="6"/>
        <v>12278396.860000001</v>
      </c>
      <c r="T35" s="436">
        <f t="shared" si="5"/>
        <v>0.15505963073814485</v>
      </c>
      <c r="U35" s="472"/>
    </row>
    <row r="36" spans="1:23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499">
        <v>3788619.5500000003</v>
      </c>
      <c r="H36" s="499">
        <v>3320549.13</v>
      </c>
      <c r="I36" s="499">
        <v>24471807.800000004</v>
      </c>
      <c r="J36" s="499">
        <v>33272514.919999998</v>
      </c>
      <c r="K36" s="499">
        <v>10340576.27</v>
      </c>
      <c r="L36" s="499">
        <v>5428174.1699999999</v>
      </c>
      <c r="M36" s="499"/>
      <c r="N36" s="499"/>
      <c r="O36" s="499"/>
      <c r="P36" s="499"/>
      <c r="Q36" s="499"/>
      <c r="R36" s="148"/>
      <c r="S36" s="227">
        <f>+SUM(G36:R36)</f>
        <v>80622241.840000004</v>
      </c>
      <c r="T36" s="436">
        <f t="shared" si="5"/>
        <v>1.0181504305108291</v>
      </c>
      <c r="U36" s="472"/>
    </row>
    <row r="37" spans="1:23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499">
        <v>17739.240000000002</v>
      </c>
      <c r="H37" s="499">
        <v>658913.61</v>
      </c>
      <c r="I37" s="499">
        <v>1423673.45</v>
      </c>
      <c r="J37" s="499">
        <v>1026043.0900000001</v>
      </c>
      <c r="K37" s="499">
        <v>804963.71999999986</v>
      </c>
      <c r="L37" s="499">
        <v>1422017.38</v>
      </c>
      <c r="M37" s="499"/>
      <c r="N37" s="499"/>
      <c r="O37" s="499"/>
      <c r="P37" s="499"/>
      <c r="Q37" s="499"/>
      <c r="R37" s="148"/>
      <c r="S37" s="227">
        <f t="shared" si="6"/>
        <v>5353350.4899999993</v>
      </c>
      <c r="T37" s="436">
        <f t="shared" si="5"/>
        <v>6.7605613310601748E-2</v>
      </c>
      <c r="U37" s="472"/>
    </row>
    <row r="38" spans="1:23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499">
        <v>651862.92999999982</v>
      </c>
      <c r="H38" s="499">
        <v>4133251.8899999927</v>
      </c>
      <c r="I38" s="499">
        <v>6084455.6400000043</v>
      </c>
      <c r="J38" s="499">
        <v>6925339.3099999949</v>
      </c>
      <c r="K38" s="499">
        <v>4645561.2299999967</v>
      </c>
      <c r="L38" s="499">
        <v>5186790.0599999968</v>
      </c>
      <c r="M38" s="499"/>
      <c r="N38" s="499"/>
      <c r="O38" s="499"/>
      <c r="P38" s="499"/>
      <c r="Q38" s="499"/>
      <c r="R38" s="148"/>
      <c r="S38" s="227">
        <f t="shared" si="6"/>
        <v>27627261.059999987</v>
      </c>
      <c r="T38" s="436">
        <f t="shared" si="5"/>
        <v>0.34889513241144138</v>
      </c>
      <c r="U38" s="472"/>
    </row>
    <row r="39" spans="1:23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499">
        <v>430001.24</v>
      </c>
      <c r="H39" s="499">
        <v>2094834.1499999992</v>
      </c>
      <c r="I39" s="499">
        <v>7275200.3600000003</v>
      </c>
      <c r="J39" s="499">
        <v>5903186.0800000001</v>
      </c>
      <c r="K39" s="499">
        <v>4254741.9099999992</v>
      </c>
      <c r="L39" s="499">
        <v>10323407.519999998</v>
      </c>
      <c r="M39" s="499"/>
      <c r="N39" s="499"/>
      <c r="O39" s="499"/>
      <c r="P39" s="499"/>
      <c r="Q39" s="499"/>
      <c r="R39" s="148"/>
      <c r="S39" s="227">
        <f t="shared" si="6"/>
        <v>30281371.259999998</v>
      </c>
      <c r="T39" s="436">
        <f t="shared" si="5"/>
        <v>0.38241297291153625</v>
      </c>
      <c r="U39" s="472"/>
    </row>
    <row r="40" spans="1:23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82168714.539999992</v>
      </c>
      <c r="H40" s="178">
        <f t="shared" ref="H40:L40" si="13">+SUM(H41:H45)</f>
        <v>94353481.819999993</v>
      </c>
      <c r="I40" s="178">
        <f t="shared" si="13"/>
        <v>92709109.359999999</v>
      </c>
      <c r="J40" s="178">
        <f t="shared" si="13"/>
        <v>90297904.609999999</v>
      </c>
      <c r="K40" s="178">
        <f t="shared" si="13"/>
        <v>90671823.420000032</v>
      </c>
      <c r="L40" s="178">
        <f t="shared" si="13"/>
        <v>93432135.900000006</v>
      </c>
      <c r="M40" s="178">
        <f t="shared" ref="M40:R40" si="14">+SUM(M41:M45)</f>
        <v>0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543633169.64999998</v>
      </c>
      <c r="T40" s="529">
        <f t="shared" si="5"/>
        <v>6.8653554290585337</v>
      </c>
      <c r="U40" s="472"/>
    </row>
    <row r="41" spans="1:23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499">
        <v>19200151.200000003</v>
      </c>
      <c r="H41" s="499">
        <v>22395140.600000005</v>
      </c>
      <c r="I41" s="499">
        <v>21236495.860000007</v>
      </c>
      <c r="J41" s="499">
        <v>19874612.220000003</v>
      </c>
      <c r="K41" s="499">
        <v>19545034.68</v>
      </c>
      <c r="L41" s="499">
        <v>20328527.629999995</v>
      </c>
      <c r="M41" s="499"/>
      <c r="N41" s="499"/>
      <c r="O41" s="499"/>
      <c r="P41" s="499"/>
      <c r="Q41" s="499"/>
      <c r="R41" s="148"/>
      <c r="S41" s="227">
        <f t="shared" si="6"/>
        <v>122579962.19000003</v>
      </c>
      <c r="T41" s="436">
        <f t="shared" si="5"/>
        <v>1.5480199809307322</v>
      </c>
      <c r="U41" s="472"/>
    </row>
    <row r="42" spans="1:23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499">
        <v>37260</v>
      </c>
      <c r="H42" s="499">
        <v>2149155.9300000002</v>
      </c>
      <c r="I42" s="499">
        <v>2167887.46</v>
      </c>
      <c r="J42" s="499">
        <v>2142786.8400000003</v>
      </c>
      <c r="K42" s="499">
        <v>2091283.2200000002</v>
      </c>
      <c r="L42" s="499">
        <v>2092533.03</v>
      </c>
      <c r="M42" s="499"/>
      <c r="N42" s="499"/>
      <c r="O42" s="499"/>
      <c r="P42" s="499"/>
      <c r="Q42" s="499"/>
      <c r="R42" s="148"/>
      <c r="S42" s="227">
        <f t="shared" si="6"/>
        <v>10680906.48</v>
      </c>
      <c r="T42" s="436">
        <f t="shared" si="5"/>
        <v>0.13488547679484753</v>
      </c>
      <c r="U42" s="472"/>
    </row>
    <row r="43" spans="1:23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499">
        <v>62931303.339999989</v>
      </c>
      <c r="H43" s="499">
        <v>65497529.849999987</v>
      </c>
      <c r="I43" s="499">
        <v>65458140.899999991</v>
      </c>
      <c r="J43" s="499">
        <v>65623487.379999995</v>
      </c>
      <c r="K43" s="499">
        <v>65646943.670000017</v>
      </c>
      <c r="L43" s="499">
        <v>67001633.210000016</v>
      </c>
      <c r="M43" s="499"/>
      <c r="N43" s="499"/>
      <c r="O43" s="499"/>
      <c r="P43" s="499"/>
      <c r="Q43" s="499"/>
      <c r="R43" s="148"/>
      <c r="S43" s="227">
        <f t="shared" si="6"/>
        <v>392159038.35000002</v>
      </c>
      <c r="T43" s="436">
        <f t="shared" si="5"/>
        <v>4.9524409717749576</v>
      </c>
      <c r="U43" s="472"/>
    </row>
    <row r="44" spans="1:23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499">
        <v>0</v>
      </c>
      <c r="H44" s="499">
        <v>2943314.7199999997</v>
      </c>
      <c r="I44" s="499">
        <v>1833014.77</v>
      </c>
      <c r="J44" s="499">
        <v>1456287.83</v>
      </c>
      <c r="K44" s="499">
        <v>1876947.4500000002</v>
      </c>
      <c r="L44" s="499">
        <v>2688499.03</v>
      </c>
      <c r="M44" s="499"/>
      <c r="N44" s="499"/>
      <c r="O44" s="499"/>
      <c r="P44" s="499"/>
      <c r="Q44" s="499"/>
      <c r="R44" s="148"/>
      <c r="S44" s="227">
        <f t="shared" si="6"/>
        <v>10798063.800000001</v>
      </c>
      <c r="T44" s="436">
        <f t="shared" si="5"/>
        <v>0.1363650161015344</v>
      </c>
      <c r="U44" s="472"/>
    </row>
    <row r="45" spans="1:23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499">
        <v>0</v>
      </c>
      <c r="H45" s="499">
        <v>1368340.72</v>
      </c>
      <c r="I45" s="499">
        <v>2013570.3699999987</v>
      </c>
      <c r="J45" s="499">
        <v>1200730.3399999999</v>
      </c>
      <c r="K45" s="499">
        <v>1511614.4000000008</v>
      </c>
      <c r="L45" s="499">
        <v>1320942.9999999995</v>
      </c>
      <c r="M45" s="499"/>
      <c r="N45" s="499"/>
      <c r="O45" s="499"/>
      <c r="P45" s="499"/>
      <c r="Q45" s="499"/>
      <c r="R45" s="148"/>
      <c r="S45" s="227">
        <f t="shared" si="6"/>
        <v>7415198.8300000001</v>
      </c>
      <c r="T45" s="436">
        <f t="shared" si="5"/>
        <v>9.3643983456462715E-2</v>
      </c>
      <c r="U45" s="472"/>
    </row>
    <row r="46" spans="1:23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4939745.53</v>
      </c>
      <c r="H46" s="160">
        <v>29118491.300000001</v>
      </c>
      <c r="I46" s="160">
        <v>48389791.06000001</v>
      </c>
      <c r="J46" s="160">
        <v>36213748.170000002</v>
      </c>
      <c r="K46" s="160">
        <v>42176759.370000005</v>
      </c>
      <c r="L46" s="160">
        <v>42288285.969999999</v>
      </c>
      <c r="M46" s="160"/>
      <c r="N46" s="160"/>
      <c r="O46" s="160"/>
      <c r="P46" s="160"/>
      <c r="Q46" s="160"/>
      <c r="R46" s="160"/>
      <c r="S46" s="521">
        <f t="shared" si="6"/>
        <v>203126821.40000001</v>
      </c>
      <c r="T46" s="522">
        <f t="shared" si="5"/>
        <v>2.5652184302582559</v>
      </c>
      <c r="U46" s="472"/>
    </row>
    <row r="47" spans="1:23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125800.66000000002</v>
      </c>
      <c r="H47" s="160">
        <v>11702685.83</v>
      </c>
      <c r="I47" s="160">
        <v>20240491.23</v>
      </c>
      <c r="J47" s="160">
        <v>30342314.200000003</v>
      </c>
      <c r="K47" s="160">
        <v>10208587.779999999</v>
      </c>
      <c r="L47" s="160">
        <v>33636049.24000001</v>
      </c>
      <c r="M47" s="160"/>
      <c r="N47" s="160"/>
      <c r="O47" s="160"/>
      <c r="P47" s="160"/>
      <c r="Q47" s="160"/>
      <c r="R47" s="160"/>
      <c r="S47" s="521">
        <f t="shared" si="6"/>
        <v>106255928.94000001</v>
      </c>
      <c r="T47" s="522">
        <f t="shared" si="5"/>
        <v>1.3418694063269561</v>
      </c>
      <c r="U47" s="472"/>
      <c r="V47" s="292"/>
      <c r="W47" s="292"/>
    </row>
    <row r="48" spans="1:23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/>
      <c r="N48" s="499"/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499">
        <v>0</v>
      </c>
      <c r="H49" s="499">
        <v>209850</v>
      </c>
      <c r="I49" s="499">
        <v>4097639.84</v>
      </c>
      <c r="J49" s="499">
        <v>60894.409999999996</v>
      </c>
      <c r="K49" s="499">
        <v>22681.05</v>
      </c>
      <c r="L49" s="499">
        <v>196840.99</v>
      </c>
      <c r="M49" s="499"/>
      <c r="N49" s="499"/>
      <c r="O49" s="499"/>
      <c r="P49" s="499"/>
      <c r="Q49" s="499"/>
      <c r="R49" s="148"/>
      <c r="S49" s="227">
        <f t="shared" si="6"/>
        <v>4587906.29</v>
      </c>
      <c r="T49" s="436">
        <f t="shared" si="5"/>
        <v>5.793908303340279E-2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499"/>
      <c r="N50" s="499"/>
      <c r="O50" s="499"/>
      <c r="P50" s="499"/>
      <c r="Q50" s="499"/>
      <c r="R50" s="148"/>
      <c r="S50" s="227">
        <f t="shared" si="6"/>
        <v>4062322.96</v>
      </c>
      <c r="T50" s="436">
        <f t="shared" si="5"/>
        <v>5.1301672791564057E-2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1050360.8299999998</v>
      </c>
      <c r="H51" s="430">
        <v>2197777.1399999997</v>
      </c>
      <c r="I51" s="430">
        <v>2187252.5500000003</v>
      </c>
      <c r="J51" s="430">
        <v>1823733.37</v>
      </c>
      <c r="K51" s="430">
        <v>1744824.6600000001</v>
      </c>
      <c r="L51" s="430">
        <v>1298140.2</v>
      </c>
      <c r="M51" s="430"/>
      <c r="N51" s="430"/>
      <c r="O51" s="430"/>
      <c r="P51" s="430"/>
      <c r="Q51" s="430"/>
      <c r="R51" s="430"/>
      <c r="S51" s="398">
        <f>+SUM(G51:R51)</f>
        <v>10302088.75</v>
      </c>
      <c r="T51" s="440">
        <f t="shared" si="5"/>
        <v>0.13010151859569363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5">+G10-G29</f>
        <v>2360184.0100000203</v>
      </c>
      <c r="H53" s="136">
        <f t="shared" si="15"/>
        <v>-34410023.460000008</v>
      </c>
      <c r="I53" s="136">
        <f t="shared" si="15"/>
        <v>-33169195.890000045</v>
      </c>
      <c r="J53" s="136">
        <f t="shared" si="15"/>
        <v>35793728.25</v>
      </c>
      <c r="K53" s="136">
        <f t="shared" si="15"/>
        <v>-36367759.930000067</v>
      </c>
      <c r="L53" s="136">
        <f t="shared" si="15"/>
        <v>-41547730.320000023</v>
      </c>
      <c r="M53" s="136">
        <f t="shared" si="15"/>
        <v>0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-107340797.34000012</v>
      </c>
      <c r="T53" s="531">
        <f t="shared" si="5"/>
        <v>-1.355569834438342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6">+G53+G36</f>
        <v>6148803.560000021</v>
      </c>
      <c r="H54" s="190">
        <f t="shared" si="16"/>
        <v>-31089474.330000009</v>
      </c>
      <c r="I54" s="190">
        <f t="shared" si="16"/>
        <v>-8697388.0900000408</v>
      </c>
      <c r="J54" s="190">
        <f t="shared" si="16"/>
        <v>69066243.170000002</v>
      </c>
      <c r="K54" s="190">
        <f t="shared" si="16"/>
        <v>-26027183.660000067</v>
      </c>
      <c r="L54" s="190">
        <f t="shared" si="16"/>
        <v>-36119556.150000021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-26718555.500000115</v>
      </c>
      <c r="T54" s="531">
        <f t="shared" si="5"/>
        <v>-0.33741940392751296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17">+SUM(G56:G57)</f>
        <v>34620662.689999998</v>
      </c>
      <c r="H55" s="178">
        <f t="shared" ref="H55:L55" si="18">+SUM(H56:H57)</f>
        <v>8280354.3400000008</v>
      </c>
      <c r="I55" s="178">
        <f t="shared" si="18"/>
        <v>35822753.07</v>
      </c>
      <c r="J55" s="160">
        <f t="shared" si="18"/>
        <v>507364176.06</v>
      </c>
      <c r="K55" s="178">
        <f t="shared" si="18"/>
        <v>49335423.139999986</v>
      </c>
      <c r="L55" s="178">
        <f t="shared" si="18"/>
        <v>38233496.119999997</v>
      </c>
      <c r="M55" s="178">
        <f t="shared" ref="M55:R55" si="19">+SUM(M56:M57)</f>
        <v>0</v>
      </c>
      <c r="N55" s="178">
        <f t="shared" si="19"/>
        <v>0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 t="shared" si="19"/>
        <v>0</v>
      </c>
      <c r="S55" s="532">
        <f t="shared" si="6"/>
        <v>673656865.41999996</v>
      </c>
      <c r="T55" s="533">
        <f t="shared" si="5"/>
        <v>8.5073797489423502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554">
        <v>1984895.29</v>
      </c>
      <c r="H56" s="554">
        <v>1705490.1300000001</v>
      </c>
      <c r="I56" s="554">
        <v>4420486.6500000004</v>
      </c>
      <c r="J56" s="554">
        <v>2049822.2300000002</v>
      </c>
      <c r="K56" s="554">
        <v>2795674.89</v>
      </c>
      <c r="L56" s="554">
        <v>15431758.25</v>
      </c>
      <c r="M56" s="554"/>
      <c r="N56" s="554"/>
      <c r="O56" s="554"/>
      <c r="P56" s="554"/>
      <c r="Q56" s="554"/>
      <c r="R56" s="196"/>
      <c r="S56" s="235">
        <f t="shared" si="6"/>
        <v>28388127.440000001</v>
      </c>
      <c r="T56" s="444">
        <f t="shared" si="5"/>
        <v>0.35850385098187787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554">
        <v>32635767.399999999</v>
      </c>
      <c r="H57" s="554">
        <v>6574864.2100000009</v>
      </c>
      <c r="I57" s="554">
        <v>31402266.420000002</v>
      </c>
      <c r="J57" s="554">
        <v>505314353.82999998</v>
      </c>
      <c r="K57" s="554">
        <v>46539748.249999985</v>
      </c>
      <c r="L57" s="554">
        <v>22801737.869999997</v>
      </c>
      <c r="M57" s="554"/>
      <c r="N57" s="554"/>
      <c r="O57" s="554"/>
      <c r="P57" s="554"/>
      <c r="Q57" s="554"/>
      <c r="R57" s="196"/>
      <c r="S57" s="235">
        <f t="shared" si="6"/>
        <v>645268737.98000002</v>
      </c>
      <c r="T57" s="444">
        <f t="shared" si="5"/>
        <v>8.1488758979604725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/>
      <c r="N58" s="432"/>
      <c r="O58" s="432"/>
      <c r="P58" s="432"/>
      <c r="Q58" s="432"/>
      <c r="R58" s="432"/>
      <c r="S58" s="532">
        <f>SUM(G58:R58)</f>
        <v>1402866.42</v>
      </c>
      <c r="T58" s="534">
        <f t="shared" si="5"/>
        <v>1.7716315211214244E-2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99">
        <v>0</v>
      </c>
      <c r="H59" s="499">
        <v>1478222</v>
      </c>
      <c r="I59" s="499">
        <v>1456725.62</v>
      </c>
      <c r="J59" s="499">
        <v>792552.3</v>
      </c>
      <c r="K59" s="499">
        <v>646883.92000000004</v>
      </c>
      <c r="L59" s="499">
        <v>776984.56</v>
      </c>
      <c r="M59" s="499"/>
      <c r="N59" s="499"/>
      <c r="O59" s="499"/>
      <c r="P59" s="499"/>
      <c r="Q59" s="499"/>
      <c r="R59" s="432"/>
      <c r="S59" s="532">
        <f>SUM(G59:R59)</f>
        <v>5151368.4000000004</v>
      </c>
      <c r="T59" s="534">
        <f t="shared" si="5"/>
        <v>6.5054851297594252E-2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-32260478.679999977</v>
      </c>
      <c r="H60" s="202">
        <f t="shared" ref="H60:S60" si="20">+H53-H55-H58-H59</f>
        <v>-44168599.800000012</v>
      </c>
      <c r="I60" s="202">
        <f t="shared" si="20"/>
        <v>-71490845.500000045</v>
      </c>
      <c r="J60" s="202">
        <f t="shared" si="20"/>
        <v>-472363000.11000001</v>
      </c>
      <c r="K60" s="202">
        <f t="shared" si="20"/>
        <v>-86350066.990000054</v>
      </c>
      <c r="L60" s="202">
        <f t="shared" si="20"/>
        <v>-80918906.50000003</v>
      </c>
      <c r="M60" s="202">
        <f t="shared" si="20"/>
        <v>0</v>
      </c>
      <c r="N60" s="202">
        <f t="shared" si="20"/>
        <v>0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-787551897.58000004</v>
      </c>
      <c r="T60" s="535">
        <f t="shared" si="5"/>
        <v>-9.9457207498894995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32260478.679999977</v>
      </c>
      <c r="H61" s="136">
        <f t="shared" ref="H61:L61" si="21">+SUM(H62:H66)</f>
        <v>44168599.800000012</v>
      </c>
      <c r="I61" s="136">
        <f t="shared" si="21"/>
        <v>71490845.500000045</v>
      </c>
      <c r="J61" s="136">
        <f t="shared" si="21"/>
        <v>472363000.11000001</v>
      </c>
      <c r="K61" s="136">
        <f t="shared" si="21"/>
        <v>86350066.990000054</v>
      </c>
      <c r="L61" s="136">
        <f t="shared" si="21"/>
        <v>80918906.50000003</v>
      </c>
      <c r="M61" s="136">
        <f t="shared" ref="M61:R61" si="22">+SUM(M62:M66)</f>
        <v>0</v>
      </c>
      <c r="N61" s="136">
        <f t="shared" si="22"/>
        <v>0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787551897.58000004</v>
      </c>
      <c r="T61" s="537">
        <f t="shared" si="5"/>
        <v>9.9457207498894995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6127675</v>
      </c>
      <c r="M62" s="555"/>
      <c r="N62" s="554"/>
      <c r="O62" s="554"/>
      <c r="P62" s="554"/>
      <c r="Q62" s="554"/>
      <c r="R62" s="196"/>
      <c r="S62" s="235">
        <f t="shared" si="6"/>
        <v>6127675</v>
      </c>
      <c r="T62" s="444">
        <f t="shared" si="5"/>
        <v>7.7384289953905408E-2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554">
        <v>1824723.8699999999</v>
      </c>
      <c r="H63" s="554">
        <v>12400327.83</v>
      </c>
      <c r="I63" s="554">
        <v>2228432.89</v>
      </c>
      <c r="J63" s="554">
        <v>871329302.20000005</v>
      </c>
      <c r="K63" s="554">
        <v>12938616.979999999</v>
      </c>
      <c r="L63" s="554">
        <v>13860000</v>
      </c>
      <c r="M63" s="555"/>
      <c r="N63" s="554"/>
      <c r="O63" s="554"/>
      <c r="P63" s="554"/>
      <c r="Q63" s="554"/>
      <c r="R63" s="196"/>
      <c r="S63" s="235">
        <f t="shared" si="6"/>
        <v>914581403.7700001</v>
      </c>
      <c r="T63" s="444">
        <f t="shared" si="5"/>
        <v>11.549932484308899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>
        <v>111116.87999999996</v>
      </c>
      <c r="L64" s="554">
        <v>96396.750000000015</v>
      </c>
      <c r="M64" s="555"/>
      <c r="N64" s="554"/>
      <c r="O64" s="554"/>
      <c r="P64" s="554"/>
      <c r="Q64" s="554"/>
      <c r="R64" s="196"/>
      <c r="S64" s="235">
        <f t="shared" si="6"/>
        <v>924273.91</v>
      </c>
      <c r="T64" s="444">
        <f t="shared" si="5"/>
        <v>1.1672335795920944E-2</v>
      </c>
    </row>
    <row r="65" spans="1:20">
      <c r="A65" s="129">
        <v>73</v>
      </c>
      <c r="B65" s="596" t="s">
        <v>101</v>
      </c>
      <c r="C65" s="597"/>
      <c r="D65" s="597"/>
      <c r="E65" s="597"/>
      <c r="F65" s="597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920177.48</v>
      </c>
      <c r="L65" s="160">
        <v>2464204.52</v>
      </c>
      <c r="M65" s="160"/>
      <c r="N65" s="160"/>
      <c r="O65" s="160"/>
      <c r="P65" s="160"/>
      <c r="Q65" s="160"/>
      <c r="R65" s="160"/>
      <c r="S65" s="228">
        <f t="shared" si="6"/>
        <v>9554711.6500000004</v>
      </c>
      <c r="T65" s="437">
        <f t="shared" si="5"/>
        <v>0.12066315148070975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27395423.659999978</v>
      </c>
      <c r="H66" s="210">
        <f t="shared" ref="H66:L66" si="23">-H60-SUM(H62:H65)</f>
        <v>30656654.930000011</v>
      </c>
      <c r="I66" s="210">
        <f t="shared" si="23"/>
        <v>68582300.920000046</v>
      </c>
      <c r="J66" s="210">
        <f t="shared" si="23"/>
        <v>-401021332.1400001</v>
      </c>
      <c r="K66" s="210">
        <f t="shared" si="23"/>
        <v>72380155.650000051</v>
      </c>
      <c r="L66" s="210">
        <f t="shared" si="23"/>
        <v>58370630.230000034</v>
      </c>
      <c r="M66" s="210">
        <f t="shared" ref="M66:S66" si="24">-M60-SUM(M62:M65)</f>
        <v>0</v>
      </c>
      <c r="N66" s="210">
        <f t="shared" si="24"/>
        <v>0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-143636166.75</v>
      </c>
      <c r="T66" s="448">
        <f t="shared" si="5"/>
        <v>-1.8139315116499337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2025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221">
        <v>7918500000</v>
      </c>
    </row>
    <row r="84" spans="1:25" ht="15.75" customHeight="1">
      <c r="B84" s="635"/>
      <c r="C84" s="636"/>
      <c r="D84" s="636"/>
      <c r="E84" s="636"/>
      <c r="F84" s="637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18" t="str">
        <f>+Master!G247</f>
        <v>Jan - Dec</v>
      </c>
      <c r="T84" s="620">
        <f>+T8</f>
        <v>0</v>
      </c>
    </row>
    <row r="85" spans="1:25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36.447218539874711</v>
      </c>
      <c r="U86" s="243"/>
    </row>
    <row r="87" spans="1:25">
      <c r="A87" s="105" t="str">
        <f t="shared" si="27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27.575664702036285</v>
      </c>
    </row>
    <row r="88" spans="1:25">
      <c r="A88" s="105" t="str">
        <f t="shared" si="27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1.3679799683486709</v>
      </c>
    </row>
    <row r="89" spans="1:25">
      <c r="A89" s="105" t="str">
        <f t="shared" si="27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4758743.22</v>
      </c>
      <c r="H89" s="77">
        <v>4914823.2626296896</v>
      </c>
      <c r="I89" s="77">
        <v>72553471.511286497</v>
      </c>
      <c r="J89" s="77">
        <v>106836454.224443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219862849.24098608</v>
      </c>
      <c r="T89" s="436">
        <f t="shared" si="29"/>
        <v>2.7765719421732156</v>
      </c>
    </row>
    <row r="90" spans="1:25">
      <c r="A90" s="105" t="str">
        <f t="shared" si="27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</row>
    <row r="91" spans="1:25">
      <c r="A91" s="105" t="str">
        <f t="shared" si="27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17.334002651964806</v>
      </c>
    </row>
    <row r="92" spans="1:25">
      <c r="A92" s="105" t="str">
        <f t="shared" si="27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5.0956620572078046</v>
      </c>
      <c r="W92" s="242"/>
      <c r="X92" s="242"/>
      <c r="Y92" s="242"/>
    </row>
    <row r="93" spans="1:25">
      <c r="A93" s="105" t="str">
        <f t="shared" si="27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0.80814533836165103</v>
      </c>
    </row>
    <row r="94" spans="1:25">
      <c r="A94" s="105" t="str">
        <f t="shared" si="27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0.19330274398013358</v>
      </c>
    </row>
    <row r="95" spans="1:25">
      <c r="A95" s="105" t="str">
        <f t="shared" si="27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5.6709139593001661</v>
      </c>
    </row>
    <row r="96" spans="1:25">
      <c r="A96" s="105" t="str">
        <f t="shared" si="27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5.0178559997651213</v>
      </c>
      <c r="V96" s="292"/>
    </row>
    <row r="97" spans="1:22">
      <c r="A97" s="105" t="str">
        <f t="shared" si="27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7.5771926555904465E-2</v>
      </c>
    </row>
    <row r="98" spans="1:22">
      <c r="A98" s="105" t="str">
        <f t="shared" si="27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0.32834501488566575</v>
      </c>
    </row>
    <row r="99" spans="1:22">
      <c r="A99" s="105" t="str">
        <f t="shared" si="27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0.24894101809347469</v>
      </c>
    </row>
    <row r="100" spans="1:22">
      <c r="A100" s="105" t="str">
        <f t="shared" si="27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0.22466337087069907</v>
      </c>
    </row>
    <row r="101" spans="1:22">
      <c r="A101" s="105" t="str">
        <f t="shared" si="27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0.93683282857156391</v>
      </c>
    </row>
    <row r="102" spans="1:22">
      <c r="A102" s="105" t="str">
        <f t="shared" si="27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0.6600946167735966</v>
      </c>
    </row>
    <row r="103" spans="1:22">
      <c r="A103" s="105" t="str">
        <f t="shared" si="27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V103" s="292"/>
    </row>
    <row r="104" spans="1:22" ht="13.5" thickBot="1">
      <c r="A104" s="105" t="str">
        <f t="shared" si="27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1.379049062322409</v>
      </c>
    </row>
    <row r="105" spans="1:22" ht="13.5" thickBot="1">
      <c r="A105" s="105" t="str">
        <f t="shared" si="27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505">
        <f t="shared" ref="G105:R105" si="30">+G106+G116+G122+SUM(G123:G127)</f>
        <v>211236224.61000001</v>
      </c>
      <c r="H105" s="505">
        <f t="shared" si="30"/>
        <v>234904209.56</v>
      </c>
      <c r="I105" s="505">
        <f t="shared" si="30"/>
        <v>268084271.89999998</v>
      </c>
      <c r="J105" s="505">
        <f t="shared" si="30"/>
        <v>271983159.92000002</v>
      </c>
      <c r="K105" s="505">
        <f t="shared" si="30"/>
        <v>239166268.83999997</v>
      </c>
      <c r="L105" s="505">
        <f t="shared" si="30"/>
        <v>250480398.60000002</v>
      </c>
      <c r="M105" s="505">
        <f t="shared" si="30"/>
        <v>256378355.32999995</v>
      </c>
      <c r="N105" s="505">
        <f t="shared" si="30"/>
        <v>220819261.00000003</v>
      </c>
      <c r="O105" s="505">
        <f t="shared" si="30"/>
        <v>270591517.11999995</v>
      </c>
      <c r="P105" s="505">
        <f t="shared" si="30"/>
        <v>265743558.72</v>
      </c>
      <c r="Q105" s="505">
        <f t="shared" si="30"/>
        <v>262012238.51999995</v>
      </c>
      <c r="R105" s="505">
        <f t="shared" si="30"/>
        <v>412818902.18499994</v>
      </c>
      <c r="S105" s="548">
        <f>+SUM(G105:R105)</f>
        <v>3164218366.3049994</v>
      </c>
      <c r="T105" s="549">
        <f t="shared" si="29"/>
        <v>39.959820247584759</v>
      </c>
    </row>
    <row r="106" spans="1:22">
      <c r="A106" s="105" t="str">
        <f t="shared" si="27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511">
        <f t="shared" ref="G106" si="31">+SUM(G107:G115)</f>
        <v>80179073.160000026</v>
      </c>
      <c r="H106" s="511">
        <f t="shared" ref="H106:R106" si="32">+SUM(H107:H115)</f>
        <v>85369477.120000005</v>
      </c>
      <c r="I106" s="511">
        <f t="shared" si="32"/>
        <v>117430024.57999998</v>
      </c>
      <c r="J106" s="511">
        <f t="shared" si="32"/>
        <v>111771454.75</v>
      </c>
      <c r="K106" s="511">
        <f t="shared" si="32"/>
        <v>100285882.77999999</v>
      </c>
      <c r="L106" s="511">
        <f t="shared" si="32"/>
        <v>94353477</v>
      </c>
      <c r="M106" s="511">
        <f t="shared" si="32"/>
        <v>95032056.649999976</v>
      </c>
      <c r="N106" s="511">
        <f t="shared" si="32"/>
        <v>89599157.060000002</v>
      </c>
      <c r="O106" s="511">
        <f t="shared" si="32"/>
        <v>110989694.22999999</v>
      </c>
      <c r="P106" s="511">
        <f t="shared" si="32"/>
        <v>107501724.17999998</v>
      </c>
      <c r="Q106" s="511">
        <f t="shared" si="32"/>
        <v>106933053.46999997</v>
      </c>
      <c r="R106" s="512">
        <f t="shared" si="32"/>
        <v>156280296.685</v>
      </c>
      <c r="S106" s="542">
        <f t="shared" si="28"/>
        <v>1255725371.6649997</v>
      </c>
      <c r="T106" s="519">
        <f t="shared" si="29"/>
        <v>15.858121761255283</v>
      </c>
      <c r="V106" s="275"/>
    </row>
    <row r="107" spans="1:22">
      <c r="A107" s="105" t="str">
        <f t="shared" si="27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56135492.740000024</v>
      </c>
      <c r="H107" s="77">
        <v>59047491.199999981</v>
      </c>
      <c r="I107" s="77">
        <v>58514884.909999982</v>
      </c>
      <c r="J107" s="77">
        <v>60497556.229999982</v>
      </c>
      <c r="K107" s="77">
        <v>60514987.979999982</v>
      </c>
      <c r="L107" s="77">
        <v>60517104.439999983</v>
      </c>
      <c r="M107" s="77">
        <v>60506341.469999984</v>
      </c>
      <c r="N107" s="77">
        <v>60512263.949999988</v>
      </c>
      <c r="O107" s="77">
        <v>60506331.229999974</v>
      </c>
      <c r="P107" s="77">
        <v>60505659.619999975</v>
      </c>
      <c r="Q107" s="77">
        <v>60504946.429999985</v>
      </c>
      <c r="R107" s="77">
        <v>60212707.489999995</v>
      </c>
      <c r="S107" s="101">
        <f t="shared" si="28"/>
        <v>717975767.68999982</v>
      </c>
      <c r="T107" s="436">
        <f t="shared" si="29"/>
        <v>9.0670678498452961</v>
      </c>
    </row>
    <row r="108" spans="1:22">
      <c r="A108" s="105" t="str">
        <f t="shared" si="27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1756735.0200000005</v>
      </c>
      <c r="H108" s="77">
        <v>2007086.4100000001</v>
      </c>
      <c r="I108" s="77">
        <v>2263809.8699999992</v>
      </c>
      <c r="J108" s="77">
        <v>2111717.46</v>
      </c>
      <c r="K108" s="77">
        <v>2015158.8899999994</v>
      </c>
      <c r="L108" s="77">
        <v>2049900.9899999998</v>
      </c>
      <c r="M108" s="77">
        <v>2030489.8499999996</v>
      </c>
      <c r="N108" s="77">
        <v>1929225.4199999995</v>
      </c>
      <c r="O108" s="77">
        <v>2070793.0899999996</v>
      </c>
      <c r="P108" s="77">
        <v>2032613.7699999996</v>
      </c>
      <c r="Q108" s="77">
        <v>1988655.0999999994</v>
      </c>
      <c r="R108" s="77">
        <v>2093300.905</v>
      </c>
      <c r="S108" s="101">
        <f t="shared" si="28"/>
        <v>24349486.774999995</v>
      </c>
      <c r="T108" s="436">
        <f t="shared" si="29"/>
        <v>0.30750125370966719</v>
      </c>
    </row>
    <row r="109" spans="1:22">
      <c r="A109" s="105" t="str">
        <f t="shared" si="27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1797331.5399999998</v>
      </c>
      <c r="H109" s="77">
        <v>2059853.9899999995</v>
      </c>
      <c r="I109" s="77">
        <v>4747994.3400000026</v>
      </c>
      <c r="J109" s="77">
        <v>4363693.88</v>
      </c>
      <c r="K109" s="77">
        <v>3402748.160000002</v>
      </c>
      <c r="L109" s="77">
        <v>3769260.350000002</v>
      </c>
      <c r="M109" s="77">
        <v>4195178.4600000009</v>
      </c>
      <c r="N109" s="77">
        <v>3497789.4099999997</v>
      </c>
      <c r="O109" s="77">
        <v>5208631.060000008</v>
      </c>
      <c r="P109" s="77">
        <v>4231104.8699999982</v>
      </c>
      <c r="Q109" s="77">
        <v>3945556.2200000007</v>
      </c>
      <c r="R109" s="77">
        <v>8767787.660000002</v>
      </c>
      <c r="S109" s="101">
        <f t="shared" si="28"/>
        <v>49986929.940000013</v>
      </c>
      <c r="T109" s="436">
        <f t="shared" si="29"/>
        <v>0.63126766357264652</v>
      </c>
    </row>
    <row r="110" spans="1:22">
      <c r="A110" s="105" t="str">
        <f t="shared" si="27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4142017.4700000025</v>
      </c>
      <c r="H110" s="77">
        <v>3949104.120000002</v>
      </c>
      <c r="I110" s="77">
        <v>8807965.9300000016</v>
      </c>
      <c r="J110" s="77">
        <v>8593058.2600000054</v>
      </c>
      <c r="K110" s="77">
        <v>6014081.8800000027</v>
      </c>
      <c r="L110" s="77">
        <v>7815871.950000003</v>
      </c>
      <c r="M110" s="77">
        <v>8272378.2699999996</v>
      </c>
      <c r="N110" s="77">
        <v>5190892.16</v>
      </c>
      <c r="O110" s="77">
        <v>5516441.8700000029</v>
      </c>
      <c r="P110" s="77">
        <v>8096417.4600000018</v>
      </c>
      <c r="Q110" s="77">
        <v>9806407.3699999973</v>
      </c>
      <c r="R110" s="77">
        <v>24688851.140999999</v>
      </c>
      <c r="S110" s="101">
        <f t="shared" si="28"/>
        <v>100893487.88100001</v>
      </c>
      <c r="T110" s="436">
        <f t="shared" si="29"/>
        <v>1.2741489913620005</v>
      </c>
    </row>
    <row r="111" spans="1:22">
      <c r="A111" s="105" t="str">
        <f t="shared" si="27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2424675.0799999996</v>
      </c>
      <c r="H111" s="77">
        <v>3033187.83</v>
      </c>
      <c r="I111" s="77">
        <v>2717633.6299999994</v>
      </c>
      <c r="J111" s="77">
        <v>3285284.4000000004</v>
      </c>
      <c r="K111" s="77">
        <v>2743194.66</v>
      </c>
      <c r="L111" s="77">
        <v>3194128.9400000004</v>
      </c>
      <c r="M111" s="77">
        <v>3150952.77</v>
      </c>
      <c r="N111" s="77">
        <v>3743091.37</v>
      </c>
      <c r="O111" s="77">
        <v>3253060.6399999997</v>
      </c>
      <c r="P111" s="77">
        <v>3772905.1399999992</v>
      </c>
      <c r="Q111" s="77">
        <v>3713343.8</v>
      </c>
      <c r="R111" s="77">
        <v>7908265.3499999987</v>
      </c>
      <c r="S111" s="101">
        <f t="shared" si="28"/>
        <v>42939723.609999999</v>
      </c>
      <c r="T111" s="436">
        <f t="shared" si="29"/>
        <v>0.54227093022668427</v>
      </c>
    </row>
    <row r="112" spans="1:22">
      <c r="A112" s="105" t="str">
        <f t="shared" si="27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3805233.67</v>
      </c>
      <c r="H112" s="77">
        <v>3578253.08</v>
      </c>
      <c r="I112" s="77">
        <v>25813966.890000001</v>
      </c>
      <c r="J112" s="77">
        <v>21694612.899999999</v>
      </c>
      <c r="K112" s="77">
        <v>12888618.540000001</v>
      </c>
      <c r="L112" s="77">
        <v>7054881.1500000022</v>
      </c>
      <c r="M112" s="77">
        <v>4625091.8600000013</v>
      </c>
      <c r="N112" s="77">
        <v>5331542.2600000007</v>
      </c>
      <c r="O112" s="77">
        <v>23589775.02</v>
      </c>
      <c r="P112" s="77">
        <v>14779701.98</v>
      </c>
      <c r="Q112" s="77">
        <v>10334631.460000001</v>
      </c>
      <c r="R112" s="77">
        <v>26025668.690000001</v>
      </c>
      <c r="S112" s="101">
        <f t="shared" si="28"/>
        <v>159521977.5</v>
      </c>
      <c r="T112" s="436">
        <f t="shared" si="29"/>
        <v>2.0145479257435119</v>
      </c>
    </row>
    <row r="113" spans="1:21">
      <c r="A113" s="105" t="str">
        <f t="shared" si="27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1094967.51</v>
      </c>
      <c r="H113" s="77">
        <v>1081221.8299999994</v>
      </c>
      <c r="I113" s="77">
        <v>1169208.6800000006</v>
      </c>
      <c r="J113" s="77">
        <v>1104523.2700000005</v>
      </c>
      <c r="K113" s="77">
        <v>1131023.2700000007</v>
      </c>
      <c r="L113" s="77">
        <v>1104492.9300000002</v>
      </c>
      <c r="M113" s="77">
        <v>1104014.9300000002</v>
      </c>
      <c r="N113" s="77">
        <v>1094491.8900000001</v>
      </c>
      <c r="O113" s="77">
        <v>1096302.6800000002</v>
      </c>
      <c r="P113" s="77">
        <v>1093543.2100000002</v>
      </c>
      <c r="Q113" s="77">
        <v>1094459.8800000001</v>
      </c>
      <c r="R113" s="77">
        <v>1090003.1400000011</v>
      </c>
      <c r="S113" s="101">
        <f t="shared" si="28"/>
        <v>13258253.220000004</v>
      </c>
      <c r="T113" s="436">
        <f t="shared" si="29"/>
        <v>0.1674338980867589</v>
      </c>
    </row>
    <row r="114" spans="1:21">
      <c r="A114" s="105" t="str">
        <f t="shared" si="27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5746355.0200000005</v>
      </c>
      <c r="H114" s="77">
        <v>6000915.620000001</v>
      </c>
      <c r="I114" s="77">
        <v>4378900.540000001</v>
      </c>
      <c r="J114" s="77">
        <v>3866824.29</v>
      </c>
      <c r="K114" s="77">
        <v>3645748.38</v>
      </c>
      <c r="L114" s="77">
        <v>4114321.09</v>
      </c>
      <c r="M114" s="77">
        <v>4322479.209999999</v>
      </c>
      <c r="N114" s="77">
        <v>4473690.01</v>
      </c>
      <c r="O114" s="77">
        <v>5432451.6199999992</v>
      </c>
      <c r="P114" s="77">
        <v>7094172.6400000015</v>
      </c>
      <c r="Q114" s="77">
        <v>9152045.2799999975</v>
      </c>
      <c r="R114" s="77">
        <v>10728356.800000004</v>
      </c>
      <c r="S114" s="101">
        <f t="shared" si="28"/>
        <v>68956260.5</v>
      </c>
      <c r="T114" s="436">
        <f t="shared" si="29"/>
        <v>0.87082478373429317</v>
      </c>
    </row>
    <row r="115" spans="1:21">
      <c r="A115" s="105" t="str">
        <f t="shared" si="27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3276265.1100000013</v>
      </c>
      <c r="H115" s="77">
        <v>4612363.0400000019</v>
      </c>
      <c r="I115" s="77">
        <v>9015659.7899999991</v>
      </c>
      <c r="J115" s="77">
        <v>6254184.0600000015</v>
      </c>
      <c r="K115" s="77">
        <v>7930321.0199999996</v>
      </c>
      <c r="L115" s="77">
        <v>4733515.16</v>
      </c>
      <c r="M115" s="77">
        <v>6825129.8300000019</v>
      </c>
      <c r="N115" s="77">
        <v>3826170.5899999994</v>
      </c>
      <c r="O115" s="77">
        <v>4315907.0200000005</v>
      </c>
      <c r="P115" s="77">
        <v>5895605.4900000067</v>
      </c>
      <c r="Q115" s="77">
        <v>6393007.9300000006</v>
      </c>
      <c r="R115" s="77">
        <v>14765355.509</v>
      </c>
      <c r="S115" s="101">
        <f t="shared" si="28"/>
        <v>77843484.54900001</v>
      </c>
      <c r="T115" s="436">
        <f t="shared" si="29"/>
        <v>0.98305846497442706</v>
      </c>
    </row>
    <row r="116" spans="1:21">
      <c r="A116" s="105" t="str">
        <f t="shared" si="27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507">
        <f t="shared" ref="G116:R116" si="33">+SUM(G117:G121)</f>
        <v>86392001.569999993</v>
      </c>
      <c r="H116" s="507">
        <f t="shared" si="33"/>
        <v>94581114.409999996</v>
      </c>
      <c r="I116" s="507">
        <f t="shared" si="33"/>
        <v>84307968.950000018</v>
      </c>
      <c r="J116" s="507">
        <f t="shared" si="33"/>
        <v>88892587.659999996</v>
      </c>
      <c r="K116" s="507">
        <f t="shared" si="33"/>
        <v>88384140.230000004</v>
      </c>
      <c r="L116" s="507">
        <f t="shared" si="33"/>
        <v>88846142.960000008</v>
      </c>
      <c r="M116" s="507">
        <f t="shared" si="33"/>
        <v>89278533.219999984</v>
      </c>
      <c r="N116" s="507">
        <f t="shared" si="33"/>
        <v>89238627.989999995</v>
      </c>
      <c r="O116" s="507">
        <f t="shared" si="33"/>
        <v>89137761.069999993</v>
      </c>
      <c r="P116" s="507">
        <f t="shared" si="33"/>
        <v>89363805.640000001</v>
      </c>
      <c r="Q116" s="507">
        <f t="shared" si="33"/>
        <v>89298590.510000005</v>
      </c>
      <c r="R116" s="507">
        <f t="shared" si="33"/>
        <v>90280310.429999992</v>
      </c>
      <c r="S116" s="546">
        <f t="shared" si="28"/>
        <v>1068001584.6400001</v>
      </c>
      <c r="T116" s="522">
        <f t="shared" si="29"/>
        <v>13.487422929090107</v>
      </c>
    </row>
    <row r="117" spans="1:21">
      <c r="A117" s="105" t="str">
        <f t="shared" si="27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499">
        <v>19200151.200000003</v>
      </c>
      <c r="H117" s="499">
        <v>22628380.109999999</v>
      </c>
      <c r="I117" s="499">
        <v>14565687.030000001</v>
      </c>
      <c r="J117" s="499">
        <v>18346642.420000002</v>
      </c>
      <c r="K117" s="499">
        <v>18346642.420000002</v>
      </c>
      <c r="L117" s="499">
        <v>18350642.420000002</v>
      </c>
      <c r="M117" s="499">
        <v>18346642.420000002</v>
      </c>
      <c r="N117" s="499">
        <v>18346642.420000002</v>
      </c>
      <c r="O117" s="499">
        <v>18346642.420000002</v>
      </c>
      <c r="P117" s="499">
        <v>18346642.420000002</v>
      </c>
      <c r="Q117" s="499">
        <v>18346642.420000002</v>
      </c>
      <c r="R117" s="499">
        <v>18368642.299999997</v>
      </c>
      <c r="S117" s="101">
        <f t="shared" si="28"/>
        <v>221540000.00000006</v>
      </c>
      <c r="T117" s="436">
        <f t="shared" si="29"/>
        <v>2.7977520995137972</v>
      </c>
    </row>
    <row r="118" spans="1:21">
      <c r="A118" s="105" t="str">
        <f t="shared" si="27"/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499">
        <v>2213718.67</v>
      </c>
      <c r="H118" s="499">
        <v>2230218.67</v>
      </c>
      <c r="I118" s="499">
        <v>2253586.37</v>
      </c>
      <c r="J118" s="499">
        <v>2274717.66</v>
      </c>
      <c r="K118" s="499">
        <v>2239410.62</v>
      </c>
      <c r="L118" s="499">
        <v>2246098.89</v>
      </c>
      <c r="M118" s="499">
        <v>2274717.66</v>
      </c>
      <c r="N118" s="499">
        <v>2237086.37</v>
      </c>
      <c r="O118" s="499">
        <v>2240348.58</v>
      </c>
      <c r="P118" s="499">
        <v>2255442.8600000003</v>
      </c>
      <c r="Q118" s="499">
        <v>2264704.7000000002</v>
      </c>
      <c r="R118" s="499">
        <v>2266249.9500000002</v>
      </c>
      <c r="S118" s="101">
        <f t="shared" si="28"/>
        <v>26996301</v>
      </c>
      <c r="T118" s="436">
        <f t="shared" si="29"/>
        <v>0.34092695586285282</v>
      </c>
    </row>
    <row r="119" spans="1:21">
      <c r="A119" s="105" t="str">
        <f t="shared" si="27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499">
        <v>63002630.410000004</v>
      </c>
      <c r="H119" s="499">
        <v>65944050.810000002</v>
      </c>
      <c r="I119" s="499">
        <v>63766610.790000007</v>
      </c>
      <c r="J119" s="499">
        <v>64943554.629999995</v>
      </c>
      <c r="K119" s="499">
        <v>64943554.629999995</v>
      </c>
      <c r="L119" s="499">
        <v>64943554.629999995</v>
      </c>
      <c r="M119" s="499">
        <v>64943554.629999995</v>
      </c>
      <c r="N119" s="499">
        <v>64943554.629999995</v>
      </c>
      <c r="O119" s="499">
        <v>64943554.629999995</v>
      </c>
      <c r="P119" s="499">
        <v>64943554.629999995</v>
      </c>
      <c r="Q119" s="499">
        <v>64943554.629999995</v>
      </c>
      <c r="R119" s="499">
        <v>64943554.590000004</v>
      </c>
      <c r="S119" s="101">
        <f t="shared" si="28"/>
        <v>777205283.63999999</v>
      </c>
      <c r="T119" s="436">
        <f t="shared" si="29"/>
        <v>9.8150569380564505</v>
      </c>
    </row>
    <row r="120" spans="1:21">
      <c r="A120" s="105" t="str">
        <f t="shared" si="27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499">
        <v>1296116.4099999999</v>
      </c>
      <c r="H120" s="499">
        <v>2492958.5700000003</v>
      </c>
      <c r="I120" s="499">
        <v>1988435.53</v>
      </c>
      <c r="J120" s="499">
        <v>1904853.6400000001</v>
      </c>
      <c r="K120" s="499">
        <v>1750586.83</v>
      </c>
      <c r="L120" s="499">
        <v>1838301.37</v>
      </c>
      <c r="M120" s="499">
        <v>2255237.94</v>
      </c>
      <c r="N120" s="499">
        <v>2476077.38</v>
      </c>
      <c r="O120" s="499">
        <v>2017779.69</v>
      </c>
      <c r="P120" s="499">
        <v>2411631.87</v>
      </c>
      <c r="Q120" s="499">
        <v>2067622.5</v>
      </c>
      <c r="R120" s="499">
        <v>3060398.27</v>
      </c>
      <c r="S120" s="101">
        <f t="shared" si="28"/>
        <v>25560000.000000004</v>
      </c>
      <c r="T120" s="436">
        <f t="shared" si="29"/>
        <v>0.32278840689524535</v>
      </c>
      <c r="U120" s="243"/>
    </row>
    <row r="121" spans="1:21">
      <c r="A121" s="105" t="str">
        <f t="shared" si="27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1103945.73</v>
      </c>
      <c r="L121" s="499">
        <v>1467545.6500000001</v>
      </c>
      <c r="M121" s="499">
        <v>1458380.57</v>
      </c>
      <c r="N121" s="499">
        <v>1235267.19</v>
      </c>
      <c r="O121" s="499">
        <v>1589435.75</v>
      </c>
      <c r="P121" s="499">
        <v>1406533.8599999999</v>
      </c>
      <c r="Q121" s="499">
        <v>1676066.2599999998</v>
      </c>
      <c r="R121" s="499">
        <v>1641465.3199999998</v>
      </c>
      <c r="S121" s="101">
        <f t="shared" si="28"/>
        <v>16700000</v>
      </c>
      <c r="T121" s="436">
        <f t="shared" si="29"/>
        <v>0.21089852876176046</v>
      </c>
      <c r="U121" s="243"/>
    </row>
    <row r="122" spans="1:21">
      <c r="A122" s="105" t="str">
        <f t="shared" si="27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510">
        <v>24931013.689999998</v>
      </c>
      <c r="H122" s="510">
        <v>31180928.069999997</v>
      </c>
      <c r="I122" s="510">
        <v>39918580.100000001</v>
      </c>
      <c r="J122" s="510">
        <v>40676903.800000004</v>
      </c>
      <c r="K122" s="510">
        <v>29994454.979999997</v>
      </c>
      <c r="L122" s="510">
        <v>44921912.290000007</v>
      </c>
      <c r="M122" s="510">
        <v>39798592.359999999</v>
      </c>
      <c r="N122" s="510">
        <v>25912246.900000006</v>
      </c>
      <c r="O122" s="510">
        <v>35907613.540000007</v>
      </c>
      <c r="P122" s="510">
        <v>33699136.390000001</v>
      </c>
      <c r="Q122" s="510">
        <v>32226924.029999997</v>
      </c>
      <c r="R122" s="510">
        <v>67235988.709999993</v>
      </c>
      <c r="S122" s="546">
        <f>+SUM(G122:R122)</f>
        <v>446404294.86000001</v>
      </c>
      <c r="T122" s="522">
        <f t="shared" si="29"/>
        <v>5.6374855699943174</v>
      </c>
      <c r="U122" s="243"/>
    </row>
    <row r="123" spans="1:21">
      <c r="A123" s="105" t="str">
        <f t="shared" si="27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510">
        <v>5501947.6000000006</v>
      </c>
      <c r="H123" s="510">
        <v>13559201.519999998</v>
      </c>
      <c r="I123" s="510">
        <v>20399713.319999993</v>
      </c>
      <c r="J123" s="510">
        <v>25745571.160000011</v>
      </c>
      <c r="K123" s="510">
        <v>15614229.359999996</v>
      </c>
      <c r="L123" s="510">
        <v>17136236.030000009</v>
      </c>
      <c r="M123" s="510">
        <v>26831930.680000003</v>
      </c>
      <c r="N123" s="510">
        <v>12551879.530000005</v>
      </c>
      <c r="O123" s="510">
        <v>30540650.899999999</v>
      </c>
      <c r="P123" s="510">
        <v>31370855.230000012</v>
      </c>
      <c r="Q123" s="510">
        <v>29504258.710000005</v>
      </c>
      <c r="R123" s="510">
        <v>94133149.759999976</v>
      </c>
      <c r="S123" s="546">
        <f>+SUM(G123:R123)</f>
        <v>322889623.80000001</v>
      </c>
      <c r="T123" s="522">
        <f t="shared" si="29"/>
        <v>4.0776614737639711</v>
      </c>
      <c r="U123" s="243"/>
    </row>
    <row r="124" spans="1:21">
      <c r="A124" s="105" t="str">
        <f t="shared" si="27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43"/>
    </row>
    <row r="125" spans="1:21">
      <c r="A125" s="105" t="str">
        <f t="shared" si="27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501">
        <v>8050000</v>
      </c>
      <c r="H125" s="501">
        <v>8050000</v>
      </c>
      <c r="I125" s="501">
        <v>2744200</v>
      </c>
      <c r="J125" s="501">
        <v>2744200</v>
      </c>
      <c r="K125" s="501">
        <v>2744200</v>
      </c>
      <c r="L125" s="501">
        <v>2744200</v>
      </c>
      <c r="M125" s="501">
        <v>2744200</v>
      </c>
      <c r="N125" s="501">
        <v>2744200</v>
      </c>
      <c r="O125" s="501">
        <v>2744200</v>
      </c>
      <c r="P125" s="501">
        <v>2744200</v>
      </c>
      <c r="Q125" s="501">
        <v>2744200</v>
      </c>
      <c r="R125" s="501">
        <v>2744200</v>
      </c>
      <c r="S125" s="101">
        <f t="shared" si="28"/>
        <v>43542000</v>
      </c>
      <c r="T125" s="436">
        <f t="shared" si="29"/>
        <v>0.54987687061943546</v>
      </c>
      <c r="U125" s="243"/>
    </row>
    <row r="126" spans="1:21">
      <c r="A126" s="105" t="str">
        <f t="shared" si="27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5.1777533623792373E-2</v>
      </c>
      <c r="U126" s="243"/>
    </row>
    <row r="127" spans="1:21">
      <c r="A127" s="106" t="str">
        <f t="shared" si="27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502">
        <v>2082188.5899999999</v>
      </c>
      <c r="H127" s="501">
        <v>2163488.44</v>
      </c>
      <c r="I127" s="501">
        <v>3283784.5499999984</v>
      </c>
      <c r="J127" s="501">
        <v>2152442.1499999985</v>
      </c>
      <c r="K127" s="501">
        <v>2143361.0899999985</v>
      </c>
      <c r="L127" s="501">
        <v>2478429.92</v>
      </c>
      <c r="M127" s="501">
        <v>2693042.0200000005</v>
      </c>
      <c r="N127" s="501">
        <v>773149.11999999965</v>
      </c>
      <c r="O127" s="501">
        <v>1271596.98</v>
      </c>
      <c r="P127" s="501">
        <v>1063836.8799999992</v>
      </c>
      <c r="Q127" s="501">
        <v>1305211.3999999999</v>
      </c>
      <c r="R127" s="501">
        <v>2144956.1999999997</v>
      </c>
      <c r="S127" s="92">
        <f>+SUM(G127:R127)</f>
        <v>23555487.339999992</v>
      </c>
      <c r="T127" s="444">
        <f t="shared" si="29"/>
        <v>0.29747410923786061</v>
      </c>
      <c r="U127" s="243"/>
    </row>
    <row r="128" spans="1:21" ht="13.5" thickBot="1">
      <c r="A128" s="105" t="str">
        <f t="shared" si="27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43"/>
    </row>
    <row r="129" spans="1:21" ht="13.5" thickBot="1">
      <c r="A129" s="106" t="str">
        <f t="shared" si="27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504">
        <f t="shared" ref="G129:R129" si="34">+G86-G105</f>
        <v>-55070863.040000051</v>
      </c>
      <c r="H129" s="505">
        <f t="shared" si="34"/>
        <v>-48438434.947298497</v>
      </c>
      <c r="I129" s="504">
        <f t="shared" si="34"/>
        <v>-17303118.139224499</v>
      </c>
      <c r="J129" s="504">
        <f t="shared" si="34"/>
        <v>45151774.289589822</v>
      </c>
      <c r="K129" s="504">
        <f t="shared" si="34"/>
        <v>-30469294.758635521</v>
      </c>
      <c r="L129" s="504">
        <f t="shared" si="34"/>
        <v>-10162713.438242584</v>
      </c>
      <c r="M129" s="504">
        <f t="shared" si="34"/>
        <v>-12074440.568551838</v>
      </c>
      <c r="N129" s="504">
        <f t="shared" si="34"/>
        <v>42018300.073196143</v>
      </c>
      <c r="O129" s="504">
        <f t="shared" si="34"/>
        <v>-17166538.36333555</v>
      </c>
      <c r="P129" s="504">
        <f t="shared" si="34"/>
        <v>-3575779.3739515245</v>
      </c>
      <c r="Q129" s="504">
        <f t="shared" si="34"/>
        <v>-21305603.359269947</v>
      </c>
      <c r="R129" s="504">
        <f t="shared" si="34"/>
        <v>-149748654.59929624</v>
      </c>
      <c r="S129" s="550">
        <f t="shared" si="28"/>
        <v>-278145366.22502029</v>
      </c>
      <c r="T129" s="531">
        <f t="shared" si="29"/>
        <v>-3.5126017077100493</v>
      </c>
      <c r="U129" s="243"/>
    </row>
    <row r="130" spans="1:21" ht="13.5" thickBot="1">
      <c r="A130" s="106" t="str">
        <f t="shared" si="27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506">
        <f>+G129+G112</f>
        <v>-51265629.370000049</v>
      </c>
      <c r="H130" s="506">
        <f t="shared" ref="H130:R130" si="35">+H129+H112</f>
        <v>-44860181.867298499</v>
      </c>
      <c r="I130" s="506">
        <f t="shared" si="35"/>
        <v>8510848.7507755011</v>
      </c>
      <c r="J130" s="506">
        <f t="shared" si="35"/>
        <v>66846387.189589821</v>
      </c>
      <c r="K130" s="506">
        <f t="shared" si="35"/>
        <v>-17580676.218635522</v>
      </c>
      <c r="L130" s="506">
        <f t="shared" si="35"/>
        <v>-3107832.2882425822</v>
      </c>
      <c r="M130" s="506">
        <f t="shared" si="35"/>
        <v>-7449348.7085518371</v>
      </c>
      <c r="N130" s="506">
        <f t="shared" si="35"/>
        <v>47349842.333196141</v>
      </c>
      <c r="O130" s="506">
        <f t="shared" si="35"/>
        <v>6423236.6566644497</v>
      </c>
      <c r="P130" s="506">
        <f t="shared" si="35"/>
        <v>11203922.606048476</v>
      </c>
      <c r="Q130" s="506">
        <f t="shared" si="35"/>
        <v>-10970971.899269946</v>
      </c>
      <c r="R130" s="506">
        <f t="shared" si="35"/>
        <v>-123722985.90929624</v>
      </c>
      <c r="S130" s="550">
        <f t="shared" si="28"/>
        <v>-118623388.72502029</v>
      </c>
      <c r="T130" s="531">
        <f t="shared" si="29"/>
        <v>-1.4980537819665378</v>
      </c>
      <c r="U130" s="243"/>
    </row>
    <row r="131" spans="1:21">
      <c r="A131" s="106" t="str">
        <f t="shared" si="27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507">
        <f>+SUM(G132:G133)</f>
        <v>34629783.640000001</v>
      </c>
      <c r="H131" s="507">
        <f t="shared" ref="H131:R131" si="36">+SUM(H132:H133)</f>
        <v>9258152.0600000005</v>
      </c>
      <c r="I131" s="507">
        <f t="shared" si="36"/>
        <v>37277725.75</v>
      </c>
      <c r="J131" s="507">
        <f t="shared" si="36"/>
        <v>509032718.42000002</v>
      </c>
      <c r="K131" s="507">
        <f t="shared" si="36"/>
        <v>51424972.890000001</v>
      </c>
      <c r="L131" s="507">
        <f t="shared" si="36"/>
        <v>38999380.129999995</v>
      </c>
      <c r="M131" s="508">
        <f t="shared" si="36"/>
        <v>34464831.550000004</v>
      </c>
      <c r="N131" s="507">
        <f t="shared" si="36"/>
        <v>12238304.779999999</v>
      </c>
      <c r="O131" s="507">
        <f t="shared" si="36"/>
        <v>26363598.969999999</v>
      </c>
      <c r="P131" s="507">
        <f t="shared" si="36"/>
        <v>15223291.52</v>
      </c>
      <c r="Q131" s="507">
        <f t="shared" si="36"/>
        <v>24879249.909999996</v>
      </c>
      <c r="R131" s="507">
        <f t="shared" si="36"/>
        <v>27119636.140000001</v>
      </c>
      <c r="S131" s="551">
        <f t="shared" si="28"/>
        <v>820911645.75999987</v>
      </c>
      <c r="T131" s="533">
        <f t="shared" si="29"/>
        <v>10.367009481088589</v>
      </c>
      <c r="U131" s="243"/>
    </row>
    <row r="132" spans="1:21">
      <c r="A132" s="106" t="str">
        <f t="shared" si="27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502">
        <v>1994016.24</v>
      </c>
      <c r="H132" s="502">
        <v>1708211.7699999998</v>
      </c>
      <c r="I132" s="502">
        <v>4420663.5200000005</v>
      </c>
      <c r="J132" s="502">
        <v>2031985.0399999998</v>
      </c>
      <c r="K132" s="502">
        <v>2791685.76</v>
      </c>
      <c r="L132" s="502">
        <v>15431758.25</v>
      </c>
      <c r="M132" s="503">
        <v>1717903.2899999998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15763777.100000001</v>
      </c>
      <c r="S132" s="92">
        <f t="shared" si="28"/>
        <v>56781644.759999998</v>
      </c>
      <c r="T132" s="444">
        <f t="shared" si="29"/>
        <v>0.71707576889562419</v>
      </c>
      <c r="U132" s="243"/>
    </row>
    <row r="133" spans="1:21" ht="13.5" thickBot="1">
      <c r="A133" s="106" t="str">
        <f t="shared" si="27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502">
        <v>32635767.399999999</v>
      </c>
      <c r="H133" s="502">
        <v>7549940.29</v>
      </c>
      <c r="I133" s="502">
        <v>32857062.23</v>
      </c>
      <c r="J133" s="502">
        <v>507000733.38</v>
      </c>
      <c r="K133" s="502">
        <v>48633287.130000003</v>
      </c>
      <c r="L133" s="502">
        <v>23567621.879999999</v>
      </c>
      <c r="M133" s="503">
        <v>32746928.260000002</v>
      </c>
      <c r="N133" s="503">
        <v>10485842.68</v>
      </c>
      <c r="O133" s="503">
        <v>21807815.07</v>
      </c>
      <c r="P133" s="503">
        <v>13475298.74</v>
      </c>
      <c r="Q133" s="503">
        <v>22013844.899999999</v>
      </c>
      <c r="R133" s="503">
        <v>11355859.039999999</v>
      </c>
      <c r="S133" s="92">
        <f t="shared" si="28"/>
        <v>764130000.99999988</v>
      </c>
      <c r="T133" s="444">
        <f t="shared" si="29"/>
        <v>9.6499337121929631</v>
      </c>
      <c r="U133" s="243"/>
    </row>
    <row r="134" spans="1:21" ht="13.5" thickBot="1">
      <c r="A134" s="106" t="str">
        <f t="shared" si="27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504">
        <v>0</v>
      </c>
      <c r="H134" s="504">
        <v>5000</v>
      </c>
      <c r="I134" s="504">
        <v>3420000.36</v>
      </c>
      <c r="J134" s="504">
        <v>3420000.36</v>
      </c>
      <c r="K134" s="504">
        <v>3420000.36</v>
      </c>
      <c r="L134" s="504">
        <v>3420000.36</v>
      </c>
      <c r="M134" s="504">
        <v>3420000.36</v>
      </c>
      <c r="N134" s="504">
        <v>3420000.36</v>
      </c>
      <c r="O134" s="504">
        <v>3420000.36</v>
      </c>
      <c r="P134" s="504">
        <v>3420000.36</v>
      </c>
      <c r="Q134" s="504">
        <v>3420000.36</v>
      </c>
      <c r="R134" s="504">
        <v>3420001.36</v>
      </c>
      <c r="S134" s="550">
        <f t="shared" si="28"/>
        <v>34205004.600000001</v>
      </c>
      <c r="T134" s="531">
        <f t="shared" si="29"/>
        <v>0.43196318242091308</v>
      </c>
      <c r="U134" s="243"/>
    </row>
    <row r="135" spans="1:21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500">
        <v>0</v>
      </c>
      <c r="H135" s="500">
        <v>1500000</v>
      </c>
      <c r="I135" s="500">
        <v>780000.59999999986</v>
      </c>
      <c r="J135" s="500">
        <v>780000.59999999986</v>
      </c>
      <c r="K135" s="500">
        <v>780000.59999999986</v>
      </c>
      <c r="L135" s="500">
        <v>780000.59999999986</v>
      </c>
      <c r="M135" s="500">
        <v>180000.6</v>
      </c>
      <c r="N135" s="500">
        <v>180000.6</v>
      </c>
      <c r="O135" s="500">
        <v>780000.59999999986</v>
      </c>
      <c r="P135" s="500">
        <v>780000.59999999986</v>
      </c>
      <c r="Q135" s="500">
        <v>480000.60000000003</v>
      </c>
      <c r="R135" s="500">
        <v>480000.60000000003</v>
      </c>
      <c r="S135" s="550">
        <f t="shared" si="28"/>
        <v>7500005.9999999963</v>
      </c>
      <c r="T135" s="531">
        <f t="shared" si="29"/>
        <v>9.4714983898465568E-2</v>
      </c>
      <c r="U135" s="243"/>
    </row>
    <row r="136" spans="1:21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509">
        <f>+G129-G131-G134-G135</f>
        <v>-89700646.680000052</v>
      </c>
      <c r="H136" s="509">
        <f t="shared" ref="H136:R136" si="37">+H129-H131-H134-H135</f>
        <v>-59201587.007298499</v>
      </c>
      <c r="I136" s="509">
        <f t="shared" si="37"/>
        <v>-58780844.8492245</v>
      </c>
      <c r="J136" s="509">
        <f t="shared" si="37"/>
        <v>-468080945.09041023</v>
      </c>
      <c r="K136" s="509">
        <f t="shared" si="37"/>
        <v>-86094268.608635515</v>
      </c>
      <c r="L136" s="509">
        <f t="shared" si="37"/>
        <v>-53362094.528242581</v>
      </c>
      <c r="M136" s="509">
        <f t="shared" si="37"/>
        <v>-50139273.078551844</v>
      </c>
      <c r="N136" s="509">
        <f t="shared" si="37"/>
        <v>26179994.333196141</v>
      </c>
      <c r="O136" s="509">
        <f t="shared" si="37"/>
        <v>-47730138.29333555</v>
      </c>
      <c r="P136" s="509">
        <f t="shared" si="37"/>
        <v>-22999071.853951525</v>
      </c>
      <c r="Q136" s="509">
        <f t="shared" si="37"/>
        <v>-50084854.229269944</v>
      </c>
      <c r="R136" s="509">
        <f t="shared" si="37"/>
        <v>-180768292.69929627</v>
      </c>
      <c r="S136" s="552">
        <f t="shared" si="28"/>
        <v>-1140762022.5850205</v>
      </c>
      <c r="T136" s="535">
        <f t="shared" si="29"/>
        <v>-14.406289355118021</v>
      </c>
      <c r="U136" s="243"/>
    </row>
    <row r="137" spans="1:21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504">
        <f t="shared" ref="G137" si="38">+SUM(G138:G142)</f>
        <v>89700646.680000052</v>
      </c>
      <c r="H137" s="504">
        <f t="shared" ref="H137:R137" si="39">+SUM(H138:H142)</f>
        <v>59201587.007298499</v>
      </c>
      <c r="I137" s="504">
        <f t="shared" si="39"/>
        <v>58780844.8492245</v>
      </c>
      <c r="J137" s="504">
        <f t="shared" si="39"/>
        <v>468080945.09041023</v>
      </c>
      <c r="K137" s="504">
        <f t="shared" si="39"/>
        <v>86094268.608635515</v>
      </c>
      <c r="L137" s="504">
        <f t="shared" si="39"/>
        <v>53362094.528242581</v>
      </c>
      <c r="M137" s="504">
        <f t="shared" si="39"/>
        <v>50139273.078551844</v>
      </c>
      <c r="N137" s="504">
        <f t="shared" si="39"/>
        <v>-26179994.333196141</v>
      </c>
      <c r="O137" s="504">
        <f t="shared" si="39"/>
        <v>47730138.29333555</v>
      </c>
      <c r="P137" s="504">
        <f t="shared" si="39"/>
        <v>22999071.853951525</v>
      </c>
      <c r="Q137" s="504">
        <f t="shared" si="39"/>
        <v>50084854.229269944</v>
      </c>
      <c r="R137" s="504">
        <f t="shared" si="39"/>
        <v>180768292.69929627</v>
      </c>
      <c r="S137" s="553">
        <f t="shared" si="28"/>
        <v>1140762022.5850205</v>
      </c>
      <c r="T137" s="537">
        <f t="shared" si="29"/>
        <v>14.406289355118021</v>
      </c>
      <c r="U137" s="243"/>
    </row>
    <row r="138" spans="1:21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35014118.590000004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28"/>
        <v>35014118.590000004</v>
      </c>
      <c r="T138" s="444">
        <f t="shared" si="29"/>
        <v>0.44218120338447942</v>
      </c>
      <c r="U138" s="243"/>
    </row>
    <row r="139" spans="1:21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502">
        <v>0</v>
      </c>
      <c r="H139" s="502">
        <v>0</v>
      </c>
      <c r="I139" s="502">
        <v>0</v>
      </c>
      <c r="J139" s="502">
        <v>850000000</v>
      </c>
      <c r="K139" s="502">
        <v>0</v>
      </c>
      <c r="L139" s="502">
        <v>0</v>
      </c>
      <c r="M139" s="502">
        <v>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28"/>
        <v>850000000</v>
      </c>
      <c r="T139" s="444">
        <f t="shared" si="29"/>
        <v>10.734356254341099</v>
      </c>
      <c r="U139" s="243"/>
    </row>
    <row r="140" spans="1:21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7.5771926501231296E-2</v>
      </c>
      <c r="U140" s="243"/>
    </row>
    <row r="141" spans="1:21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0.12310291090484309</v>
      </c>
      <c r="U141" s="243"/>
    </row>
    <row r="142" spans="1:21" ht="13.5" thickBot="1">
      <c r="A142" s="106" t="str">
        <f t="shared" ref="A142" si="40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89119124.34348534</v>
      </c>
      <c r="H142" s="86">
        <f t="shared" ref="H142:R142" si="41">-H136-SUM(H138:H141)</f>
        <v>58255613.894182786</v>
      </c>
      <c r="I142" s="86">
        <f t="shared" si="41"/>
        <v>57977697.339923441</v>
      </c>
      <c r="J142" s="86">
        <f t="shared" si="41"/>
        <v>-382830726.20150948</v>
      </c>
      <c r="K142" s="86">
        <f t="shared" si="41"/>
        <v>84641049.798458472</v>
      </c>
      <c r="L142" s="86">
        <f t="shared" si="41"/>
        <v>16317045.345546715</v>
      </c>
      <c r="M142" s="86">
        <f t="shared" si="41"/>
        <v>49480553.214294419</v>
      </c>
      <c r="N142" s="86">
        <f>-N136-SUM(N138:N141)</f>
        <v>-28207447.298324399</v>
      </c>
      <c r="O142" s="86">
        <f>-O136-SUM(O138:O141)</f>
        <v>47013701.483625539</v>
      </c>
      <c r="P142" s="86">
        <f t="shared" si="41"/>
        <v>22235885.1641916</v>
      </c>
      <c r="Q142" s="86">
        <f t="shared" si="41"/>
        <v>47881261.753553711</v>
      </c>
      <c r="R142" s="86">
        <f t="shared" si="41"/>
        <v>178116241.15759218</v>
      </c>
      <c r="S142" s="94">
        <f>+SUM(G142:R142)</f>
        <v>239999999.99502033</v>
      </c>
      <c r="T142" s="448">
        <f t="shared" si="29"/>
        <v>3.030877059986365</v>
      </c>
    </row>
    <row r="144" spans="1:21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OpNysAMHNmtbrz7jwvISoebTD+GdMEqg507lCvEe734b0xFfq5exFwbvwdB52o/PyqMYiV1xLQ3V2/rSRZwjJw==" saltValue="mLGUdwDRz9B9LIg9mmbKNw==" spinCount="100000" sheet="1" objects="1" scenarios="1"/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2023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6963615000</v>
      </c>
    </row>
    <row r="8" spans="1:24" ht="16.5" customHeight="1">
      <c r="A8" s="129"/>
      <c r="B8" s="566"/>
      <c r="C8" s="567"/>
      <c r="D8" s="567"/>
      <c r="E8" s="567"/>
      <c r="F8" s="568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4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2" t="str">
        <f>+VLOOKUP($A63,Master!$D$30:$G$226,4,FALSE)</f>
        <v>Pozajmice i krediti od inostranih izvora</v>
      </c>
      <c r="C63" s="563"/>
      <c r="D63" s="563"/>
      <c r="E63" s="563"/>
      <c r="F63" s="563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2" t="s">
        <v>101</v>
      </c>
      <c r="C65" s="563"/>
      <c r="D65" s="563"/>
      <c r="E65" s="563"/>
      <c r="F65" s="563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2023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6624340418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27" t="s">
        <v>113</v>
      </c>
      <c r="C135" s="628"/>
      <c r="D135" s="628"/>
      <c r="E135" s="628"/>
      <c r="F135" s="628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3" t="str">
        <f>+VLOOKUP(LEFT($A136,LEN(A136)-1)*1,Master!$D$30:$G$226,4,FALSE)</f>
        <v>Nedostajuća sredstva</v>
      </c>
      <c r="C136" s="654"/>
      <c r="D136" s="654"/>
      <c r="E136" s="654"/>
      <c r="F136" s="654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27" t="str">
        <f>+VLOOKUP(LEFT($A137,LEN(A137)-1)*1,Master!$D$30:$G$226,4,FALSE)</f>
        <v>Finansiranje</v>
      </c>
      <c r="C137" s="628"/>
      <c r="D137" s="628"/>
      <c r="E137" s="628"/>
      <c r="F137" s="628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55" t="str">
        <f>+VLOOKUP(LEFT($A138,LEN(A138)-1)*1,Master!$D$30:$G$226,4,FALSE)</f>
        <v>Pozajmice i krediti od domaćih izvora</v>
      </c>
      <c r="C138" s="656"/>
      <c r="D138" s="656"/>
      <c r="E138" s="656"/>
      <c r="F138" s="656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49" t="str">
        <f>+VLOOKUP(LEFT($A139,LEN(A139)-1)*1,Master!$D$30:$G$226,4,FALSE)</f>
        <v>Pozajmice i krediti od inostranih izvora</v>
      </c>
      <c r="C139" s="650"/>
      <c r="D139" s="650"/>
      <c r="E139" s="650"/>
      <c r="F139" s="650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49" t="str">
        <f>+VLOOKUP(LEFT($A140,LEN(A140)-1)*1,Master!$D$30:$G$226,4,FALSE)</f>
        <v>Primici od prodaje imovine</v>
      </c>
      <c r="C140" s="650"/>
      <c r="D140" s="650"/>
      <c r="E140" s="650"/>
      <c r="F140" s="650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2022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5796761000</v>
      </c>
    </row>
    <row r="8" spans="1:23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3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84" t="str">
        <f>+VLOOKUP($A10,Master!$D$30:$G$226,4,FALSE)</f>
        <v>Prihodi budžeta</v>
      </c>
      <c r="C10" s="585"/>
      <c r="D10" s="585"/>
      <c r="E10" s="585"/>
      <c r="F10" s="585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96" t="str">
        <f>+VLOOKUP($A19,Master!$D$30:$G$226,4,FALSE)</f>
        <v>Doprinosi</v>
      </c>
      <c r="C19" s="597"/>
      <c r="D19" s="597"/>
      <c r="E19" s="597"/>
      <c r="F19" s="597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96" t="str">
        <f>+VLOOKUP($A28,Master!$D$30:$G$226,4,FALSE)</f>
        <v>Donacije i transferi</v>
      </c>
      <c r="C28" s="597"/>
      <c r="D28" s="597"/>
      <c r="E28" s="597"/>
      <c r="F28" s="597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94" t="str">
        <f>+VLOOKUP($A39,Master!$D$30:$G$226,4,FALSE)</f>
        <v>Ostali izdaci</v>
      </c>
      <c r="C39" s="595"/>
      <c r="D39" s="595"/>
      <c r="E39" s="595"/>
      <c r="F39" s="595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600" t="str">
        <f>+VLOOKUP($A59,Master!$D$30:$G$226,4,FALSE)</f>
        <v>Pozajmice i krediti</v>
      </c>
      <c r="C59" s="601"/>
      <c r="D59" s="601"/>
      <c r="E59" s="601"/>
      <c r="F59" s="601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2" t="str">
        <f>+VLOOKUP($A60,Master!$D$30:$G$226,4,FALSE)</f>
        <v>Nedostajuća sredstva</v>
      </c>
      <c r="C60" s="583"/>
      <c r="D60" s="583"/>
      <c r="E60" s="583"/>
      <c r="F60" s="583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84" t="str">
        <f>+VLOOKUP($A61,Master!$D$30:$G$226,4,FALSE)</f>
        <v>Finansiranje</v>
      </c>
      <c r="C61" s="585"/>
      <c r="D61" s="585"/>
      <c r="E61" s="585"/>
      <c r="F61" s="585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78" t="str">
        <f>+VLOOKUP($A62,Master!$D$30:$G$226,4,FALSE)</f>
        <v>Pozajmice i krediti od domaćih izvora</v>
      </c>
      <c r="C62" s="579"/>
      <c r="D62" s="579"/>
      <c r="E62" s="579"/>
      <c r="F62" s="579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78" t="str">
        <f>+VLOOKUP($A63,Master!$D$30:$G$226,4,FALSE)</f>
        <v>Pozajmice i krediti od inostranih izvora</v>
      </c>
      <c r="C63" s="579"/>
      <c r="D63" s="579"/>
      <c r="E63" s="579"/>
      <c r="F63" s="579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2" t="str">
        <f>+VLOOKUP($A64,Master!$D$30:$G$226,4,FALSE)</f>
        <v>Primici od prodaje imovine</v>
      </c>
      <c r="C64" s="563"/>
      <c r="D64" s="563"/>
      <c r="E64" s="563"/>
      <c r="F64" s="563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2" t="s">
        <v>101</v>
      </c>
      <c r="C65" s="563"/>
      <c r="D65" s="563"/>
      <c r="E65" s="563"/>
      <c r="F65" s="563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3" t="str">
        <f>+Master!G253</f>
        <v>Plan ostvarenja budžeta</v>
      </c>
      <c r="C83" s="634"/>
      <c r="D83" s="634"/>
      <c r="E83" s="634"/>
      <c r="F83" s="634"/>
      <c r="G83" s="618">
        <v>2022</v>
      </c>
      <c r="H83" s="619"/>
      <c r="I83" s="619"/>
      <c r="J83" s="619"/>
      <c r="K83" s="619"/>
      <c r="L83" s="619"/>
      <c r="M83" s="619"/>
      <c r="N83" s="619"/>
      <c r="O83" s="619"/>
      <c r="P83" s="619"/>
      <c r="Q83" s="619"/>
      <c r="R83" s="620"/>
      <c r="S83" s="96" t="str">
        <f>+S7</f>
        <v>BDP</v>
      </c>
      <c r="T83" s="97">
        <v>5700400000</v>
      </c>
    </row>
    <row r="84" spans="1:26" ht="15.75" customHeight="1">
      <c r="B84" s="635"/>
      <c r="C84" s="636"/>
      <c r="D84" s="636"/>
      <c r="E84" s="636"/>
      <c r="F84" s="637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18" t="str">
        <f>+Master!G247</f>
        <v>Jan - Dec</v>
      </c>
      <c r="T84" s="620">
        <f>+T8</f>
        <v>0</v>
      </c>
    </row>
    <row r="85" spans="1:26" ht="13.5" thickBot="1">
      <c r="B85" s="638"/>
      <c r="C85" s="639"/>
      <c r="D85" s="639"/>
      <c r="E85" s="639"/>
      <c r="F85" s="640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27" t="str">
        <f>+VLOOKUP(LEFT($A86,LEN(A86)-1)*1,Master!$D$30:$G$226,4,FALSE)</f>
        <v>Prihodi budžeta</v>
      </c>
      <c r="C86" s="628"/>
      <c r="D86" s="628"/>
      <c r="E86" s="628"/>
      <c r="F86" s="628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29" t="str">
        <f>+VLOOKUP(LEFT($A87,LEN(A87)-1)*1,Master!$D$30:$G$226,4,FALSE)</f>
        <v>Porezi</v>
      </c>
      <c r="C87" s="630"/>
      <c r="D87" s="630"/>
      <c r="E87" s="630"/>
      <c r="F87" s="630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1" t="str">
        <f>+VLOOKUP(LEFT($A88,LEN(A88)-1)*1,Master!$D$30:$G$229,4,FALSE)</f>
        <v>Porez na dohodak fizičkih lica</v>
      </c>
      <c r="C88" s="632"/>
      <c r="D88" s="632"/>
      <c r="E88" s="632"/>
      <c r="F88" s="632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1" t="str">
        <f>+VLOOKUP(LEFT($A89,LEN(A89)-1)*1,Master!$D$30:$G$229,4,FALSE)</f>
        <v>Porez na dobit pravnih lica</v>
      </c>
      <c r="C89" s="632"/>
      <c r="D89" s="632"/>
      <c r="E89" s="632"/>
      <c r="F89" s="632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1" t="str">
        <f>+VLOOKUP(LEFT($A90,LEN(A90)-1)*1,Master!$D$30:$G$229,4,FALSE)</f>
        <v>Porez na promet nepokretnosti</v>
      </c>
      <c r="C90" s="632"/>
      <c r="D90" s="632"/>
      <c r="E90" s="632"/>
      <c r="F90" s="632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1" t="str">
        <f>+VLOOKUP(LEFT($A91,LEN(A91)-1)*1,Master!$D$30:$G$229,4,FALSE)</f>
        <v>Porez na dodatu vrijednost</v>
      </c>
      <c r="C91" s="632"/>
      <c r="D91" s="632"/>
      <c r="E91" s="632"/>
      <c r="F91" s="632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1" t="str">
        <f>+VLOOKUP(LEFT($A92,LEN(A92)-1)*1,Master!$D$30:$G$229,4,FALSE)</f>
        <v>Akcize</v>
      </c>
      <c r="C92" s="632"/>
      <c r="D92" s="632"/>
      <c r="E92" s="632"/>
      <c r="F92" s="632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1" t="str">
        <f>+VLOOKUP(LEFT($A93,LEN(A93)-1)*1,Master!$D$30:$G$229,4,FALSE)</f>
        <v>Porez na međunarodnu trgovinu i transakcije</v>
      </c>
      <c r="C93" s="632"/>
      <c r="D93" s="632"/>
      <c r="E93" s="632"/>
      <c r="F93" s="632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1" t="str">
        <f>+VLOOKUP(LEFT($A94,LEN(A94)-1)*1,Master!$D$30:$G$229,4,FALSE)</f>
        <v>Ostali državni porezi</v>
      </c>
      <c r="C94" s="632"/>
      <c r="D94" s="632"/>
      <c r="E94" s="632"/>
      <c r="F94" s="632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41" t="str">
        <f>+VLOOKUP(LEFT($A95,LEN(A95)-1)*1,Master!$D$30:$G$229,4,FALSE)</f>
        <v>Doprinosi</v>
      </c>
      <c r="C95" s="642"/>
      <c r="D95" s="642"/>
      <c r="E95" s="642"/>
      <c r="F95" s="642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1" t="str">
        <f>+VLOOKUP(LEFT($A96,LEN(A96)-1)*1,Master!$D$30:$G$229,4,FALSE)</f>
        <v>Doprinosi za penzijsko i invalidsko osiguranje</v>
      </c>
      <c r="C96" s="632"/>
      <c r="D96" s="632"/>
      <c r="E96" s="632"/>
      <c r="F96" s="632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1" t="str">
        <f>+VLOOKUP(LEFT($A97,LEN(A97)-1)*1,Master!$D$30:$G$229,4,FALSE)</f>
        <v>Doprinosi za zdravstveno osiguranje</v>
      </c>
      <c r="C97" s="632"/>
      <c r="D97" s="632"/>
      <c r="E97" s="632"/>
      <c r="F97" s="632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1" t="str">
        <f>+VLOOKUP(LEFT($A98,LEN(A98)-1)*1,Master!$D$30:$G$229,4,FALSE)</f>
        <v>Doprinosi za osiguranje od nezaposlenosti</v>
      </c>
      <c r="C98" s="632"/>
      <c r="D98" s="632"/>
      <c r="E98" s="632"/>
      <c r="F98" s="632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1" t="str">
        <f>+VLOOKUP(LEFT($A99,LEN(A99)-1)*1,Master!$D$30:$G$229,4,FALSE)</f>
        <v>Ostali doprinosi</v>
      </c>
      <c r="C99" s="632"/>
      <c r="D99" s="632"/>
      <c r="E99" s="632"/>
      <c r="F99" s="632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41" t="str">
        <f>+VLOOKUP(LEFT($A100,LEN(A100)-1)*1,Master!$D$30:$G$229,4,FALSE)</f>
        <v>Takse</v>
      </c>
      <c r="C100" s="642"/>
      <c r="D100" s="642"/>
      <c r="E100" s="642"/>
      <c r="F100" s="642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41" t="str">
        <f>+VLOOKUP(LEFT($A101,LEN(A101)-1)*1,Master!$D$30:$G$229,4,FALSE)</f>
        <v>Naknade</v>
      </c>
      <c r="C101" s="642"/>
      <c r="D101" s="642"/>
      <c r="E101" s="642"/>
      <c r="F101" s="642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41" t="str">
        <f>+VLOOKUP(LEFT($A102,LEN(A102)-1)*1,Master!$D$30:$G$229,4,FALSE)</f>
        <v>Ostali prihodi</v>
      </c>
      <c r="C102" s="642"/>
      <c r="D102" s="642"/>
      <c r="E102" s="642"/>
      <c r="F102" s="642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41" t="str">
        <f>+VLOOKUP(LEFT($A103,LEN(A103)-1)*1,Master!$D$30:$G$229,4,FALSE)</f>
        <v>Primici od otplate kredita i sredstva prenesena iz prethodne godine</v>
      </c>
      <c r="C103" s="642"/>
      <c r="D103" s="642"/>
      <c r="E103" s="642"/>
      <c r="F103" s="642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3" t="str">
        <f>+VLOOKUP(LEFT($A104,LEN(A104)-1)*1,Master!$D$30:$G$229,4,FALSE)</f>
        <v>Donacije i transferi</v>
      </c>
      <c r="C104" s="644"/>
      <c r="D104" s="644"/>
      <c r="E104" s="644"/>
      <c r="F104" s="644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27" t="str">
        <f>+VLOOKUP(LEFT($A105,LEN(A105)-1)*1,Master!$D$30:$G$229,4,FALSE)</f>
        <v>Izdaci budžeta</v>
      </c>
      <c r="C105" s="628"/>
      <c r="D105" s="628"/>
      <c r="E105" s="628"/>
      <c r="F105" s="628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45" t="str">
        <f>+VLOOKUP(LEFT($A106,LEN(A106)-1)*1,Master!$D$30:$G$229,4,FALSE)</f>
        <v>Tekući izdaci</v>
      </c>
      <c r="C106" s="646"/>
      <c r="D106" s="646"/>
      <c r="E106" s="646"/>
      <c r="F106" s="646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1" t="str">
        <f>+VLOOKUP(LEFT($A107,LEN(A107)-1)*1,Master!$D$30:$G$229,4,FALSE)</f>
        <v>Bruto zarade i doprinosi na teret poslodavca</v>
      </c>
      <c r="C107" s="632"/>
      <c r="D107" s="632"/>
      <c r="E107" s="632"/>
      <c r="F107" s="632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1" t="str">
        <f>+VLOOKUP(LEFT($A108,LEN(A108)-1)*1,Master!$D$30:$G$229,4,FALSE)</f>
        <v>Ostala lična primanja</v>
      </c>
      <c r="C108" s="632"/>
      <c r="D108" s="632"/>
      <c r="E108" s="632"/>
      <c r="F108" s="632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1" t="str">
        <f>+VLOOKUP(LEFT($A109,LEN(A109)-1)*1,Master!$D$30:$G$229,4,FALSE)</f>
        <v>Rashodi za materijal</v>
      </c>
      <c r="C109" s="632"/>
      <c r="D109" s="632"/>
      <c r="E109" s="632"/>
      <c r="F109" s="632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1" t="str">
        <f>+VLOOKUP(LEFT($A110,LEN(A110)-1)*1,Master!$D$30:$G$229,4,FALSE)</f>
        <v>Rashodi za usluge</v>
      </c>
      <c r="C110" s="632"/>
      <c r="D110" s="632"/>
      <c r="E110" s="632"/>
      <c r="F110" s="632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1" t="str">
        <f>+VLOOKUP(LEFT($A111,LEN(A111)-1)*1,Master!$D$30:$G$229,4,FALSE)</f>
        <v>Rashodi za tekuće održavanje</v>
      </c>
      <c r="C111" s="632"/>
      <c r="D111" s="632"/>
      <c r="E111" s="632"/>
      <c r="F111" s="632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1" t="str">
        <f>+VLOOKUP(LEFT($A112,LEN(A112)-1)*1,Master!$D$30:$G$229,4,FALSE)</f>
        <v>Kamate</v>
      </c>
      <c r="C112" s="632"/>
      <c r="D112" s="632"/>
      <c r="E112" s="632"/>
      <c r="F112" s="632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1" t="str">
        <f>+VLOOKUP(LEFT($A113,LEN(A113)-1)*1,Master!$D$30:$G$229,4,FALSE)</f>
        <v>Renta</v>
      </c>
      <c r="C113" s="632"/>
      <c r="D113" s="632"/>
      <c r="E113" s="632"/>
      <c r="F113" s="632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1" t="str">
        <f>+VLOOKUP(LEFT($A114,LEN(A114)-1)*1,Master!$D$30:$G$229,4,FALSE)</f>
        <v>Subvencije</v>
      </c>
      <c r="C114" s="632"/>
      <c r="D114" s="632"/>
      <c r="E114" s="632"/>
      <c r="F114" s="632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1" t="str">
        <f>+VLOOKUP(LEFT($A115,LEN(A115)-1)*1,Master!$D$30:$G$229,4,FALSE)</f>
        <v>Ostali izdaci</v>
      </c>
      <c r="C115" s="632"/>
      <c r="D115" s="632"/>
      <c r="E115" s="632"/>
      <c r="F115" s="632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51" t="str">
        <f>+VLOOKUP(LEFT($A116,LEN(A116)-1)*1,Master!$D$30:$G$229,4,FALSE)</f>
        <v>Transferi za socijalnu zaštitu</v>
      </c>
      <c r="C116" s="652"/>
      <c r="D116" s="652"/>
      <c r="E116" s="652"/>
      <c r="F116" s="652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1" t="str">
        <f>+VLOOKUP(LEFT($A117,LEN(A117)-1)*1,Master!$D$30:$G$229,4,FALSE)</f>
        <v>Prava iz oblasti socijalne zaštite</v>
      </c>
      <c r="C117" s="632"/>
      <c r="D117" s="632"/>
      <c r="E117" s="632"/>
      <c r="F117" s="632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1" t="str">
        <f>+VLOOKUP(LEFT($A118,LEN(A118)-1)*1,Master!$D$30:$G$229,4,FALSE)</f>
        <v>Sredstva za tehnološke viškove</v>
      </c>
      <c r="C118" s="632"/>
      <c r="D118" s="632"/>
      <c r="E118" s="632"/>
      <c r="F118" s="632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1" t="str">
        <f>+VLOOKUP(LEFT($A119,LEN(A119)-1)*1,Master!$D$30:$G$229,4,FALSE)</f>
        <v>Prava iz oblasti penzijskog i invalidskog osiguranja</v>
      </c>
      <c r="C119" s="632"/>
      <c r="D119" s="632"/>
      <c r="E119" s="632"/>
      <c r="F119" s="632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1" t="str">
        <f>+VLOOKUP(LEFT($A120,LEN(A120)-1)*1,Master!$D$30:$G$229,4,FALSE)</f>
        <v>Ostala prava iz oblasti zdravstvene zaštite</v>
      </c>
      <c r="C120" s="632"/>
      <c r="D120" s="632"/>
      <c r="E120" s="632"/>
      <c r="F120" s="632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1" t="str">
        <f>+VLOOKUP(LEFT($A121,LEN(A121)-1)*1,Master!$D$30:$G$229,4,FALSE)</f>
        <v>Ostala prava iz zdravstvenog osiguranja</v>
      </c>
      <c r="C121" s="632"/>
      <c r="D121" s="632"/>
      <c r="E121" s="632"/>
      <c r="F121" s="632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47" t="str">
        <f>+VLOOKUP(LEFT($A122,LEN(A122)-1)*1,Master!$D$30:$G$229,4,FALSE)</f>
        <v xml:space="preserve">Transferi institucijama, pojedincima, nevladinom i javnom sektoru </v>
      </c>
      <c r="C122" s="648"/>
      <c r="D122" s="648"/>
      <c r="E122" s="648"/>
      <c r="F122" s="648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47" t="str">
        <f>+VLOOKUP(LEFT($A123,LEN(A123)-1)*1,Master!$D$30:$G$229,4,FALSE)</f>
        <v>Kapitalni izdaci</v>
      </c>
      <c r="C123" s="648"/>
      <c r="D123" s="648"/>
      <c r="E123" s="648"/>
      <c r="F123" s="648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49" t="str">
        <f>+VLOOKUP(LEFT($A124,LEN(A124)-1)*1,Master!$D$30:$G$229,4,FALSE)</f>
        <v>Pozajmice i krediti</v>
      </c>
      <c r="C124" s="650"/>
      <c r="D124" s="650"/>
      <c r="E124" s="650"/>
      <c r="F124" s="650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49" t="str">
        <f>+VLOOKUP(LEFT($A125,LEN(A125)-1)*1,Master!$D$30:$G$229,4,FALSE)</f>
        <v>Rezerve</v>
      </c>
      <c r="C125" s="650"/>
      <c r="D125" s="650"/>
      <c r="E125" s="650"/>
      <c r="F125" s="650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49" t="str">
        <f>+VLOOKUP(LEFT($A126,LEN(A126)-1)*1,Master!$D$30:$G$229,4,FALSE)</f>
        <v>Otplata garancija</v>
      </c>
      <c r="C126" s="650"/>
      <c r="D126" s="650"/>
      <c r="E126" s="650"/>
      <c r="F126" s="65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49" t="str">
        <f>+VLOOKUP(LEFT($A127,LEN(A127)-1)*1,Master!$D$30:$G$229,4,FALSE)</f>
        <v>Otplata obaveza iz prethodnog perioda</v>
      </c>
      <c r="C127" s="650"/>
      <c r="D127" s="650"/>
      <c r="E127" s="650"/>
      <c r="F127" s="650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49" t="str">
        <f>+VLOOKUP(LEFT($A128,LEN(A128)-1)*1,Master!$D$30:$G$229,4,FALSE)</f>
        <v>Neto povećanje obaveza</v>
      </c>
      <c r="C128" s="650"/>
      <c r="D128" s="650"/>
      <c r="E128" s="650"/>
      <c r="F128" s="650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57" t="str">
        <f>+VLOOKUP(LEFT($A129,LEN(A129)-1)*1,Master!$D$30:$G$226,4,FALSE)</f>
        <v>Suficit / deficit</v>
      </c>
      <c r="C129" s="658"/>
      <c r="D129" s="658"/>
      <c r="E129" s="658"/>
      <c r="F129" s="658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59" t="str">
        <f>+VLOOKUP(LEFT($A130,LEN(A130)-1)*1,Master!$D$30:$G$226,4,FALSE)</f>
        <v>Primarni suficit/deficit</v>
      </c>
      <c r="C130" s="660"/>
      <c r="D130" s="660"/>
      <c r="E130" s="660"/>
      <c r="F130" s="660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51" t="str">
        <f>+VLOOKUP(LEFT($A131,LEN(A131)-1)*1,Master!$D$30:$G$226,4,FALSE)</f>
        <v>Otplata dugova</v>
      </c>
      <c r="C131" s="652"/>
      <c r="D131" s="652"/>
      <c r="E131" s="652"/>
      <c r="F131" s="652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55" t="str">
        <f>+VLOOKUP(LEFT($A132,LEN(A132)-1)*1,Master!$D$30:$G$226,4,FALSE)</f>
        <v>Otplata hartija od vrijednosti i kredita rezidentima</v>
      </c>
      <c r="C132" s="656"/>
      <c r="D132" s="656"/>
      <c r="E132" s="656"/>
      <c r="F132" s="656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49" t="str">
        <f>+VLOOKUP(LEFT($A133,LEN(A133)-1)*1,Master!$D$30:$G$226,4,FALSE)</f>
        <v>Otplata hartija od vrijednosti i kredita nerezidentima</v>
      </c>
      <c r="C133" s="650"/>
      <c r="D133" s="650"/>
      <c r="E133" s="650"/>
      <c r="F133" s="650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27" t="str">
        <f>+VLOOKUP(LEFT($A134,LEN(A134)-1)*1,Master!$D$30:$G$226,4,FALSE)</f>
        <v>Izdaci za kupovinu hartija od vrijednosti</v>
      </c>
      <c r="C134" s="628"/>
      <c r="D134" s="628"/>
      <c r="E134" s="628"/>
      <c r="F134" s="628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3" t="str">
        <f>+VLOOKUP(LEFT($A135,LEN(A135)-1)*1,Master!$D$30:$G$226,4,FALSE)</f>
        <v>Nedostajuća sredstva</v>
      </c>
      <c r="C135" s="654"/>
      <c r="D135" s="654"/>
      <c r="E135" s="654"/>
      <c r="F135" s="654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27" t="str">
        <f>+VLOOKUP(LEFT($A136,LEN(A136)-1)*1,Master!$D$30:$G$226,4,FALSE)</f>
        <v>Finansiranje</v>
      </c>
      <c r="C136" s="628"/>
      <c r="D136" s="628"/>
      <c r="E136" s="628"/>
      <c r="F136" s="628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55" t="str">
        <f>+VLOOKUP(LEFT($A137,LEN(A137)-1)*1,Master!$D$30:$G$226,4,FALSE)</f>
        <v>Pozajmice i krediti od domaćih izvora</v>
      </c>
      <c r="C137" s="656"/>
      <c r="D137" s="656"/>
      <c r="E137" s="656"/>
      <c r="F137" s="656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49" t="str">
        <f>+VLOOKUP(LEFT($A138,LEN(A138)-1)*1,Master!$D$30:$G$226,4,FALSE)</f>
        <v>Pozajmice i krediti od inostranih izvora</v>
      </c>
      <c r="C138" s="650"/>
      <c r="D138" s="650"/>
      <c r="E138" s="650"/>
      <c r="F138" s="650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49" t="str">
        <f>+VLOOKUP(LEFT($A139,LEN(A139)-1)*1,Master!$D$30:$G$226,4,FALSE)</f>
        <v>Primici od prodaje imovine</v>
      </c>
      <c r="C139" s="650"/>
      <c r="D139" s="650"/>
      <c r="E139" s="650"/>
      <c r="F139" s="650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2021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4955116000</v>
      </c>
    </row>
    <row r="8" spans="1:22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2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04" t="str">
        <f>+VLOOKUP($A19,Master!$D$30:$G$226,4,FALSE)</f>
        <v>Doprinosi</v>
      </c>
      <c r="C19" s="605"/>
      <c r="D19" s="605"/>
      <c r="E19" s="605"/>
      <c r="F19" s="605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2" t="str">
        <f>+VLOOKUP($A39,Master!$D$30:$G$226,4,FALSE)</f>
        <v>Ostali izdaci</v>
      </c>
      <c r="C39" s="613"/>
      <c r="D39" s="613"/>
      <c r="E39" s="613"/>
      <c r="F39" s="613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2" t="str">
        <f>+VLOOKUP($A59,Master!$D$30:$G$226,4,FALSE)</f>
        <v>Nedostajuća sredstva</v>
      </c>
      <c r="C59" s="583"/>
      <c r="D59" s="583"/>
      <c r="E59" s="583"/>
      <c r="F59" s="583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84" t="str">
        <f>+VLOOKUP($A60,Master!$D$30:$G$226,4,FALSE)</f>
        <v>Finansiranje</v>
      </c>
      <c r="C60" s="585"/>
      <c r="D60" s="585"/>
      <c r="E60" s="585"/>
      <c r="F60" s="585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78" t="str">
        <f>+VLOOKUP($A61,Master!$D$30:$G$226,4,FALSE)</f>
        <v>Pozajmice i krediti od domaćih izvora</v>
      </c>
      <c r="C61" s="579"/>
      <c r="D61" s="579"/>
      <c r="E61" s="579"/>
      <c r="F61" s="579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2" t="str">
        <f>+VLOOKUP($A62,Master!$D$30:$G$226,4,FALSE)</f>
        <v>Pozajmice i krediti od inostranih izvora</v>
      </c>
      <c r="C62" s="563"/>
      <c r="D62" s="563"/>
      <c r="E62" s="563"/>
      <c r="F62" s="563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2" t="str">
        <f>+VLOOKUP($A63,Master!$D$30:$G$226,4,FALSE)</f>
        <v>Primici od prodaje imovine</v>
      </c>
      <c r="C63" s="563"/>
      <c r="D63" s="563"/>
      <c r="E63" s="563"/>
      <c r="F63" s="563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3" t="str">
        <f>+Master!G253</f>
        <v>Plan ostvarenja budžeta</v>
      </c>
      <c r="C81" s="634"/>
      <c r="D81" s="634"/>
      <c r="E81" s="634"/>
      <c r="F81" s="634"/>
      <c r="G81" s="618">
        <v>2021</v>
      </c>
      <c r="H81" s="619"/>
      <c r="I81" s="619"/>
      <c r="J81" s="619"/>
      <c r="K81" s="619"/>
      <c r="L81" s="619"/>
      <c r="M81" s="619"/>
      <c r="N81" s="619"/>
      <c r="O81" s="619"/>
      <c r="P81" s="619"/>
      <c r="Q81" s="619"/>
      <c r="R81" s="620"/>
      <c r="S81" s="96" t="str">
        <f>+S7</f>
        <v>BDP</v>
      </c>
      <c r="T81" s="97">
        <v>4636600000</v>
      </c>
    </row>
    <row r="82" spans="1:21" ht="15.75" customHeight="1">
      <c r="B82" s="635"/>
      <c r="C82" s="636"/>
      <c r="D82" s="636"/>
      <c r="E82" s="636"/>
      <c r="F82" s="637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18" t="str">
        <f>+Master!G247</f>
        <v>Jan - Dec</v>
      </c>
      <c r="T82" s="620">
        <f>+T8</f>
        <v>0</v>
      </c>
    </row>
    <row r="83" spans="1:21" ht="13.5" thickBot="1">
      <c r="B83" s="638"/>
      <c r="C83" s="639"/>
      <c r="D83" s="639"/>
      <c r="E83" s="639"/>
      <c r="F83" s="640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3" t="str">
        <f>+VLOOKUP(LEFT($A84,LEN(A84)-1)*1,Master!$D$30:$G$226,4,FALSE)</f>
        <v>Prihodi budžeta</v>
      </c>
      <c r="C84" s="664"/>
      <c r="D84" s="664"/>
      <c r="E84" s="664"/>
      <c r="F84" s="664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29" t="str">
        <f>+VLOOKUP(LEFT($A85,LEN(A85)-1)*1,Master!$D$30:$G$226,4,FALSE)</f>
        <v>Porezi</v>
      </c>
      <c r="C85" s="630"/>
      <c r="D85" s="630"/>
      <c r="E85" s="630"/>
      <c r="F85" s="630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1" t="str">
        <f>+VLOOKUP(LEFT($A86,LEN(A86)-1)*1,Master!$D$30:$G$229,4,FALSE)</f>
        <v>Porez na dohodak fizičkih lica</v>
      </c>
      <c r="C86" s="632"/>
      <c r="D86" s="632"/>
      <c r="E86" s="632"/>
      <c r="F86" s="632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1" t="str">
        <f>+VLOOKUP(LEFT($A87,LEN(A87)-1)*1,Master!$D$30:$G$229,4,FALSE)</f>
        <v>Porez na dobit pravnih lica</v>
      </c>
      <c r="C87" s="632"/>
      <c r="D87" s="632"/>
      <c r="E87" s="632"/>
      <c r="F87" s="632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1" t="str">
        <f>+VLOOKUP(LEFT($A88,LEN(A88)-1)*1,Master!$D$30:$G$229,4,FALSE)</f>
        <v>Porez na promet nepokretnosti</v>
      </c>
      <c r="C88" s="632"/>
      <c r="D88" s="632"/>
      <c r="E88" s="632"/>
      <c r="F88" s="632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1" t="str">
        <f>+VLOOKUP(LEFT($A89,LEN(A89)-1)*1,Master!$D$30:$G$229,4,FALSE)</f>
        <v>Porez na dodatu vrijednost</v>
      </c>
      <c r="C89" s="632"/>
      <c r="D89" s="632"/>
      <c r="E89" s="632"/>
      <c r="F89" s="632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1" t="str">
        <f>+VLOOKUP(LEFT($A90,LEN(A90)-1)*1,Master!$D$30:$G$229,4,FALSE)</f>
        <v>Akcize</v>
      </c>
      <c r="C90" s="632"/>
      <c r="D90" s="632"/>
      <c r="E90" s="632"/>
      <c r="F90" s="632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1" t="str">
        <f>+VLOOKUP(LEFT($A91,LEN(A91)-1)*1,Master!$D$30:$G$229,4,FALSE)</f>
        <v>Porez na međunarodnu trgovinu i transakcije</v>
      </c>
      <c r="C91" s="632"/>
      <c r="D91" s="632"/>
      <c r="E91" s="632"/>
      <c r="F91" s="632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1" t="str">
        <f>+VLOOKUP(LEFT($A92,LEN(A92)-1)*1,Master!$D$30:$G$229,4,FALSE)</f>
        <v>Ostali državni porezi</v>
      </c>
      <c r="C92" s="632"/>
      <c r="D92" s="632"/>
      <c r="E92" s="632"/>
      <c r="F92" s="632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1" t="str">
        <f>+VLOOKUP(LEFT($A93,LEN(A93)-1)*1,Master!$D$30:$G$229,4,FALSE)</f>
        <v>Doprinosi</v>
      </c>
      <c r="C93" s="662"/>
      <c r="D93" s="662"/>
      <c r="E93" s="662"/>
      <c r="F93" s="662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1" t="str">
        <f>+VLOOKUP(LEFT($A94,LEN(A94)-1)*1,Master!$D$30:$G$229,4,FALSE)</f>
        <v>Doprinosi za penzijsko i invalidsko osiguranje</v>
      </c>
      <c r="C94" s="632"/>
      <c r="D94" s="632"/>
      <c r="E94" s="632"/>
      <c r="F94" s="632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1" t="str">
        <f>+VLOOKUP(LEFT($A95,LEN(A95)-1)*1,Master!$D$30:$G$229,4,FALSE)</f>
        <v>Doprinosi za zdravstveno osiguranje</v>
      </c>
      <c r="C95" s="632"/>
      <c r="D95" s="632"/>
      <c r="E95" s="632"/>
      <c r="F95" s="632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1" t="str">
        <f>+VLOOKUP(LEFT($A96,LEN(A96)-1)*1,Master!$D$30:$G$229,4,FALSE)</f>
        <v>Doprinosi za osiguranje od nezaposlenosti</v>
      </c>
      <c r="C96" s="632"/>
      <c r="D96" s="632"/>
      <c r="E96" s="632"/>
      <c r="F96" s="632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1" t="str">
        <f>+VLOOKUP(LEFT($A97,LEN(A97)-1)*1,Master!$D$30:$G$229,4,FALSE)</f>
        <v>Ostali doprinosi</v>
      </c>
      <c r="C97" s="632"/>
      <c r="D97" s="632"/>
      <c r="E97" s="632"/>
      <c r="F97" s="632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41" t="str">
        <f>+VLOOKUP(LEFT($A98,LEN(A98)-1)*1,Master!$D$30:$G$229,4,FALSE)</f>
        <v>Takse</v>
      </c>
      <c r="C98" s="642"/>
      <c r="D98" s="642"/>
      <c r="E98" s="642"/>
      <c r="F98" s="642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41" t="str">
        <f>+VLOOKUP(LEFT($A99,LEN(A99)-1)*1,Master!$D$30:$G$229,4,FALSE)</f>
        <v>Naknade</v>
      </c>
      <c r="C99" s="642"/>
      <c r="D99" s="642"/>
      <c r="E99" s="642"/>
      <c r="F99" s="642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41" t="str">
        <f>+VLOOKUP(LEFT($A100,LEN(A100)-1)*1,Master!$D$30:$G$229,4,FALSE)</f>
        <v>Ostali prihodi</v>
      </c>
      <c r="C100" s="642"/>
      <c r="D100" s="642"/>
      <c r="E100" s="642"/>
      <c r="F100" s="642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41" t="str">
        <f>+VLOOKUP(LEFT($A101,LEN(A101)-1)*1,Master!$D$30:$G$229,4,FALSE)</f>
        <v>Primici od otplate kredita i sredstva prenesena iz prethodne godine</v>
      </c>
      <c r="C101" s="642"/>
      <c r="D101" s="642"/>
      <c r="E101" s="642"/>
      <c r="F101" s="642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3" t="str">
        <f>+VLOOKUP(LEFT($A102,LEN(A102)-1)*1,Master!$D$30:$G$229,4,FALSE)</f>
        <v>Donacije i transferi</v>
      </c>
      <c r="C102" s="644"/>
      <c r="D102" s="644"/>
      <c r="E102" s="644"/>
      <c r="F102" s="644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27" t="str">
        <f>+VLOOKUP(LEFT($A103,LEN(A103)-1)*1,Master!$D$30:$G$229,4,FALSE)</f>
        <v>Izdaci budžeta</v>
      </c>
      <c r="C103" s="628"/>
      <c r="D103" s="628"/>
      <c r="E103" s="628"/>
      <c r="F103" s="628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45" t="str">
        <f>+VLOOKUP(LEFT($A104,LEN(A104)-1)*1,Master!$D$30:$G$229,4,FALSE)</f>
        <v>Tekući izdaci</v>
      </c>
      <c r="C104" s="646"/>
      <c r="D104" s="646"/>
      <c r="E104" s="646"/>
      <c r="F104" s="646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1" t="str">
        <f>+VLOOKUP(LEFT($A105,LEN(A105)-1)*1,Master!$D$30:$G$229,4,FALSE)</f>
        <v>Bruto zarade i doprinosi na teret poslodavca</v>
      </c>
      <c r="C105" s="632"/>
      <c r="D105" s="632"/>
      <c r="E105" s="632"/>
      <c r="F105" s="632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1" t="str">
        <f>+VLOOKUP(LEFT($A106,LEN(A106)-1)*1,Master!$D$30:$G$229,4,FALSE)</f>
        <v>Ostala lična primanja</v>
      </c>
      <c r="C106" s="632"/>
      <c r="D106" s="632"/>
      <c r="E106" s="632"/>
      <c r="F106" s="632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1" t="str">
        <f>+VLOOKUP(LEFT($A107,LEN(A107)-1)*1,Master!$D$30:$G$229,4,FALSE)</f>
        <v>Rashodi za materijal</v>
      </c>
      <c r="C107" s="632"/>
      <c r="D107" s="632"/>
      <c r="E107" s="632"/>
      <c r="F107" s="632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1" t="str">
        <f>+VLOOKUP(LEFT($A108,LEN(A108)-1)*1,Master!$D$30:$G$229,4,FALSE)</f>
        <v>Rashodi za usluge</v>
      </c>
      <c r="C108" s="632"/>
      <c r="D108" s="632"/>
      <c r="E108" s="632"/>
      <c r="F108" s="632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1" t="str">
        <f>+VLOOKUP(LEFT($A109,LEN(A109)-1)*1,Master!$D$30:$G$229,4,FALSE)</f>
        <v>Rashodi za tekuće održavanje</v>
      </c>
      <c r="C109" s="632"/>
      <c r="D109" s="632"/>
      <c r="E109" s="632"/>
      <c r="F109" s="632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1" t="str">
        <f>+VLOOKUP(LEFT($A110,LEN(A110)-1)*1,Master!$D$30:$G$229,4,FALSE)</f>
        <v>Kamate</v>
      </c>
      <c r="C110" s="632"/>
      <c r="D110" s="632"/>
      <c r="E110" s="632"/>
      <c r="F110" s="632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1" t="str">
        <f>+VLOOKUP(LEFT($A111,LEN(A111)-1)*1,Master!$D$30:$G$229,4,FALSE)</f>
        <v>Renta</v>
      </c>
      <c r="C111" s="632"/>
      <c r="D111" s="632"/>
      <c r="E111" s="632"/>
      <c r="F111" s="632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1" t="str">
        <f>+VLOOKUP(LEFT($A112,LEN(A112)-1)*1,Master!$D$30:$G$229,4,FALSE)</f>
        <v>Subvencije</v>
      </c>
      <c r="C112" s="632"/>
      <c r="D112" s="632"/>
      <c r="E112" s="632"/>
      <c r="F112" s="632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1" t="str">
        <f>+VLOOKUP(LEFT($A113,LEN(A113)-1)*1,Master!$D$30:$G$229,4,FALSE)</f>
        <v>Ostali izdaci</v>
      </c>
      <c r="C113" s="632"/>
      <c r="D113" s="632"/>
      <c r="E113" s="632"/>
      <c r="F113" s="632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51" t="str">
        <f>+VLOOKUP(LEFT($A114,LEN(A114)-1)*1,Master!$D$30:$G$229,4,FALSE)</f>
        <v>Transferi za socijalnu zaštitu</v>
      </c>
      <c r="C114" s="652"/>
      <c r="D114" s="652"/>
      <c r="E114" s="652"/>
      <c r="F114" s="652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1" t="str">
        <f>+VLOOKUP(LEFT($A115,LEN(A115)-1)*1,Master!$D$30:$G$229,4,FALSE)</f>
        <v>Prava iz oblasti socijalne zaštite</v>
      </c>
      <c r="C115" s="632"/>
      <c r="D115" s="632"/>
      <c r="E115" s="632"/>
      <c r="F115" s="632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1" t="str">
        <f>+VLOOKUP(LEFT($A116,LEN(A116)-1)*1,Master!$D$30:$G$229,4,FALSE)</f>
        <v>Sredstva za tehnološke viškove</v>
      </c>
      <c r="C116" s="632"/>
      <c r="D116" s="632"/>
      <c r="E116" s="632"/>
      <c r="F116" s="632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1" t="str">
        <f>+VLOOKUP(LEFT($A117,LEN(A117)-1)*1,Master!$D$30:$G$229,4,FALSE)</f>
        <v>Prava iz oblasti penzijskog i invalidskog osiguranja</v>
      </c>
      <c r="C117" s="632"/>
      <c r="D117" s="632"/>
      <c r="E117" s="632"/>
      <c r="F117" s="632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1" t="str">
        <f>+VLOOKUP(LEFT($A118,LEN(A118)-1)*1,Master!$D$30:$G$229,4,FALSE)</f>
        <v>Ostala prava iz oblasti zdravstvene zaštite</v>
      </c>
      <c r="C118" s="632"/>
      <c r="D118" s="632"/>
      <c r="E118" s="632"/>
      <c r="F118" s="632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1" t="str">
        <f>+VLOOKUP(LEFT($A119,LEN(A119)-1)*1,Master!$D$30:$G$229,4,FALSE)</f>
        <v>Ostala prava iz zdravstvenog osiguranja</v>
      </c>
      <c r="C119" s="632"/>
      <c r="D119" s="632"/>
      <c r="E119" s="632"/>
      <c r="F119" s="632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47" t="str">
        <f>+VLOOKUP(LEFT($A120,LEN(A120)-1)*1,Master!$D$30:$G$229,4,FALSE)</f>
        <v xml:space="preserve">Transferi institucijama, pojedincima, nevladinom i javnom sektoru </v>
      </c>
      <c r="C120" s="648"/>
      <c r="D120" s="648"/>
      <c r="E120" s="648"/>
      <c r="F120" s="648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47" t="str">
        <f>+VLOOKUP(LEFT($A121,LEN(A121)-1)*1,Master!$D$30:$G$229,4,FALSE)</f>
        <v>Kapitalni izdaci</v>
      </c>
      <c r="C121" s="648"/>
      <c r="D121" s="648"/>
      <c r="E121" s="648"/>
      <c r="F121" s="648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49" t="str">
        <f>+VLOOKUP(LEFT($A122,LEN(A122)-1)*1,Master!$D$30:$G$229,4,FALSE)</f>
        <v>Pozajmice i krediti</v>
      </c>
      <c r="C122" s="650"/>
      <c r="D122" s="650"/>
      <c r="E122" s="650"/>
      <c r="F122" s="650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49" t="str">
        <f>+VLOOKUP(LEFT($A123,LEN(A123)-1)*1,Master!$D$30:$G$229,4,FALSE)</f>
        <v>Rezerve</v>
      </c>
      <c r="C123" s="650"/>
      <c r="D123" s="650"/>
      <c r="E123" s="650"/>
      <c r="F123" s="650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49" t="str">
        <f>+VLOOKUP(LEFT($A124,LEN(A124)-1)*1,Master!$D$30:$G$229,4,FALSE)</f>
        <v>Otplata garancija</v>
      </c>
      <c r="C124" s="650"/>
      <c r="D124" s="650"/>
      <c r="E124" s="650"/>
      <c r="F124" s="650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49" t="str">
        <f>+VLOOKUP(LEFT($A125,LEN(A125)-1)*1,Master!$D$30:$G$229,4,FALSE)</f>
        <v>Otplata obaveza iz prethodnog perioda</v>
      </c>
      <c r="C125" s="650"/>
      <c r="D125" s="650"/>
      <c r="E125" s="650"/>
      <c r="F125" s="650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49" t="str">
        <f>+VLOOKUP(LEFT($A126,LEN(A126)-1)*1,Master!$D$30:$G$229,4,FALSE)</f>
        <v>Neto povećanje obaveza</v>
      </c>
      <c r="C126" s="650"/>
      <c r="D126" s="650"/>
      <c r="E126" s="650"/>
      <c r="F126" s="650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57" t="str">
        <f>+VLOOKUP(LEFT($A127,LEN(A127)-1)*1,Master!$D$30:$G$226,4,FALSE)</f>
        <v>Suficit / deficit</v>
      </c>
      <c r="C127" s="658"/>
      <c r="D127" s="658"/>
      <c r="E127" s="658"/>
      <c r="F127" s="658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59" t="str">
        <f>+VLOOKUP(LEFT($A128,LEN(A128)-1)*1,Master!$D$30:$G$226,4,FALSE)</f>
        <v>Primarni suficit/deficit</v>
      </c>
      <c r="C128" s="660"/>
      <c r="D128" s="660"/>
      <c r="E128" s="660"/>
      <c r="F128" s="660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51" t="str">
        <f>+VLOOKUP(LEFT($A129,LEN(A129)-1)*1,Master!$D$30:$G$226,4,FALSE)</f>
        <v>Otplata dugova</v>
      </c>
      <c r="C129" s="652"/>
      <c r="D129" s="652"/>
      <c r="E129" s="652"/>
      <c r="F129" s="652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55" t="str">
        <f>+VLOOKUP(LEFT($A130,LEN(A130)-1)*1,Master!$D$30:$G$226,4,FALSE)</f>
        <v>Otplata hartija od vrijednosti i kredita rezidentima</v>
      </c>
      <c r="C130" s="656"/>
      <c r="D130" s="656"/>
      <c r="E130" s="656"/>
      <c r="F130" s="656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49" t="str">
        <f>+VLOOKUP(LEFT($A131,LEN(A131)-1)*1,Master!$D$30:$G$226,4,FALSE)</f>
        <v>Otplata hartija od vrijednosti i kredita nerezidentima</v>
      </c>
      <c r="C131" s="650"/>
      <c r="D131" s="650"/>
      <c r="E131" s="650"/>
      <c r="F131" s="650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27" t="str">
        <f>+VLOOKUP(LEFT($A132,LEN(A132)-1)*1,Master!$D$30:$G$226,4,FALSE)</f>
        <v>Izdaci za kupovinu hartija od vrijednosti</v>
      </c>
      <c r="C132" s="628"/>
      <c r="D132" s="628"/>
      <c r="E132" s="628"/>
      <c r="F132" s="628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3" t="str">
        <f>+VLOOKUP(LEFT($A133,LEN(A133)-1)*1,Master!$D$30:$G$226,4,FALSE)</f>
        <v>Nedostajuća sredstva</v>
      </c>
      <c r="C133" s="654"/>
      <c r="D133" s="654"/>
      <c r="E133" s="654"/>
      <c r="F133" s="654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27" t="str">
        <f>+VLOOKUP(LEFT($A134,LEN(A134)-1)*1,Master!$D$30:$G$226,4,FALSE)</f>
        <v>Finansiranje</v>
      </c>
      <c r="C134" s="628"/>
      <c r="D134" s="628"/>
      <c r="E134" s="628"/>
      <c r="F134" s="628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55" t="str">
        <f>+VLOOKUP(LEFT($A135,LEN(A135)-1)*1,Master!$D$30:$G$226,4,FALSE)</f>
        <v>Pozajmice i krediti od domaćih izvora</v>
      </c>
      <c r="C135" s="656"/>
      <c r="D135" s="656"/>
      <c r="E135" s="656"/>
      <c r="F135" s="656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49" t="str">
        <f>+VLOOKUP(LEFT($A136,LEN(A136)-1)*1,Master!$D$30:$G$226,4,FALSE)</f>
        <v>Pozajmice i krediti od inostranih izvora</v>
      </c>
      <c r="C136" s="650"/>
      <c r="D136" s="650"/>
      <c r="E136" s="650"/>
      <c r="F136" s="650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49" t="str">
        <f>+VLOOKUP(LEFT($A137,LEN(A137)-1)*1,Master!$D$30:$G$226,4,FALSE)</f>
        <v>Primici od prodaje imovine</v>
      </c>
      <c r="C137" s="650"/>
      <c r="D137" s="650"/>
      <c r="E137" s="650"/>
      <c r="F137" s="650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64" t="str">
        <f>+Master!G252</f>
        <v>Ostvarenje budžeta</v>
      </c>
      <c r="C7" s="565"/>
      <c r="D7" s="565"/>
      <c r="E7" s="565"/>
      <c r="F7" s="565"/>
      <c r="G7" s="573">
        <v>2020</v>
      </c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577"/>
      <c r="S7" s="220" t="str">
        <f>+Master!G249</f>
        <v>BDP</v>
      </c>
      <c r="T7" s="221">
        <v>4185600000</v>
      </c>
    </row>
    <row r="8" spans="1:20" ht="16.5" customHeight="1">
      <c r="A8" s="129"/>
      <c r="B8" s="566"/>
      <c r="C8" s="567"/>
      <c r="D8" s="567"/>
      <c r="E8" s="567"/>
      <c r="F8" s="568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3" t="str">
        <f>+Master!G247</f>
        <v>Jan - Dec</v>
      </c>
      <c r="T8" s="577"/>
    </row>
    <row r="9" spans="1:20" ht="13.5" thickBot="1">
      <c r="A9" s="129"/>
      <c r="B9" s="569"/>
      <c r="C9" s="570"/>
      <c r="D9" s="570"/>
      <c r="E9" s="570"/>
      <c r="F9" s="571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06" t="str">
        <f>+VLOOKUP($A10,Master!$D$30:$G$226,4,FALSE)</f>
        <v>Prihodi budžeta</v>
      </c>
      <c r="C10" s="607"/>
      <c r="D10" s="607"/>
      <c r="E10" s="607"/>
      <c r="F10" s="607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08" t="str">
        <f>+VLOOKUP($A11,Master!$D$30:$G$226,4,FALSE)</f>
        <v>Porezi</v>
      </c>
      <c r="C11" s="609"/>
      <c r="D11" s="609"/>
      <c r="E11" s="609"/>
      <c r="F11" s="609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94" t="str">
        <f>+VLOOKUP($A12,Master!$D$30:$G$226,4,FALSE)</f>
        <v>Porez na dohodak fizičkih lica</v>
      </c>
      <c r="C12" s="595"/>
      <c r="D12" s="595"/>
      <c r="E12" s="595"/>
      <c r="F12" s="595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94" t="str">
        <f>+VLOOKUP($A13,Master!$D$30:$G$226,4,FALSE)</f>
        <v>Porez na dobit pravnih lica</v>
      </c>
      <c r="C13" s="595"/>
      <c r="D13" s="595"/>
      <c r="E13" s="595"/>
      <c r="F13" s="595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94" t="str">
        <f>+VLOOKUP($A14,Master!$D$30:$G$226,4,FALSE)</f>
        <v>Porez na promet nepokretnosti</v>
      </c>
      <c r="C14" s="595"/>
      <c r="D14" s="595"/>
      <c r="E14" s="595"/>
      <c r="F14" s="595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94" t="str">
        <f>+VLOOKUP($A15,Master!$D$30:$G$226,4,FALSE)</f>
        <v>Porez na dodatu vrijednost</v>
      </c>
      <c r="C15" s="595"/>
      <c r="D15" s="595"/>
      <c r="E15" s="595"/>
      <c r="F15" s="595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94" t="str">
        <f>+VLOOKUP($A16,Master!$D$30:$G$226,4,FALSE)</f>
        <v>Akcize</v>
      </c>
      <c r="C16" s="595"/>
      <c r="D16" s="595"/>
      <c r="E16" s="595"/>
      <c r="F16" s="595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94" t="str">
        <f>+VLOOKUP($A17,Master!$D$30:$G$226,4,FALSE)</f>
        <v>Porez na međunarodnu trgovinu i transakcije</v>
      </c>
      <c r="C17" s="595"/>
      <c r="D17" s="595"/>
      <c r="E17" s="595"/>
      <c r="F17" s="595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94" t="str">
        <f>+VLOOKUP($A18,Master!$D$30:$G$226,4,FALSE)</f>
        <v>Ostali državni porezi</v>
      </c>
      <c r="C18" s="595"/>
      <c r="D18" s="595"/>
      <c r="E18" s="595"/>
      <c r="F18" s="595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04" t="str">
        <f>+VLOOKUP($A19,Master!$D$30:$G$226,4,FALSE)</f>
        <v>Doprinosi</v>
      </c>
      <c r="C19" s="605"/>
      <c r="D19" s="605"/>
      <c r="E19" s="605"/>
      <c r="F19" s="605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94" t="str">
        <f>+VLOOKUP($A20,Master!$D$30:$G$226,4,FALSE)</f>
        <v>Doprinosi za penzijsko i invalidsko osiguranje</v>
      </c>
      <c r="C20" s="595"/>
      <c r="D20" s="595"/>
      <c r="E20" s="595"/>
      <c r="F20" s="595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94" t="str">
        <f>+VLOOKUP($A21,Master!$D$30:$G$226,4,FALSE)</f>
        <v>Doprinosi za zdravstveno osiguranje</v>
      </c>
      <c r="C21" s="595"/>
      <c r="D21" s="595"/>
      <c r="E21" s="595"/>
      <c r="F21" s="595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94" t="str">
        <f>+VLOOKUP($A22,Master!$D$30:$G$226,4,FALSE)</f>
        <v>Doprinosi za osiguranje od nezaposlenosti</v>
      </c>
      <c r="C22" s="595"/>
      <c r="D22" s="595"/>
      <c r="E22" s="595"/>
      <c r="F22" s="595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94" t="str">
        <f>+VLOOKUP($A23,Master!$D$30:$G$226,4,FALSE)</f>
        <v>Ostali doprinosi</v>
      </c>
      <c r="C23" s="595"/>
      <c r="D23" s="595"/>
      <c r="E23" s="595"/>
      <c r="F23" s="595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96" t="str">
        <f>+VLOOKUP($A24,Master!$D$30:$G$226,4,FALSE)</f>
        <v>Takse</v>
      </c>
      <c r="C24" s="597"/>
      <c r="D24" s="597"/>
      <c r="E24" s="597"/>
      <c r="F24" s="597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96" t="str">
        <f>+VLOOKUP($A25,Master!$D$30:$G$226,4,FALSE)</f>
        <v>Naknade</v>
      </c>
      <c r="C25" s="597"/>
      <c r="D25" s="597"/>
      <c r="E25" s="597"/>
      <c r="F25" s="597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96" t="str">
        <f>+VLOOKUP($A26,Master!$D$30:$G$226,4,FALSE)</f>
        <v>Ostali prihodi</v>
      </c>
      <c r="C26" s="597"/>
      <c r="D26" s="597"/>
      <c r="E26" s="597"/>
      <c r="F26" s="597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96" t="str">
        <f>+VLOOKUP($A27,Master!$D$30:$G$226,4,FALSE)</f>
        <v>Primici od otplate kredita i sredstva prenesena iz prethodne godine</v>
      </c>
      <c r="C27" s="597"/>
      <c r="D27" s="597"/>
      <c r="E27" s="597"/>
      <c r="F27" s="597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98" t="str">
        <f>+VLOOKUP($A28,Master!$D$30:$G$226,4,FALSE)</f>
        <v>Donacije i transferi</v>
      </c>
      <c r="C28" s="599"/>
      <c r="D28" s="599"/>
      <c r="E28" s="599"/>
      <c r="F28" s="599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84" t="str">
        <f>+VLOOKUP($A29,Master!$D$30:$G$226,4,FALSE)</f>
        <v>Izdaci budžeta</v>
      </c>
      <c r="C29" s="585"/>
      <c r="D29" s="585"/>
      <c r="E29" s="585"/>
      <c r="F29" s="585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2" t="str">
        <f>+VLOOKUP($A30,Master!$D$30:$G$226,4,FALSE)</f>
        <v>Tekući izdaci</v>
      </c>
      <c r="C30" s="603"/>
      <c r="D30" s="603"/>
      <c r="E30" s="603"/>
      <c r="F30" s="603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94" t="str">
        <f>+VLOOKUP($A31,Master!$D$30:$G$226,4,FALSE)</f>
        <v>Bruto zarade i doprinosi na teret poslodavca</v>
      </c>
      <c r="C31" s="595"/>
      <c r="D31" s="595"/>
      <c r="E31" s="595"/>
      <c r="F31" s="595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94" t="str">
        <f>+VLOOKUP($A32,Master!$D$30:$G$226,4,FALSE)</f>
        <v>Ostala lična primanja</v>
      </c>
      <c r="C32" s="595"/>
      <c r="D32" s="595"/>
      <c r="E32" s="595"/>
      <c r="F32" s="595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94" t="str">
        <f>+VLOOKUP($A33,Master!$D$30:$G$226,4,FALSE)</f>
        <v>Rashodi za materijal</v>
      </c>
      <c r="C33" s="595"/>
      <c r="D33" s="595"/>
      <c r="E33" s="595"/>
      <c r="F33" s="595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2" t="str">
        <f>+VLOOKUP($A34,Master!$D$30:$G$226,4,FALSE)</f>
        <v>Rashodi za usluge</v>
      </c>
      <c r="C34" s="613"/>
      <c r="D34" s="613"/>
      <c r="E34" s="613"/>
      <c r="F34" s="613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94" t="str">
        <f>+VLOOKUP($A35,Master!$D$30:$G$226,4,FALSE)</f>
        <v>Rashodi za tekuće održavanje</v>
      </c>
      <c r="C35" s="595"/>
      <c r="D35" s="595"/>
      <c r="E35" s="595"/>
      <c r="F35" s="595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94" t="str">
        <f>+VLOOKUP($A36,Master!$D$30:$G$226,4,FALSE)</f>
        <v>Kamate</v>
      </c>
      <c r="C36" s="595"/>
      <c r="D36" s="595"/>
      <c r="E36" s="595"/>
      <c r="F36" s="595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94" t="str">
        <f>+VLOOKUP($A37,Master!$D$30:$G$226,4,FALSE)</f>
        <v>Renta</v>
      </c>
      <c r="C37" s="595"/>
      <c r="D37" s="595"/>
      <c r="E37" s="595"/>
      <c r="F37" s="595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94" t="str">
        <f>+VLOOKUP($A38,Master!$D$30:$G$226,4,FALSE)</f>
        <v>Subvencije</v>
      </c>
      <c r="C38" s="595"/>
      <c r="D38" s="595"/>
      <c r="E38" s="595"/>
      <c r="F38" s="595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2" t="str">
        <f>+VLOOKUP($A39,Master!$D$30:$G$226,4,FALSE)</f>
        <v>Ostali izdaci</v>
      </c>
      <c r="C39" s="613"/>
      <c r="D39" s="613"/>
      <c r="E39" s="613"/>
      <c r="F39" s="613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90" t="str">
        <f>+VLOOKUP($A40,Master!$D$30:$G$226,4,FALSE)</f>
        <v>Transferi za socijalnu zaštitu</v>
      </c>
      <c r="C40" s="591"/>
      <c r="D40" s="591"/>
      <c r="E40" s="591"/>
      <c r="F40" s="591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94" t="str">
        <f>+VLOOKUP($A41,Master!$D$30:$G$226,4,FALSE)</f>
        <v>Prava iz oblasti socijalne zaštite</v>
      </c>
      <c r="C41" s="595"/>
      <c r="D41" s="595"/>
      <c r="E41" s="595"/>
      <c r="F41" s="595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94" t="str">
        <f>+VLOOKUP($A42,Master!$D$30:$G$226,4,FALSE)</f>
        <v>Sredstva za tehnološke viškove</v>
      </c>
      <c r="C42" s="595"/>
      <c r="D42" s="595"/>
      <c r="E42" s="595"/>
      <c r="F42" s="595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94" t="str">
        <f>+VLOOKUP($A43,Master!$D$30:$G$226,4,FALSE)</f>
        <v>Prava iz oblasti penzijskog i invalidskog osiguranja</v>
      </c>
      <c r="C43" s="595"/>
      <c r="D43" s="595"/>
      <c r="E43" s="595"/>
      <c r="F43" s="595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94" t="str">
        <f>+VLOOKUP($A44,Master!$D$30:$G$226,4,FALSE)</f>
        <v>Ostala prava iz oblasti zdravstvene zaštite</v>
      </c>
      <c r="C44" s="595"/>
      <c r="D44" s="595"/>
      <c r="E44" s="595"/>
      <c r="F44" s="595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4" t="str">
        <f>+VLOOKUP($A45,Master!$D$30:$G$226,4,FALSE)</f>
        <v>Ostala prava iz zdravstvenog osiguranja</v>
      </c>
      <c r="C45" s="615"/>
      <c r="D45" s="615"/>
      <c r="E45" s="615"/>
      <c r="F45" s="615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2" t="str">
        <f>+VLOOKUP($A46,Master!$D$30:$G$226,4,FALSE)</f>
        <v xml:space="preserve">Transferi institucijama, pojedincima, nevladinom i javnom sektoru </v>
      </c>
      <c r="C46" s="593"/>
      <c r="D46" s="593"/>
      <c r="E46" s="593"/>
      <c r="F46" s="593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2" t="str">
        <f>+VLOOKUP($A47,Master!$D$30:$G$226,4,FALSE)</f>
        <v>Kapitalni izdaci</v>
      </c>
      <c r="C47" s="593"/>
      <c r="D47" s="593"/>
      <c r="E47" s="593"/>
      <c r="F47" s="593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16" t="str">
        <f>+VLOOKUP($A48,Master!$D$30:$G$226,4,FALSE)</f>
        <v>Pozajmice i krediti</v>
      </c>
      <c r="C48" s="617"/>
      <c r="D48" s="617"/>
      <c r="E48" s="617"/>
      <c r="F48" s="617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21" t="str">
        <f>+VLOOKUP($A49,Master!$D$30:$G$226,4,FALSE)</f>
        <v>Rezerve</v>
      </c>
      <c r="C49" s="622"/>
      <c r="D49" s="622"/>
      <c r="E49" s="622"/>
      <c r="F49" s="622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0" t="str">
        <f>+VLOOKUP($A50,Master!$D$30:$G$226,4,FALSE)</f>
        <v>Otplata garancija</v>
      </c>
      <c r="C50" s="581"/>
      <c r="D50" s="581"/>
      <c r="E50" s="581"/>
      <c r="F50" s="581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3" t="str">
        <f>+VLOOKUP($A51,Master!$D$30:$G$226,4,TRUE)</f>
        <v>Otplata obaveza iz prethodnog perioda</v>
      </c>
      <c r="C51" s="624"/>
      <c r="D51" s="624"/>
      <c r="E51" s="624"/>
      <c r="F51" s="624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25" t="str">
        <f>+VLOOKUP($A52,Master!$D$30:$G$228,4,FALSE)</f>
        <v>Neto povećanje obaveza</v>
      </c>
      <c r="C52" s="626"/>
      <c r="D52" s="626"/>
      <c r="E52" s="626"/>
      <c r="F52" s="626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78" t="str">
        <f>+VLOOKUP($A56,Master!$D$30:$G$226,4,FALSE)</f>
        <v>Otplata hartija od vrijednosti i kredita rezidentima</v>
      </c>
      <c r="C56" s="579"/>
      <c r="D56" s="579"/>
      <c r="E56" s="579"/>
      <c r="F56" s="579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2" t="str">
        <f>+VLOOKUP($A57,Master!$D$30:$G$226,4,FALSE)</f>
        <v>Otplata hartija od vrijednosti i kredita nerezidentima</v>
      </c>
      <c r="C57" s="563"/>
      <c r="D57" s="563"/>
      <c r="E57" s="563"/>
      <c r="F57" s="563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600" t="str">
        <f>+VLOOKUP($A58,Master!$D$30:$G$226,4,FALSE)</f>
        <v>Izdaci za kupovinu hartija od vrijednosti</v>
      </c>
      <c r="C58" s="601"/>
      <c r="D58" s="601"/>
      <c r="E58" s="601"/>
      <c r="F58" s="601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2" t="str">
        <f>+VLOOKUP($A59,Master!$D$30:$G$226,4,FALSE)</f>
        <v>Nedostajuća sredstva</v>
      </c>
      <c r="C59" s="583"/>
      <c r="D59" s="583"/>
      <c r="E59" s="583"/>
      <c r="F59" s="583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84" t="str">
        <f>+VLOOKUP($A60,Master!$D$30:$G$226,4,FALSE)</f>
        <v>Finansiranje</v>
      </c>
      <c r="C60" s="585"/>
      <c r="D60" s="585"/>
      <c r="E60" s="585"/>
      <c r="F60" s="585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78" t="str">
        <f>+VLOOKUP($A61,Master!$D$30:$G$226,4,FALSE)</f>
        <v>Pozajmice i krediti od domaćih izvora</v>
      </c>
      <c r="C61" s="579"/>
      <c r="D61" s="579"/>
      <c r="E61" s="579"/>
      <c r="F61" s="579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2" t="str">
        <f>+VLOOKUP($A62,Master!$D$30:$G$226,4,FALSE)</f>
        <v>Pozajmice i krediti od inostranih izvora</v>
      </c>
      <c r="C62" s="563"/>
      <c r="D62" s="563"/>
      <c r="E62" s="563"/>
      <c r="F62" s="563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2" t="str">
        <f>+VLOOKUP($A63,Master!$D$30:$G$226,4,FALSE)</f>
        <v>Primici od prodaje imovine</v>
      </c>
      <c r="C63" s="563"/>
      <c r="D63" s="563"/>
      <c r="E63" s="563"/>
      <c r="F63" s="563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3" t="str">
        <f>+Master!G253</f>
        <v>Plan ostvarenja budžeta</v>
      </c>
      <c r="C100" s="634"/>
      <c r="D100" s="634"/>
      <c r="E100" s="634"/>
      <c r="F100" s="634"/>
      <c r="G100" s="618">
        <v>2020</v>
      </c>
      <c r="H100" s="619"/>
      <c r="I100" s="619"/>
      <c r="J100" s="619"/>
      <c r="K100" s="619"/>
      <c r="L100" s="619"/>
      <c r="M100" s="619"/>
      <c r="N100" s="619"/>
      <c r="O100" s="619"/>
      <c r="P100" s="619"/>
      <c r="Q100" s="619"/>
      <c r="R100" s="620"/>
      <c r="S100" s="96" t="str">
        <f>+S7</f>
        <v>BDP</v>
      </c>
      <c r="T100" s="97">
        <v>4607300000</v>
      </c>
    </row>
    <row r="101" spans="1:21" ht="15.75" customHeight="1">
      <c r="B101" s="635"/>
      <c r="C101" s="636"/>
      <c r="D101" s="636"/>
      <c r="E101" s="636"/>
      <c r="F101" s="637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18" t="str">
        <f>+Master!G247</f>
        <v>Jan - Dec</v>
      </c>
      <c r="T101" s="620">
        <f>+T8</f>
        <v>0</v>
      </c>
    </row>
    <row r="102" spans="1:21" ht="13.5" thickBot="1">
      <c r="B102" s="638"/>
      <c r="C102" s="639"/>
      <c r="D102" s="639"/>
      <c r="E102" s="639"/>
      <c r="F102" s="640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3" t="str">
        <f>+VLOOKUP(LEFT($A103,LEN(A103)-1)*1,Master!$D$30:$G$226,4,FALSE)</f>
        <v>Prihodi budžeta</v>
      </c>
      <c r="C103" s="664"/>
      <c r="D103" s="664"/>
      <c r="E103" s="664"/>
      <c r="F103" s="664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29" t="str">
        <f>+VLOOKUP(LEFT($A104,LEN(A104)-1)*1,Master!$D$30:$G$226,4,FALSE)</f>
        <v>Porezi</v>
      </c>
      <c r="C104" s="630"/>
      <c r="D104" s="630"/>
      <c r="E104" s="630"/>
      <c r="F104" s="630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1" t="str">
        <f>+VLOOKUP(LEFT($A105,LEN(A105)-1)*1,Master!$D$30:$G$229,4,FALSE)</f>
        <v>Porez na dohodak fizičkih lica</v>
      </c>
      <c r="C105" s="632"/>
      <c r="D105" s="632"/>
      <c r="E105" s="632"/>
      <c r="F105" s="632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1" t="str">
        <f>+VLOOKUP(LEFT($A106,LEN(A106)-1)*1,Master!$D$30:$G$229,4,FALSE)</f>
        <v>Porez na dobit pravnih lica</v>
      </c>
      <c r="C106" s="632"/>
      <c r="D106" s="632"/>
      <c r="E106" s="632"/>
      <c r="F106" s="632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1" t="str">
        <f>+VLOOKUP(LEFT($A107,LEN(A107)-1)*1,Master!$D$30:$G$229,4,FALSE)</f>
        <v>Porez na promet nepokretnosti</v>
      </c>
      <c r="C107" s="632"/>
      <c r="D107" s="632"/>
      <c r="E107" s="632"/>
      <c r="F107" s="632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1" t="str">
        <f>+VLOOKUP(LEFT($A108,LEN(A108)-1)*1,Master!$D$30:$G$229,4,FALSE)</f>
        <v>Porez na dodatu vrijednost</v>
      </c>
      <c r="C108" s="632"/>
      <c r="D108" s="632"/>
      <c r="E108" s="632"/>
      <c r="F108" s="632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1" t="str">
        <f>+VLOOKUP(LEFT($A109,LEN(A109)-1)*1,Master!$D$30:$G$229,4,FALSE)</f>
        <v>Akcize</v>
      </c>
      <c r="C109" s="632"/>
      <c r="D109" s="632"/>
      <c r="E109" s="632"/>
      <c r="F109" s="632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1" t="str">
        <f>+VLOOKUP(LEFT($A110,LEN(A110)-1)*1,Master!$D$30:$G$229,4,FALSE)</f>
        <v>Porez na međunarodnu trgovinu i transakcije</v>
      </c>
      <c r="C110" s="632"/>
      <c r="D110" s="632"/>
      <c r="E110" s="632"/>
      <c r="F110" s="632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1" t="str">
        <f>+VLOOKUP(LEFT($A111,LEN(A111)-1)*1,Master!$D$30:$G$229,4,FALSE)</f>
        <v>Ostali državni porezi</v>
      </c>
      <c r="C111" s="632"/>
      <c r="D111" s="632"/>
      <c r="E111" s="632"/>
      <c r="F111" s="632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1" t="str">
        <f>+VLOOKUP(LEFT($A112,LEN(A112)-1)*1,Master!$D$30:$G$229,4,FALSE)</f>
        <v>Doprinosi</v>
      </c>
      <c r="C112" s="662"/>
      <c r="D112" s="662"/>
      <c r="E112" s="662"/>
      <c r="F112" s="662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1" t="str">
        <f>+VLOOKUP(LEFT($A113,LEN(A113)-1)*1,Master!$D$30:$G$229,4,FALSE)</f>
        <v>Doprinosi za penzijsko i invalidsko osiguranje</v>
      </c>
      <c r="C113" s="632"/>
      <c r="D113" s="632"/>
      <c r="E113" s="632"/>
      <c r="F113" s="632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1" t="str">
        <f>+VLOOKUP(LEFT($A114,LEN(A114)-1)*1,Master!$D$30:$G$229,4,FALSE)</f>
        <v>Doprinosi za zdravstveno osiguranje</v>
      </c>
      <c r="C114" s="632"/>
      <c r="D114" s="632"/>
      <c r="E114" s="632"/>
      <c r="F114" s="632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1" t="str">
        <f>+VLOOKUP(LEFT($A115,LEN(A115)-1)*1,Master!$D$30:$G$229,4,FALSE)</f>
        <v>Doprinosi za osiguranje od nezaposlenosti</v>
      </c>
      <c r="C115" s="632"/>
      <c r="D115" s="632"/>
      <c r="E115" s="632"/>
      <c r="F115" s="632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1" t="str">
        <f>+VLOOKUP(LEFT($A116,LEN(A116)-1)*1,Master!$D$30:$G$229,4,FALSE)</f>
        <v>Ostali doprinosi</v>
      </c>
      <c r="C116" s="632"/>
      <c r="D116" s="632"/>
      <c r="E116" s="632"/>
      <c r="F116" s="632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41" t="str">
        <f>+VLOOKUP(LEFT($A117,LEN(A117)-1)*1,Master!$D$30:$G$229,4,FALSE)</f>
        <v>Takse</v>
      </c>
      <c r="C117" s="642"/>
      <c r="D117" s="642"/>
      <c r="E117" s="642"/>
      <c r="F117" s="642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41" t="str">
        <f>+VLOOKUP(LEFT($A118,LEN(A118)-1)*1,Master!$D$30:$G$229,4,FALSE)</f>
        <v>Naknade</v>
      </c>
      <c r="C118" s="642"/>
      <c r="D118" s="642"/>
      <c r="E118" s="642"/>
      <c r="F118" s="642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41" t="str">
        <f>+VLOOKUP(LEFT($A119,LEN(A119)-1)*1,Master!$D$30:$G$229,4,FALSE)</f>
        <v>Ostali prihodi</v>
      </c>
      <c r="C119" s="642"/>
      <c r="D119" s="642"/>
      <c r="E119" s="642"/>
      <c r="F119" s="642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41" t="str">
        <f>+VLOOKUP(LEFT($A120,LEN(A120)-1)*1,Master!$D$30:$G$229,4,FALSE)</f>
        <v>Primici od otplate kredita i sredstva prenesena iz prethodne godine</v>
      </c>
      <c r="C120" s="642"/>
      <c r="D120" s="642"/>
      <c r="E120" s="642"/>
      <c r="F120" s="642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3" t="str">
        <f>+VLOOKUP(LEFT($A121,LEN(A121)-1)*1,Master!$D$30:$G$229,4,FALSE)</f>
        <v>Donacije i transferi</v>
      </c>
      <c r="C121" s="644"/>
      <c r="D121" s="644"/>
      <c r="E121" s="644"/>
      <c r="F121" s="644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27" t="str">
        <f>+VLOOKUP(LEFT($A122,LEN(A122)-1)*1,Master!$D$30:$G$229,4,FALSE)</f>
        <v>Izdaci budžeta</v>
      </c>
      <c r="C122" s="628"/>
      <c r="D122" s="628"/>
      <c r="E122" s="628"/>
      <c r="F122" s="628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45" t="str">
        <f>+VLOOKUP(LEFT($A123,LEN(A123)-1)*1,Master!$D$30:$G$229,4,FALSE)</f>
        <v>Tekući izdaci</v>
      </c>
      <c r="C123" s="646"/>
      <c r="D123" s="646"/>
      <c r="E123" s="646"/>
      <c r="F123" s="646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1" t="str">
        <f>+VLOOKUP(LEFT($A124,LEN(A124)-1)*1,Master!$D$30:$G$229,4,FALSE)</f>
        <v>Bruto zarade i doprinosi na teret poslodavca</v>
      </c>
      <c r="C124" s="632"/>
      <c r="D124" s="632"/>
      <c r="E124" s="632"/>
      <c r="F124" s="632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1" t="str">
        <f>+VLOOKUP(LEFT($A125,LEN(A125)-1)*1,Master!$D$30:$G$229,4,FALSE)</f>
        <v>Ostala lična primanja</v>
      </c>
      <c r="C125" s="632"/>
      <c r="D125" s="632"/>
      <c r="E125" s="632"/>
      <c r="F125" s="632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1" t="str">
        <f>+VLOOKUP(LEFT($A126,LEN(A126)-1)*1,Master!$D$30:$G$229,4,FALSE)</f>
        <v>Rashodi za materijal</v>
      </c>
      <c r="C126" s="632"/>
      <c r="D126" s="632"/>
      <c r="E126" s="632"/>
      <c r="F126" s="632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1" t="str">
        <f>+VLOOKUP(LEFT($A127,LEN(A127)-1)*1,Master!$D$30:$G$229,4,FALSE)</f>
        <v>Rashodi za usluge</v>
      </c>
      <c r="C127" s="632"/>
      <c r="D127" s="632"/>
      <c r="E127" s="632"/>
      <c r="F127" s="632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1" t="str">
        <f>+VLOOKUP(LEFT($A128,LEN(A128)-1)*1,Master!$D$30:$G$229,4,FALSE)</f>
        <v>Rashodi za tekuće održavanje</v>
      </c>
      <c r="C128" s="632"/>
      <c r="D128" s="632"/>
      <c r="E128" s="632"/>
      <c r="F128" s="632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1" t="str">
        <f>+VLOOKUP(LEFT($A129,LEN(A129)-1)*1,Master!$D$30:$G$229,4,FALSE)</f>
        <v>Kamate</v>
      </c>
      <c r="C129" s="632"/>
      <c r="D129" s="632"/>
      <c r="E129" s="632"/>
      <c r="F129" s="632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1" t="str">
        <f>+VLOOKUP(LEFT($A130,LEN(A130)-1)*1,Master!$D$30:$G$229,4,FALSE)</f>
        <v>Renta</v>
      </c>
      <c r="C130" s="632"/>
      <c r="D130" s="632"/>
      <c r="E130" s="632"/>
      <c r="F130" s="632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1" t="str">
        <f>+VLOOKUP(LEFT($A131,LEN(A131)-1)*1,Master!$D$30:$G$229,4,FALSE)</f>
        <v>Subvencije</v>
      </c>
      <c r="C131" s="632"/>
      <c r="D131" s="632"/>
      <c r="E131" s="632"/>
      <c r="F131" s="632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1" t="str">
        <f>+VLOOKUP(LEFT($A132,LEN(A132)-1)*1,Master!$D$30:$G$229,4,FALSE)</f>
        <v>Ostali izdaci</v>
      </c>
      <c r="C132" s="632"/>
      <c r="D132" s="632"/>
      <c r="E132" s="632"/>
      <c r="F132" s="632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51" t="str">
        <f>+VLOOKUP(LEFT($A133,LEN(A133)-1)*1,Master!$D$30:$G$229,4,FALSE)</f>
        <v>Transferi za socijalnu zaštitu</v>
      </c>
      <c r="C133" s="652"/>
      <c r="D133" s="652"/>
      <c r="E133" s="652"/>
      <c r="F133" s="652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1" t="str">
        <f>+VLOOKUP(LEFT($A134,LEN(A134)-1)*1,Master!$D$30:$G$229,4,FALSE)</f>
        <v>Prava iz oblasti socijalne zaštite</v>
      </c>
      <c r="C134" s="632"/>
      <c r="D134" s="632"/>
      <c r="E134" s="632"/>
      <c r="F134" s="632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1" t="str">
        <f>+VLOOKUP(LEFT($A135,LEN(A135)-1)*1,Master!$D$30:$G$229,4,FALSE)</f>
        <v>Sredstva za tehnološke viškove</v>
      </c>
      <c r="C135" s="632"/>
      <c r="D135" s="632"/>
      <c r="E135" s="632"/>
      <c r="F135" s="632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1" t="str">
        <f>+VLOOKUP(LEFT($A136,LEN(A136)-1)*1,Master!$D$30:$G$229,4,FALSE)</f>
        <v>Prava iz oblasti penzijskog i invalidskog osiguranja</v>
      </c>
      <c r="C136" s="632"/>
      <c r="D136" s="632"/>
      <c r="E136" s="632"/>
      <c r="F136" s="632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1" t="str">
        <f>+VLOOKUP(LEFT($A137,LEN(A137)-1)*1,Master!$D$30:$G$229,4,FALSE)</f>
        <v>Ostala prava iz oblasti zdravstvene zaštite</v>
      </c>
      <c r="C137" s="632"/>
      <c r="D137" s="632"/>
      <c r="E137" s="632"/>
      <c r="F137" s="632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1" t="str">
        <f>+VLOOKUP(LEFT($A138,LEN(A138)-1)*1,Master!$D$30:$G$229,4,FALSE)</f>
        <v>Ostala prava iz zdravstvenog osiguranja</v>
      </c>
      <c r="C138" s="632"/>
      <c r="D138" s="632"/>
      <c r="E138" s="632"/>
      <c r="F138" s="632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47" t="str">
        <f>+VLOOKUP(LEFT($A139,LEN(A139)-1)*1,Master!$D$30:$G$229,4,FALSE)</f>
        <v xml:space="preserve">Transferi institucijama, pojedincima, nevladinom i javnom sektoru </v>
      </c>
      <c r="C139" s="648"/>
      <c r="D139" s="648"/>
      <c r="E139" s="648"/>
      <c r="F139" s="648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47" t="str">
        <f>+VLOOKUP(LEFT($A140,LEN(A140)-1)*1,Master!$D$30:$G$229,4,FALSE)</f>
        <v>Kapitalni izdaci</v>
      </c>
      <c r="C140" s="648"/>
      <c r="D140" s="648"/>
      <c r="E140" s="648"/>
      <c r="F140" s="648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49" t="str">
        <f>+VLOOKUP(LEFT($A141,LEN(A141)-1)*1,Master!$D$30:$G$229,4,FALSE)</f>
        <v>Pozajmice i krediti</v>
      </c>
      <c r="C141" s="650"/>
      <c r="D141" s="650"/>
      <c r="E141" s="650"/>
      <c r="F141" s="650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49" t="str">
        <f>+VLOOKUP(LEFT($A142,LEN(A142)-1)*1,Master!$D$30:$G$229,4,FALSE)</f>
        <v>Rezerve</v>
      </c>
      <c r="C142" s="650"/>
      <c r="D142" s="650"/>
      <c r="E142" s="650"/>
      <c r="F142" s="650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49" t="str">
        <f>+VLOOKUP(LEFT($A143,LEN(A143)-1)*1,Master!$D$30:$G$229,4,FALSE)</f>
        <v>Otplata garancija</v>
      </c>
      <c r="C143" s="650"/>
      <c r="D143" s="650"/>
      <c r="E143" s="650"/>
      <c r="F143" s="650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49" t="str">
        <f>+VLOOKUP(LEFT($A144,LEN(A144)-1)*1,Master!$D$30:$G$229,4,FALSE)</f>
        <v>Otplata obaveza iz prethodnog perioda</v>
      </c>
      <c r="C144" s="650"/>
      <c r="D144" s="650"/>
      <c r="E144" s="650"/>
      <c r="F144" s="650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49" t="str">
        <f>+VLOOKUP(LEFT($A145,LEN(A145)-1)*1,Master!$D$30:$G$229,4,FALSE)</f>
        <v>Neto povećanje obaveza</v>
      </c>
      <c r="C145" s="650"/>
      <c r="D145" s="650"/>
      <c r="E145" s="650"/>
      <c r="F145" s="650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57" t="str">
        <f>+VLOOKUP(LEFT($A146,LEN(A146)-1)*1,Master!$D$30:$G$226,4,FALSE)</f>
        <v>Suficit / deficit</v>
      </c>
      <c r="C146" s="658"/>
      <c r="D146" s="658"/>
      <c r="E146" s="658"/>
      <c r="F146" s="658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59" t="str">
        <f>+VLOOKUP(LEFT($A147,LEN(A147)-1)*1,Master!$D$30:$G$226,4,FALSE)</f>
        <v>Primarni suficit/deficit</v>
      </c>
      <c r="C147" s="660"/>
      <c r="D147" s="660"/>
      <c r="E147" s="660"/>
      <c r="F147" s="660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51" t="str">
        <f>+VLOOKUP(LEFT($A148,LEN(A148)-1)*1,Master!$D$30:$G$226,4,FALSE)</f>
        <v>Otplata dugova</v>
      </c>
      <c r="C148" s="652"/>
      <c r="D148" s="652"/>
      <c r="E148" s="652"/>
      <c r="F148" s="652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55" t="str">
        <f>+VLOOKUP(LEFT($A149,LEN(A149)-1)*1,Master!$D$30:$G$226,4,FALSE)</f>
        <v>Otplata hartija od vrijednosti i kredita rezidentima</v>
      </c>
      <c r="C149" s="656"/>
      <c r="D149" s="656"/>
      <c r="E149" s="656"/>
      <c r="F149" s="656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49" t="str">
        <f>+VLOOKUP(LEFT($A150,LEN(A150)-1)*1,Master!$D$30:$G$226,4,FALSE)</f>
        <v>Otplata hartija od vrijednosti i kredita nerezidentima</v>
      </c>
      <c r="C150" s="650"/>
      <c r="D150" s="650"/>
      <c r="E150" s="650"/>
      <c r="F150" s="650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27" t="str">
        <f>+VLOOKUP(LEFT($A151,LEN(A151)-1)*1,Master!$D$30:$G$226,4,FALSE)</f>
        <v>Izdaci za kupovinu hartija od vrijednosti</v>
      </c>
      <c r="C151" s="628"/>
      <c r="D151" s="628"/>
      <c r="E151" s="628"/>
      <c r="F151" s="628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3" t="str">
        <f>+VLOOKUP(LEFT($A152,LEN(A152)-1)*1,Master!$D$30:$G$226,4,FALSE)</f>
        <v>Nedostajuća sredstva</v>
      </c>
      <c r="C152" s="654"/>
      <c r="D152" s="654"/>
      <c r="E152" s="654"/>
      <c r="F152" s="654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27" t="str">
        <f>+VLOOKUP(LEFT($A153,LEN(A153)-1)*1,Master!$D$30:$G$226,4,FALSE)</f>
        <v>Finansiranje</v>
      </c>
      <c r="C153" s="628"/>
      <c r="D153" s="628"/>
      <c r="E153" s="628"/>
      <c r="F153" s="628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55" t="str">
        <f>+VLOOKUP(LEFT($A154,LEN(A154)-1)*1,Master!$D$30:$G$226,4,FALSE)</f>
        <v>Pozajmice i krediti od domaćih izvora</v>
      </c>
      <c r="C154" s="656"/>
      <c r="D154" s="656"/>
      <c r="E154" s="656"/>
      <c r="F154" s="656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49" t="str">
        <f>+VLOOKUP(LEFT($A155,LEN(A155)-1)*1,Master!$D$30:$G$226,4,FALSE)</f>
        <v>Pozajmice i krediti od inostranih izvora</v>
      </c>
      <c r="C155" s="650"/>
      <c r="D155" s="650"/>
      <c r="E155" s="650"/>
      <c r="F155" s="650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49" t="str">
        <f>+VLOOKUP(LEFT($A156,LEN(A156)-1)*1,Master!$D$30:$G$226,4,FALSE)</f>
        <v>Primici od prodaje imovine</v>
      </c>
      <c r="C156" s="650"/>
      <c r="D156" s="650"/>
      <c r="E156" s="650"/>
      <c r="F156" s="650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2024-06-26T14:13:15Z</cp:lastPrinted>
  <dcterms:created xsi:type="dcterms:W3CDTF">2014-09-15T13:41:17Z</dcterms:created>
  <dcterms:modified xsi:type="dcterms:W3CDTF">2025-07-31T06:40:51Z</dcterms:modified>
</cp:coreProperties>
</file>