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updateLinks="always" codeName="ThisWorkbook" defaultThemeVersion="124226"/>
  <mc:AlternateContent xmlns:mc="http://schemas.openxmlformats.org/markup-compatibility/2006">
    <mc:Choice Requires="x15">
      <x15ac:absPath xmlns:x15ac="http://schemas.microsoft.com/office/spreadsheetml/2010/11/ac" url="C:\Users\milica.rahovic\Desktop\NOVO\Analiza konsolidovane javne potrošnje\III kvartal\"/>
    </mc:Choice>
  </mc:AlternateContent>
  <xr:revisionPtr revIDLastSave="0" documentId="13_ncr:1_{05992F35-A16E-4849-BD70-FE804B27C482}" xr6:coauthVersionLast="36" xr6:coauthVersionMax="36" xr10:uidLastSave="{00000000-0000-0000-0000-000000000000}"/>
  <workbookProtection workbookAlgorithmName="SHA-512" workbookHashValue="U0Zt6j3MJMiX083PeojI5Oir6JWHxlEDlMR+Z+pmAn5B5Y9btdZxnk4nGoLRhk2v/MuU3/84UU5jeSV30ev7fw==" workbookSaltValue="7mTQf/fELNkj/k3gvkzHUQ==" workbookSpinCount="100000" lockStructure="1"/>
  <bookViews>
    <workbookView xWindow="0" yWindow="0" windowWidth="28800" windowHeight="10905" xr2:uid="{00000000-000D-0000-FFFF-FFFF0000000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91029"/>
  <customWorkbookViews>
    <customWorkbookView name="iva.vukovic - Personal View" guid="{E484E83A-8AE1-4ACE-A5D4-7D98A52A9B4B}" mergeInterval="0" personalView="1" maximized="1" windowWidth="1276" windowHeight="856" tabRatio="796" activeSheetId="3"/>
    <customWorkbookView name="pc - Personal View" guid="{5F444141-AB98-4370-9413-F1F0A45DC16B}" mergeInterval="0" personalView="1" maximized="1" windowWidth="1276" windowHeight="874" activeSheetId="5"/>
    <customWorkbookView name="RATKO - Personal View" guid="{A4D59F75-8091-4878-A19C-E6F7EFCC98D0}" mergeInterval="0" personalView="1" maximized="1" windowWidth="1276" windowHeight="850" activeSheetId="5"/>
  </customWorkbookViews>
  <fileRecoveryPr autoRecover="0"/>
</workbook>
</file>

<file path=xl/calcChain.xml><?xml version="1.0" encoding="utf-8"?>
<calcChain xmlns="http://schemas.openxmlformats.org/spreadsheetml/2006/main">
  <c r="I2" i="44" l="1"/>
  <c r="D74" i="10" l="1"/>
  <c r="D75" i="10"/>
  <c r="D76" i="10"/>
  <c r="D77" i="10"/>
  <c r="I32" i="10" l="1"/>
  <c r="I25" i="10"/>
  <c r="I20" i="10"/>
  <c r="I15" i="10"/>
  <c r="I7" i="10"/>
  <c r="E32" i="10"/>
  <c r="E25" i="10"/>
  <c r="E20" i="10"/>
  <c r="E15" i="10"/>
  <c r="E7" i="10"/>
  <c r="C32" i="10"/>
  <c r="C25" i="10"/>
  <c r="C20" i="10"/>
  <c r="C15" i="10"/>
  <c r="C7" i="10"/>
  <c r="C6" i="10" l="1"/>
  <c r="I6" i="10"/>
  <c r="E6" i="10"/>
  <c r="E50" i="10"/>
  <c r="L51" i="43" l="1"/>
  <c r="L52" i="43"/>
  <c r="H51" i="43"/>
  <c r="L65" i="43"/>
  <c r="L64" i="43"/>
  <c r="H65" i="43"/>
  <c r="H64" i="43"/>
  <c r="L10" i="10"/>
  <c r="H10" i="10"/>
  <c r="L63" i="10"/>
  <c r="H63" i="10"/>
  <c r="L28" i="10"/>
  <c r="H28" i="10"/>
  <c r="L37" i="10"/>
  <c r="H37" i="10"/>
  <c r="L58" i="10"/>
  <c r="H58" i="10"/>
  <c r="L74" i="10"/>
  <c r="H75" i="10"/>
  <c r="H74" i="10"/>
  <c r="I60" i="43" l="1"/>
  <c r="I38" i="43"/>
  <c r="I37" i="43" s="1"/>
  <c r="I30" i="43"/>
  <c r="I19" i="43"/>
  <c r="I12" i="43"/>
  <c r="I7" i="43"/>
  <c r="I6" i="43" l="1"/>
  <c r="I59" i="43" s="1"/>
  <c r="I55" i="43" l="1"/>
  <c r="I57" i="43" s="1"/>
  <c r="I66" i="43" s="1"/>
  <c r="I73" i="43" s="1"/>
  <c r="I67" i="43" s="1"/>
  <c r="I58" i="43" l="1"/>
  <c r="C12" i="43"/>
  <c r="E12" i="43" l="1"/>
  <c r="E30" i="43" l="1"/>
  <c r="E7" i="43"/>
  <c r="E19" i="43"/>
  <c r="C2" i="43" l="1"/>
  <c r="D70" i="43" s="1"/>
  <c r="K24" i="43" l="1"/>
  <c r="L24" i="43"/>
  <c r="D12" i="43" l="1"/>
  <c r="I67" i="10" l="1"/>
  <c r="I55" i="44" l="1"/>
  <c r="J55" i="44" s="1"/>
  <c r="E55" i="44"/>
  <c r="C55" i="44"/>
  <c r="K65" i="43"/>
  <c r="G65" i="43"/>
  <c r="J71" i="10"/>
  <c r="K71" i="10"/>
  <c r="L71" i="10"/>
  <c r="F71" i="10"/>
  <c r="G71" i="10"/>
  <c r="H71" i="10"/>
  <c r="D71" i="10"/>
  <c r="L55" i="44" l="1"/>
  <c r="G55" i="44"/>
  <c r="K55" i="44"/>
  <c r="H55" i="44"/>
  <c r="L71" i="43"/>
  <c r="K71" i="43"/>
  <c r="H71" i="43"/>
  <c r="G71" i="43"/>
  <c r="I61" i="44"/>
  <c r="J61" i="44" s="1"/>
  <c r="E61" i="44"/>
  <c r="C61" i="44"/>
  <c r="I2" i="43"/>
  <c r="J24" i="43" s="1"/>
  <c r="E2" i="43"/>
  <c r="F24" i="43" s="1"/>
  <c r="D25" i="43" l="1"/>
  <c r="D22" i="43"/>
  <c r="D23" i="43"/>
  <c r="J71" i="43"/>
  <c r="J65" i="43"/>
  <c r="F71" i="43"/>
  <c r="F65" i="43"/>
  <c r="D71" i="43"/>
  <c r="D65" i="43"/>
  <c r="K61" i="44"/>
  <c r="H61" i="44"/>
  <c r="L61" i="44"/>
  <c r="G61" i="44"/>
  <c r="L77" i="10" l="1"/>
  <c r="K77" i="10"/>
  <c r="J77" i="10"/>
  <c r="H77" i="10"/>
  <c r="G77" i="10"/>
  <c r="F77" i="10"/>
  <c r="H59" i="10" l="1"/>
  <c r="E67" i="10"/>
  <c r="H60" i="10" l="1"/>
  <c r="J58" i="10" l="1"/>
  <c r="C67" i="10" l="1"/>
  <c r="D68" i="10" l="1"/>
  <c r="F68" i="10"/>
  <c r="I43" i="44" l="1"/>
  <c r="C38" i="43" l="1"/>
  <c r="C37" i="43" s="1"/>
  <c r="E38" i="43"/>
  <c r="E37" i="43" s="1"/>
  <c r="J74" i="10" l="1"/>
  <c r="J75" i="10"/>
  <c r="J76" i="10"/>
  <c r="I53" i="44" l="1"/>
  <c r="E60" i="43" l="1"/>
  <c r="C60" i="43"/>
  <c r="C51" i="44"/>
  <c r="E43" i="44"/>
  <c r="C43" i="44"/>
  <c r="F56" i="43" l="1"/>
  <c r="K68" i="10" l="1"/>
  <c r="K69" i="10"/>
  <c r="C8" i="44" l="1"/>
  <c r="I54" i="44" l="1"/>
  <c r="E54" i="44"/>
  <c r="C54" i="44"/>
  <c r="E2" i="44" l="1"/>
  <c r="C2" i="44"/>
  <c r="J63" i="43"/>
  <c r="D56" i="43"/>
  <c r="F61" i="44" l="1"/>
  <c r="F55" i="44"/>
  <c r="D61" i="44"/>
  <c r="D55" i="44"/>
  <c r="F17" i="46"/>
  <c r="I17" i="46" s="1"/>
  <c r="G15" i="46"/>
  <c r="G19" i="46" s="1"/>
  <c r="F15" i="46"/>
  <c r="F19" i="46" s="1"/>
  <c r="I19" i="46" s="1"/>
  <c r="D15" i="46"/>
  <c r="D19" i="46" s="1"/>
  <c r="C15" i="46"/>
  <c r="C19" i="46" s="1"/>
  <c r="F13" i="46"/>
  <c r="I13" i="46" s="1"/>
  <c r="J11" i="46"/>
  <c r="G11" i="46"/>
  <c r="J15" i="46" s="1"/>
  <c r="J19" i="46" s="1"/>
  <c r="F11" i="46"/>
  <c r="I15" i="46" s="1"/>
  <c r="F9" i="46"/>
  <c r="I9" i="46" s="1"/>
  <c r="I11" i="46" l="1"/>
  <c r="I62" i="44"/>
  <c r="J62" i="44" s="1"/>
  <c r="E62" i="44"/>
  <c r="F62" i="44" s="1"/>
  <c r="C62" i="44"/>
  <c r="D62" i="44" s="1"/>
  <c r="I60" i="44"/>
  <c r="E60" i="44"/>
  <c r="F60" i="44" s="1"/>
  <c r="C60" i="44"/>
  <c r="I59" i="44"/>
  <c r="J59" i="44" s="1"/>
  <c r="I58" i="44"/>
  <c r="J58" i="44" s="1"/>
  <c r="E59" i="44"/>
  <c r="E58" i="44"/>
  <c r="F58" i="44" s="1"/>
  <c r="C59" i="44"/>
  <c r="C58" i="44"/>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E41" i="44"/>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L54" i="44"/>
  <c r="K54" i="44"/>
  <c r="J54" i="44"/>
  <c r="H54" i="44"/>
  <c r="G54" i="44"/>
  <c r="F54" i="44"/>
  <c r="D54" i="44"/>
  <c r="F41" i="44" l="1"/>
  <c r="H41" i="44"/>
  <c r="J41" i="44"/>
  <c r="L41" i="44"/>
  <c r="L25" i="44"/>
  <c r="H25" i="44"/>
  <c r="H20" i="44"/>
  <c r="D58" i="44"/>
  <c r="D20" i="44"/>
  <c r="H37" i="44"/>
  <c r="H33" i="44"/>
  <c r="L13" i="44"/>
  <c r="G20" i="44"/>
  <c r="L20" i="44"/>
  <c r="G14" i="44"/>
  <c r="K35" i="44"/>
  <c r="G39" i="44"/>
  <c r="G10" i="44"/>
  <c r="L15" i="44"/>
  <c r="K60" i="44"/>
  <c r="L36" i="44"/>
  <c r="K32" i="44"/>
  <c r="L31" i="44"/>
  <c r="D15" i="44"/>
  <c r="G51" i="44"/>
  <c r="K15" i="44"/>
  <c r="K43" i="44"/>
  <c r="K31" i="44"/>
  <c r="D35" i="44"/>
  <c r="J20" i="44"/>
  <c r="K20" i="44"/>
  <c r="J13" i="44"/>
  <c r="H19" i="44"/>
  <c r="F20" i="44"/>
  <c r="H12" i="44"/>
  <c r="L8" i="44"/>
  <c r="L12" i="44"/>
  <c r="G13" i="44"/>
  <c r="K13" i="44"/>
  <c r="L59" i="44"/>
  <c r="K51" i="44"/>
  <c r="L51" i="44"/>
  <c r="K26" i="44"/>
  <c r="K62" i="44"/>
  <c r="L62" i="44"/>
  <c r="H59" i="44"/>
  <c r="D39" i="44"/>
  <c r="K21" i="44"/>
  <c r="J8" i="44"/>
  <c r="J12" i="44"/>
  <c r="G60" i="44"/>
  <c r="H18" i="44"/>
  <c r="G9" i="44"/>
  <c r="L35" i="44"/>
  <c r="G12" i="44"/>
  <c r="G8" i="44"/>
  <c r="H13" i="44"/>
  <c r="H10" i="44"/>
  <c r="G36" i="44"/>
  <c r="G62" i="44"/>
  <c r="L60" i="44"/>
  <c r="H8" i="44"/>
  <c r="K9" i="44"/>
  <c r="G32" i="44"/>
  <c r="H36" i="44"/>
  <c r="H51" i="44"/>
  <c r="D60" i="44"/>
  <c r="K29" i="44"/>
  <c r="J32" i="44"/>
  <c r="J15" i="44"/>
  <c r="F51" i="44"/>
  <c r="G31" i="44"/>
  <c r="F10" i="44"/>
  <c r="K59" i="44"/>
  <c r="H62" i="44"/>
  <c r="D59" i="44"/>
  <c r="L53" i="44"/>
  <c r="H32" i="44"/>
  <c r="H39" i="44"/>
  <c r="L40" i="44"/>
  <c r="K10" i="44"/>
  <c r="D10" i="44"/>
  <c r="L10" i="44"/>
  <c r="J60"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8" i="44"/>
  <c r="G59" i="44"/>
  <c r="H60" i="44"/>
  <c r="K46" i="44"/>
  <c r="K34" i="44"/>
  <c r="G29" i="44"/>
  <c r="K30" i="44"/>
  <c r="H35" i="44"/>
  <c r="D26" i="44"/>
  <c r="H26" i="44"/>
  <c r="D19" i="44"/>
  <c r="H14" i="44"/>
  <c r="D14" i="44"/>
  <c r="H16" i="44"/>
  <c r="H11" i="44"/>
  <c r="G11" i="44"/>
  <c r="D11" i="44"/>
  <c r="C7" i="44"/>
  <c r="D7" i="44" s="1"/>
  <c r="D9" i="44"/>
  <c r="L9" i="44"/>
  <c r="F59" i="44"/>
  <c r="H58" i="44"/>
  <c r="G58" i="44"/>
  <c r="L58"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K41" i="44"/>
  <c r="G41" i="44"/>
  <c r="K40" i="44"/>
  <c r="J40" i="44"/>
  <c r="G40" i="44"/>
  <c r="H40" i="44"/>
  <c r="L29" i="44"/>
  <c r="I28" i="44"/>
  <c r="E28" i="44"/>
  <c r="F28" i="44" s="1"/>
  <c r="G30" i="44"/>
  <c r="L30" i="44"/>
  <c r="G34" i="44"/>
  <c r="L34" i="44"/>
  <c r="H30" i="44"/>
  <c r="G33" i="44"/>
  <c r="L33" i="44"/>
  <c r="H34" i="44"/>
  <c r="G37" i="44"/>
  <c r="L37" i="44"/>
  <c r="C28" i="44"/>
  <c r="D28" i="44" s="1"/>
  <c r="F26" i="44"/>
  <c r="G26"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72" i="43" l="1"/>
  <c r="K72" i="43"/>
  <c r="L72" i="43"/>
  <c r="F72" i="43"/>
  <c r="G72" i="43"/>
  <c r="H72" i="43"/>
  <c r="D72" i="43"/>
  <c r="J25" i="43"/>
  <c r="K25" i="43"/>
  <c r="L25" i="43"/>
  <c r="J26" i="43"/>
  <c r="K26" i="43"/>
  <c r="L26" i="43"/>
  <c r="J27" i="43"/>
  <c r="K27" i="43"/>
  <c r="L27" i="43"/>
  <c r="G25" i="43"/>
  <c r="H25" i="43"/>
  <c r="G26" i="43"/>
  <c r="H26" i="43"/>
  <c r="G27" i="43"/>
  <c r="H27" i="43"/>
  <c r="F25" i="43"/>
  <c r="F26" i="43"/>
  <c r="F27" i="43"/>
  <c r="F28" i="43"/>
  <c r="F29" i="43"/>
  <c r="D26" i="43"/>
  <c r="D27" i="43"/>
  <c r="D28" i="43"/>
  <c r="D29" i="43"/>
  <c r="J17" i="43"/>
  <c r="K17" i="43"/>
  <c r="L17" i="43"/>
  <c r="F17" i="43"/>
  <c r="G17" i="43"/>
  <c r="H17" i="43"/>
  <c r="D17" i="43"/>
  <c r="J60" i="43"/>
  <c r="F60" i="43"/>
  <c r="J9" i="43"/>
  <c r="K9" i="43"/>
  <c r="L9" i="43"/>
  <c r="G9" i="43"/>
  <c r="H9" i="43"/>
  <c r="F9" i="43"/>
  <c r="D9" i="43"/>
  <c r="L70" i="43"/>
  <c r="K70" i="43"/>
  <c r="J70" i="43"/>
  <c r="H70" i="43"/>
  <c r="G70" i="43"/>
  <c r="F70" i="43"/>
  <c r="L69" i="43"/>
  <c r="K69" i="43"/>
  <c r="J69" i="43"/>
  <c r="H69" i="43"/>
  <c r="G69" i="43"/>
  <c r="F69" i="43"/>
  <c r="D69" i="43"/>
  <c r="L68" i="43"/>
  <c r="K68" i="43"/>
  <c r="J68" i="43"/>
  <c r="H68" i="43"/>
  <c r="G68" i="43"/>
  <c r="F68" i="43"/>
  <c r="D68" i="43"/>
  <c r="K64" i="43"/>
  <c r="J64" i="43"/>
  <c r="G64" i="43"/>
  <c r="F64" i="43"/>
  <c r="D64" i="43"/>
  <c r="L62" i="43"/>
  <c r="K62" i="43"/>
  <c r="J62" i="43"/>
  <c r="H62" i="43"/>
  <c r="G62" i="43"/>
  <c r="F62" i="43"/>
  <c r="D62" i="43"/>
  <c r="L61" i="43"/>
  <c r="K61" i="43"/>
  <c r="J61" i="43"/>
  <c r="H61" i="43"/>
  <c r="G61" i="43"/>
  <c r="F61" i="43"/>
  <c r="D61" i="43"/>
  <c r="L56" i="43"/>
  <c r="K56" i="43"/>
  <c r="J56" i="43"/>
  <c r="H56" i="43"/>
  <c r="G56" i="43"/>
  <c r="L54" i="43"/>
  <c r="K54" i="43"/>
  <c r="J54" i="43"/>
  <c r="H54" i="43"/>
  <c r="G54" i="43"/>
  <c r="F54" i="43"/>
  <c r="D54" i="43"/>
  <c r="L53" i="43"/>
  <c r="K53" i="43"/>
  <c r="H53" i="43"/>
  <c r="G53" i="43"/>
  <c r="F53" i="43"/>
  <c r="D53" i="43"/>
  <c r="K52" i="43"/>
  <c r="J52" i="43"/>
  <c r="G52" i="43"/>
  <c r="F52" i="43"/>
  <c r="D52" i="43"/>
  <c r="K51" i="43"/>
  <c r="J51" i="43"/>
  <c r="G51" i="43"/>
  <c r="F51" i="43"/>
  <c r="D51" i="43"/>
  <c r="L50" i="43"/>
  <c r="K50" i="43"/>
  <c r="J50" i="43"/>
  <c r="H50" i="43"/>
  <c r="G50" i="43"/>
  <c r="F50" i="43"/>
  <c r="D50" i="43"/>
  <c r="L49" i="43"/>
  <c r="K49" i="43"/>
  <c r="J49" i="43"/>
  <c r="H49" i="43"/>
  <c r="G49" i="43"/>
  <c r="F49" i="43"/>
  <c r="D49" i="43"/>
  <c r="J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6" i="43"/>
  <c r="K36" i="43"/>
  <c r="J36" i="43"/>
  <c r="H36" i="43"/>
  <c r="G36" i="43"/>
  <c r="F36" i="43"/>
  <c r="D36" i="43"/>
  <c r="K35" i="43"/>
  <c r="J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J30" i="43"/>
  <c r="F30" i="43"/>
  <c r="C30" i="43"/>
  <c r="L29" i="43"/>
  <c r="K29" i="43"/>
  <c r="J29" i="43"/>
  <c r="H29" i="43"/>
  <c r="G29" i="43"/>
  <c r="L28" i="43"/>
  <c r="K28" i="43"/>
  <c r="J28" i="43"/>
  <c r="H28" i="43"/>
  <c r="G28" i="43"/>
  <c r="L23" i="43"/>
  <c r="K23" i="43"/>
  <c r="J23" i="43"/>
  <c r="H23" i="43"/>
  <c r="G23" i="43"/>
  <c r="F23" i="43"/>
  <c r="L22" i="43"/>
  <c r="K22" i="43"/>
  <c r="J22" i="43"/>
  <c r="H22" i="43"/>
  <c r="G22" i="43"/>
  <c r="F22" i="43"/>
  <c r="L21" i="43"/>
  <c r="K21" i="43"/>
  <c r="J21" i="43"/>
  <c r="H21" i="43"/>
  <c r="G21" i="43"/>
  <c r="F21" i="43"/>
  <c r="D21" i="43"/>
  <c r="L20" i="43"/>
  <c r="K20" i="43"/>
  <c r="J20" i="43"/>
  <c r="H20" i="43"/>
  <c r="G20" i="43"/>
  <c r="F20" i="43"/>
  <c r="D20" i="43"/>
  <c r="J19" i="43"/>
  <c r="F19" i="43"/>
  <c r="C19" i="43"/>
  <c r="L18" i="43"/>
  <c r="K18" i="43"/>
  <c r="J18" i="43"/>
  <c r="H18" i="43"/>
  <c r="G18" i="43"/>
  <c r="F18" i="43"/>
  <c r="D18" i="43"/>
  <c r="L13" i="43"/>
  <c r="K13" i="43"/>
  <c r="J13" i="43"/>
  <c r="H13" i="43"/>
  <c r="G13" i="43"/>
  <c r="F13" i="43"/>
  <c r="D13" i="43"/>
  <c r="J12" i="43"/>
  <c r="F12" i="43"/>
  <c r="L11" i="43"/>
  <c r="K11" i="43"/>
  <c r="J11" i="43"/>
  <c r="H11" i="43"/>
  <c r="G11" i="43"/>
  <c r="F11" i="43"/>
  <c r="D11" i="43"/>
  <c r="L10" i="43"/>
  <c r="K10" i="43"/>
  <c r="J10" i="43"/>
  <c r="H10" i="43"/>
  <c r="G10" i="43"/>
  <c r="F10" i="43"/>
  <c r="D10" i="43"/>
  <c r="L8" i="43"/>
  <c r="K8" i="43"/>
  <c r="J8" i="43"/>
  <c r="H8" i="43"/>
  <c r="G8" i="43"/>
  <c r="F8" i="43"/>
  <c r="D8" i="43"/>
  <c r="C7" i="43"/>
  <c r="K7" i="43" l="1"/>
  <c r="C6" i="43"/>
  <c r="C55" i="43" s="1"/>
  <c r="E6" i="43"/>
  <c r="F14" i="46"/>
  <c r="L60" i="43"/>
  <c r="K30" i="43"/>
  <c r="K38" i="43"/>
  <c r="K19" i="43"/>
  <c r="K48" i="43"/>
  <c r="G30" i="43"/>
  <c r="K12" i="43"/>
  <c r="G19" i="43"/>
  <c r="H38" i="43"/>
  <c r="D38" i="43"/>
  <c r="L38" i="43"/>
  <c r="F7" i="43"/>
  <c r="L12" i="43"/>
  <c r="J37" i="43"/>
  <c r="J38" i="43"/>
  <c r="G48" i="43"/>
  <c r="L48" i="43"/>
  <c r="L19" i="43"/>
  <c r="H19" i="43"/>
  <c r="D19" i="43"/>
  <c r="H48" i="43"/>
  <c r="L7" i="43"/>
  <c r="J7" i="43"/>
  <c r="H12" i="43"/>
  <c r="L30" i="43"/>
  <c r="H30" i="43"/>
  <c r="D30" i="43"/>
  <c r="F37" i="43"/>
  <c r="F38" i="43"/>
  <c r="G7" i="43"/>
  <c r="G60" i="43"/>
  <c r="K60" i="43"/>
  <c r="D7" i="43"/>
  <c r="H7" i="43"/>
  <c r="G12" i="43"/>
  <c r="G38" i="43"/>
  <c r="D60" i="43"/>
  <c r="H60" i="43"/>
  <c r="K74" i="10"/>
  <c r="K75" i="10"/>
  <c r="L75" i="10"/>
  <c r="K76" i="10"/>
  <c r="L76" i="10"/>
  <c r="G74" i="10"/>
  <c r="G75" i="10"/>
  <c r="G76" i="10"/>
  <c r="H76" i="10"/>
  <c r="F74" i="10"/>
  <c r="F75" i="10"/>
  <c r="F76" i="10"/>
  <c r="J6" i="43" l="1"/>
  <c r="J59" i="43"/>
  <c r="F6" i="43"/>
  <c r="E59" i="43"/>
  <c r="F10" i="46"/>
  <c r="C59" i="43"/>
  <c r="H37" i="43"/>
  <c r="D37" i="43"/>
  <c r="G6" i="43"/>
  <c r="L6" i="43"/>
  <c r="D6" i="43"/>
  <c r="G10" i="46" s="1"/>
  <c r="H6" i="43"/>
  <c r="K6" i="43"/>
  <c r="G37" i="43"/>
  <c r="E55" i="43"/>
  <c r="L37" i="43"/>
  <c r="K37" i="43"/>
  <c r="J68" i="10"/>
  <c r="L68" i="10"/>
  <c r="J69" i="10"/>
  <c r="L69" i="10"/>
  <c r="J70" i="10"/>
  <c r="K70" i="10"/>
  <c r="L70" i="10"/>
  <c r="G68" i="10"/>
  <c r="H68" i="10"/>
  <c r="G69" i="10"/>
  <c r="H69" i="10"/>
  <c r="G70" i="10"/>
  <c r="H70" i="10"/>
  <c r="F69" i="10"/>
  <c r="F70" i="10"/>
  <c r="D69" i="10"/>
  <c r="D70" i="10"/>
  <c r="J67" i="10"/>
  <c r="H67" i="10"/>
  <c r="K63" i="10"/>
  <c r="J63" i="10"/>
  <c r="G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K59" i="10"/>
  <c r="L59" i="10"/>
  <c r="K60" i="10"/>
  <c r="L60" i="10"/>
  <c r="K61" i="10"/>
  <c r="L61" i="10"/>
  <c r="J41" i="10"/>
  <c r="J42" i="10"/>
  <c r="J43" i="10"/>
  <c r="J44" i="10"/>
  <c r="J45" i="10"/>
  <c r="J46" i="10"/>
  <c r="J47" i="10"/>
  <c r="J48" i="10"/>
  <c r="J49" i="10"/>
  <c r="J51" i="10"/>
  <c r="J52" i="10"/>
  <c r="J53" i="10"/>
  <c r="J54" i="10"/>
  <c r="J55" i="10"/>
  <c r="J56" i="10"/>
  <c r="J57" i="10"/>
  <c r="J59" i="10"/>
  <c r="J60" i="10"/>
  <c r="J61" i="10"/>
  <c r="I50" i="10"/>
  <c r="I40" i="10"/>
  <c r="H41" i="10"/>
  <c r="H42" i="10"/>
  <c r="H43" i="10"/>
  <c r="H44" i="10"/>
  <c r="H45" i="10"/>
  <c r="H46" i="10"/>
  <c r="H47" i="10"/>
  <c r="H48" i="10"/>
  <c r="H49" i="10"/>
  <c r="H51" i="10"/>
  <c r="H52" i="10"/>
  <c r="H53" i="10"/>
  <c r="H54" i="10"/>
  <c r="H55" i="10"/>
  <c r="H56" i="10"/>
  <c r="H57" i="10"/>
  <c r="H61" i="10"/>
  <c r="G41" i="10"/>
  <c r="G42" i="10"/>
  <c r="G43" i="10"/>
  <c r="G44" i="10"/>
  <c r="G45" i="10"/>
  <c r="G46" i="10"/>
  <c r="G47" i="10"/>
  <c r="G48" i="10"/>
  <c r="G49" i="10"/>
  <c r="G51" i="10"/>
  <c r="G52" i="10"/>
  <c r="G53" i="10"/>
  <c r="G54" i="10"/>
  <c r="G55" i="10"/>
  <c r="G56" i="10"/>
  <c r="G57" i="10"/>
  <c r="G58" i="10"/>
  <c r="G59" i="10"/>
  <c r="G60" i="10"/>
  <c r="G61"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L8" i="10"/>
  <c r="L9" i="10"/>
  <c r="L11" i="10"/>
  <c r="L12" i="10"/>
  <c r="L13" i="10"/>
  <c r="L14" i="10"/>
  <c r="L16" i="10"/>
  <c r="L17" i="10"/>
  <c r="L18" i="10"/>
  <c r="L19" i="10"/>
  <c r="L21" i="10"/>
  <c r="L22" i="10"/>
  <c r="L23" i="10"/>
  <c r="L24" i="10"/>
  <c r="L26" i="10"/>
  <c r="L27" i="10"/>
  <c r="L29" i="10"/>
  <c r="L30" i="10"/>
  <c r="L31" i="10"/>
  <c r="L33" i="10"/>
  <c r="L34" i="10"/>
  <c r="L35" i="10"/>
  <c r="L36"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J15" i="10"/>
  <c r="H8" i="10"/>
  <c r="H9" i="10"/>
  <c r="H11" i="10"/>
  <c r="H12" i="10"/>
  <c r="H13" i="10"/>
  <c r="H14" i="10"/>
  <c r="H16" i="10"/>
  <c r="H17" i="10"/>
  <c r="H18" i="10"/>
  <c r="H19" i="10"/>
  <c r="H21" i="10"/>
  <c r="H22" i="10"/>
  <c r="H23" i="10"/>
  <c r="H24" i="10"/>
  <c r="H26" i="10"/>
  <c r="H27" i="10"/>
  <c r="H29" i="10"/>
  <c r="H30" i="10"/>
  <c r="H31" i="10"/>
  <c r="H33" i="10"/>
  <c r="H34" i="10"/>
  <c r="H35" i="10"/>
  <c r="H36"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F15"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24" i="44"/>
  <c r="F59" i="43" l="1"/>
  <c r="F18" i="46"/>
  <c r="G14" i="46"/>
  <c r="C39" i="10"/>
  <c r="C22" i="44"/>
  <c r="D22" i="44" s="1"/>
  <c r="F7" i="10"/>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C27" i="44"/>
  <c r="D38" i="44"/>
  <c r="D24" i="44"/>
  <c r="D25" i="10"/>
  <c r="C23" i="44"/>
  <c r="E57" i="43"/>
  <c r="F55" i="43"/>
  <c r="L59" i="43"/>
  <c r="H59" i="43"/>
  <c r="D59" i="43"/>
  <c r="K59" i="43"/>
  <c r="G59" i="43"/>
  <c r="J55" i="43"/>
  <c r="K55" i="43"/>
  <c r="G55" i="43"/>
  <c r="C57" i="43"/>
  <c r="C66" i="43" s="1"/>
  <c r="C73" i="43" s="1"/>
  <c r="L55" i="43"/>
  <c r="D55" i="43"/>
  <c r="G18" i="46" s="1"/>
  <c r="H55" i="43"/>
  <c r="L50" i="10"/>
  <c r="K40" i="10"/>
  <c r="D67" i="10"/>
  <c r="K50" i="10"/>
  <c r="G40" i="10"/>
  <c r="G67" i="10"/>
  <c r="L67" i="10"/>
  <c r="K67" i="10"/>
  <c r="G50" i="10"/>
  <c r="D40" i="10"/>
  <c r="D50" i="10"/>
  <c r="H50" i="10"/>
  <c r="I39" i="10"/>
  <c r="J40" i="10"/>
  <c r="L40" i="10"/>
  <c r="H40" i="10"/>
  <c r="L25" i="10"/>
  <c r="L15" i="10"/>
  <c r="K20" i="10"/>
  <c r="L20" i="10"/>
  <c r="D20" i="10"/>
  <c r="G25" i="10"/>
  <c r="G20" i="10"/>
  <c r="H25" i="10"/>
  <c r="L7" i="10"/>
  <c r="L32" i="10"/>
  <c r="K25" i="10"/>
  <c r="G32" i="10"/>
  <c r="D32" i="10"/>
  <c r="G15" i="10"/>
  <c r="G7" i="10"/>
  <c r="H32" i="10"/>
  <c r="H20" i="10"/>
  <c r="J7" i="10"/>
  <c r="K32" i="10"/>
  <c r="D15" i="10"/>
  <c r="D7" i="10"/>
  <c r="H15" i="10"/>
  <c r="H7" i="10"/>
  <c r="K15" i="10"/>
  <c r="K7" i="10"/>
  <c r="E66" i="43" l="1"/>
  <c r="C66" i="10"/>
  <c r="J39" i="10"/>
  <c r="I66" i="10"/>
  <c r="J66" i="10" s="1"/>
  <c r="F6" i="10"/>
  <c r="E66" i="10"/>
  <c r="F66" i="10" s="1"/>
  <c r="H22" i="44"/>
  <c r="C6" i="44"/>
  <c r="C10" i="46"/>
  <c r="C62" i="10"/>
  <c r="K24" i="44"/>
  <c r="J38" i="44"/>
  <c r="I27" i="44"/>
  <c r="J27" i="44" s="1"/>
  <c r="L38" i="44"/>
  <c r="K38" i="44"/>
  <c r="L24" i="44"/>
  <c r="J22" i="44"/>
  <c r="I6" i="44"/>
  <c r="K22" i="44"/>
  <c r="L22" i="44"/>
  <c r="F38" i="44"/>
  <c r="E27" i="44"/>
  <c r="F27" i="44" s="1"/>
  <c r="G38" i="44"/>
  <c r="H24" i="44"/>
  <c r="G24" i="44"/>
  <c r="F22" i="44"/>
  <c r="E6" i="44"/>
  <c r="G22" i="44"/>
  <c r="C14" i="46"/>
  <c r="I14" i="46"/>
  <c r="D27" i="44"/>
  <c r="J14" i="46" s="1"/>
  <c r="D23" i="44"/>
  <c r="K23" i="44"/>
  <c r="L23" i="44"/>
  <c r="G23" i="44"/>
  <c r="H23" i="44"/>
  <c r="C58" i="43"/>
  <c r="K57" i="43"/>
  <c r="H57" i="43"/>
  <c r="G57" i="43"/>
  <c r="L57" i="43"/>
  <c r="D57" i="43"/>
  <c r="J57" i="43"/>
  <c r="J58" i="43"/>
  <c r="F57" i="43"/>
  <c r="E58" i="43"/>
  <c r="E62" i="10"/>
  <c r="K39" i="10"/>
  <c r="H39" i="10"/>
  <c r="D39" i="10"/>
  <c r="D14" i="46" s="1"/>
  <c r="G39" i="10"/>
  <c r="L39" i="10"/>
  <c r="J6" i="10"/>
  <c r="I62" i="10"/>
  <c r="L6" i="10"/>
  <c r="K6" i="10"/>
  <c r="H6" i="10"/>
  <c r="D6" i="10"/>
  <c r="D10" i="46" s="1"/>
  <c r="G6" i="10"/>
  <c r="E73" i="43" l="1"/>
  <c r="F58" i="43"/>
  <c r="C64" i="10"/>
  <c r="C72" i="10" s="1"/>
  <c r="C78" i="10" s="1"/>
  <c r="D6" i="44"/>
  <c r="J10" i="46" s="1"/>
  <c r="E49" i="44"/>
  <c r="F49" i="44" s="1"/>
  <c r="K66" i="10"/>
  <c r="I49" i="44"/>
  <c r="J49" i="44" s="1"/>
  <c r="G66" i="10"/>
  <c r="G6" i="44"/>
  <c r="C49" i="44"/>
  <c r="D49" i="44" s="1"/>
  <c r="I10" i="46"/>
  <c r="C45" i="44"/>
  <c r="K6" i="44"/>
  <c r="G27" i="44"/>
  <c r="C18" i="46"/>
  <c r="H6" i="44"/>
  <c r="L6" i="44"/>
  <c r="K27" i="44"/>
  <c r="L27" i="44"/>
  <c r="J6" i="44"/>
  <c r="I45" i="44"/>
  <c r="H27" i="44"/>
  <c r="F6" i="44"/>
  <c r="E45" i="44"/>
  <c r="J66" i="43"/>
  <c r="F66" i="43"/>
  <c r="L66" i="43"/>
  <c r="H66" i="43"/>
  <c r="D66" i="43"/>
  <c r="K66" i="43"/>
  <c r="G66" i="43"/>
  <c r="L58" i="43"/>
  <c r="H58" i="43"/>
  <c r="D58" i="43"/>
  <c r="K58" i="43"/>
  <c r="G58" i="43"/>
  <c r="E64" i="10"/>
  <c r="E72" i="10" s="1"/>
  <c r="F62" i="10"/>
  <c r="L62" i="10"/>
  <c r="H62" i="10"/>
  <c r="D62" i="10"/>
  <c r="D18" i="46" s="1"/>
  <c r="K62" i="10"/>
  <c r="G62" i="10"/>
  <c r="J62" i="10"/>
  <c r="I64" i="10"/>
  <c r="H66" i="10"/>
  <c r="L66" i="10"/>
  <c r="D66" i="10"/>
  <c r="E67" i="43" l="1"/>
  <c r="F67" i="43" s="1"/>
  <c r="E78" i="10"/>
  <c r="E73" i="10" s="1"/>
  <c r="I72" i="10"/>
  <c r="C73" i="10"/>
  <c r="C65" i="10"/>
  <c r="D45" i="44"/>
  <c r="J18" i="46" s="1"/>
  <c r="G45" i="44"/>
  <c r="I18" i="46"/>
  <c r="C47" i="44"/>
  <c r="L45" i="44"/>
  <c r="K45" i="44"/>
  <c r="K49" i="44"/>
  <c r="H49" i="44"/>
  <c r="L49" i="44"/>
  <c r="J45" i="44"/>
  <c r="I47" i="44"/>
  <c r="I56" i="44" s="1"/>
  <c r="H45" i="44"/>
  <c r="G49" i="44"/>
  <c r="E47" i="44"/>
  <c r="E56" i="44" s="1"/>
  <c r="E63" i="44" s="1"/>
  <c r="F45" i="44"/>
  <c r="F73" i="43"/>
  <c r="J73" i="43"/>
  <c r="J67" i="43"/>
  <c r="J64" i="10"/>
  <c r="I65" i="10"/>
  <c r="J65" i="10" s="1"/>
  <c r="H64" i="10"/>
  <c r="D64" i="10"/>
  <c r="G64" i="10"/>
  <c r="K64" i="10"/>
  <c r="L64" i="10"/>
  <c r="F64" i="10"/>
  <c r="E65" i="10"/>
  <c r="I78" i="10" l="1"/>
  <c r="I73" i="10" s="1"/>
  <c r="J73" i="10" s="1"/>
  <c r="L72" i="10"/>
  <c r="J72" i="10"/>
  <c r="I63" i="44"/>
  <c r="I57" i="44" s="1"/>
  <c r="C48" i="44"/>
  <c r="D48" i="44" s="1"/>
  <c r="C56" i="44"/>
  <c r="C63" i="44" s="1"/>
  <c r="C57" i="44" s="1"/>
  <c r="K72" i="10"/>
  <c r="D72" i="10"/>
  <c r="H47" i="44"/>
  <c r="D47" i="44"/>
  <c r="L47" i="44"/>
  <c r="K47" i="44"/>
  <c r="J47" i="44"/>
  <c r="I48" i="44"/>
  <c r="J48" i="44" s="1"/>
  <c r="G47" i="44"/>
  <c r="E48" i="44"/>
  <c r="F48" i="44" s="1"/>
  <c r="F47" i="44"/>
  <c r="D78" i="10"/>
  <c r="D65" i="10"/>
  <c r="H65" i="10"/>
  <c r="L65" i="10"/>
  <c r="K65" i="10"/>
  <c r="G65" i="10"/>
  <c r="F65" i="10"/>
  <c r="J78" i="10" l="1"/>
  <c r="L78" i="10"/>
  <c r="D56" i="44"/>
  <c r="K78" i="10"/>
  <c r="G48" i="44"/>
  <c r="D63" i="44"/>
  <c r="G56" i="44"/>
  <c r="E57" i="44"/>
  <c r="K56" i="44"/>
  <c r="L48" i="44"/>
  <c r="H48" i="44"/>
  <c r="K48" i="44"/>
  <c r="J56" i="44"/>
  <c r="L56" i="44"/>
  <c r="H56" i="44"/>
  <c r="F56" i="44"/>
  <c r="K73" i="10"/>
  <c r="D73" i="10"/>
  <c r="L73" i="10"/>
  <c r="L63" i="44" l="1"/>
  <c r="D57" i="44"/>
  <c r="H63" i="44"/>
  <c r="K63" i="44"/>
  <c r="J63" i="44"/>
  <c r="J57" i="44"/>
  <c r="F63" i="44"/>
  <c r="F57" i="44"/>
  <c r="G63" i="44"/>
  <c r="L57" i="44" l="1"/>
  <c r="K57" i="44"/>
  <c r="G57" i="44"/>
  <c r="H57" i="44"/>
  <c r="G72" i="10" l="1"/>
  <c r="F72" i="10"/>
  <c r="H72" i="10"/>
  <c r="G73" i="10" l="1"/>
  <c r="H73" i="10"/>
  <c r="F73" i="10"/>
  <c r="G78" i="10"/>
  <c r="H78" i="10"/>
  <c r="F78" i="10"/>
  <c r="D73" i="43" l="1"/>
  <c r="L73" i="43"/>
  <c r="K73" i="43"/>
  <c r="G73" i="43"/>
  <c r="C67" i="43"/>
  <c r="G67" i="43" s="1"/>
  <c r="H73" i="43"/>
  <c r="H67" i="43" l="1"/>
  <c r="L67" i="43"/>
  <c r="K67" i="43"/>
  <c r="D67" i="43"/>
</calcChain>
</file>

<file path=xl/sharedStrings.xml><?xml version="1.0" encoding="utf-8"?>
<sst xmlns="http://schemas.openxmlformats.org/spreadsheetml/2006/main" count="473" uniqueCount="194">
  <si>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</si>
  <si>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</si>
  <si>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</si>
  <si>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</si>
  <si>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</si>
  <si>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</si>
  <si>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</si>
  <si>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</si>
  <si>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</si>
  <si>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</si>
  <si>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</si>
  <si>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</si>
  <si>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</si>
  <si>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</si>
  <si>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</si>
  <si>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</si>
  <si>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</si>
  <si>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</si>
  <si>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</si>
  <si>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</si>
  <si>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</si>
  <si>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</si>
  <si>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</si>
  <si>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</si>
  <si>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</si>
  <si>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</si>
  <si>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</si>
  <si>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</si>
  <si>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</si>
  <si>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</si>
  <si>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</si>
  <si>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</si>
  <si>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</si>
  <si>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</si>
  <si>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</si>
  <si>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</si>
  <si>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</si>
  <si>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</si>
  <si>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</si>
  <si>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</si>
  <si>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</si>
  <si>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</si>
  <si>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</si>
  <si>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</si>
  <si>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</si>
  <si>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</si>
  <si>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</si>
  <si>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</si>
  <si>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</si>
  <si>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</si>
  <si>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Izvorni prihodi</t>
  </si>
  <si>
    <t>Otplata duga rezidentima</t>
  </si>
  <si>
    <t>Otplata duga nerezidentima</t>
  </si>
  <si>
    <t>Nedostajuća sredstva</t>
  </si>
  <si>
    <t>Pozajmice i krediti iz domaćih izvora</t>
  </si>
  <si>
    <t>% BDP</t>
  </si>
  <si>
    <t>Neto povećanje obaveza</t>
  </si>
  <si>
    <t>BDP (u mil. €)</t>
  </si>
  <si>
    <t>Korigovani suficit/deficit</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</si>
  <si>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</si>
  <si>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</si>
  <si>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</si>
  <si>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</si>
  <si>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</si>
  <si>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</si>
  <si>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</si>
  <si>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</si>
  <si>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</si>
  <si>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</si>
  <si>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</si>
  <si>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</si>
  <si>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</si>
  <si>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</si>
  <si>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</si>
  <si>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</si>
  <si>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</si>
  <si>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</si>
  <si>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</si>
  <si>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</si>
  <si>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</si>
  <si>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</si>
  <si>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</si>
  <si>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</si>
  <si>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</si>
  <si>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</si>
  <si>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</si>
  <si>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</si>
  <si>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</si>
  <si>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</si>
  <si>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</si>
  <si>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</si>
  <si>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</si>
  <si>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</si>
  <si>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</si>
  <si>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</si>
  <si>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</si>
  <si>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</si>
  <si>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</si>
  <si>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</si>
  <si>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</si>
  <si>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</si>
  <si>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</si>
  <si>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</si>
  <si>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</si>
  <si>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</si>
  <si>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</si>
  <si>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</si>
  <si>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</si>
  <si>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</si>
  <si>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</si>
  <si>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</si>
  <si>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</si>
  <si>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</si>
  <si>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</si>
  <si>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</si>
  <si>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</si>
  <si>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</si>
  <si>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</si>
  <si>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</si>
  <si>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</si>
  <si>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</si>
  <si>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</si>
  <si>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</si>
  <si>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</si>
  <si>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</si>
  <si>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</si>
  <si>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</si>
  <si>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</si>
  <si>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</si>
  <si>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</si>
  <si>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</si>
  <si>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</si>
  <si>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</si>
  <si>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</si>
  <si>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</si>
  <si>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</si>
  <si>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</si>
  <si>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</si>
  <si>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</si>
  <si>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</si>
  <si>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</si>
  <si>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</si>
  <si>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</si>
  <si>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</si>
  <si>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</si>
  <si>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</si>
  <si>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</si>
  <si>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</si>
  <si>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</si>
  <si>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</si>
  <si>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Transferi iz budžeta CG </t>
  </si>
  <si>
    <t>Transfers from Central Budget</t>
  </si>
  <si>
    <t>Lolacl utility duties</t>
  </si>
  <si>
    <t>Fees for usage of construction land</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</si>
  <si>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</si>
  <si>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</si>
  <si>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</si>
  <si>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</si>
  <si>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</si>
  <si>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</si>
  <si>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</si>
  <si>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</si>
  <si>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</si>
  <si>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</si>
  <si>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</si>
  <si>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</si>
  <si>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</si>
  <si>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</si>
  <si>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</si>
  <si>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</si>
  <si>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</si>
  <si>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</si>
  <si>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</si>
  <si>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</si>
  <si>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</si>
  <si>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Otplata hartija od vrijednosti i kredita rezidentima</t>
  </si>
  <si>
    <t>Otplata hartija od vrijednosti i kredita nerezidentima</t>
  </si>
  <si>
    <t xml:space="preserve">Ministarstvo finansija/ Ministry of finance </t>
  </si>
  <si>
    <t>Neto promjena obaveza</t>
  </si>
  <si>
    <t>Donacije i transferi</t>
  </si>
  <si>
    <t>Naknada za komunalno opremanje građevinskog zemljišta</t>
  </si>
  <si>
    <t>Fee for communal equipment of construction land</t>
  </si>
  <si>
    <t>Primarni  suficit/deficit</t>
  </si>
  <si>
    <t xml:space="preserve">Primici od otplate kredita </t>
  </si>
  <si>
    <t>Primici od otplate kredita</t>
  </si>
  <si>
    <t>71175</t>
  </si>
  <si>
    <t>Prirez porezu na dohodak fizičkih lica</t>
  </si>
  <si>
    <t>Koršćenje depozita*</t>
  </si>
  <si>
    <t>NAPOMENA</t>
  </si>
  <si>
    <t>Korišćenje depozita*</t>
  </si>
  <si>
    <t>Q1-Q3 2025</t>
  </si>
  <si>
    <t>Plan Q1-Q3 2025</t>
  </si>
  <si>
    <t>Q1-Q3 2024</t>
  </si>
  <si>
    <t>*Korišćenje depozita - negativni predznak ispred iznosa plana, odnosno ostvarenja, označava povećanje depozita za navedeni iznos, dok pozitivan iznos prestavlja iznos korišćenja depozita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</si>
</sst>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_(* \(#,##0.00\);_(* &quot;-&quot;??_);_(@_)"/>
    <numFmt numFmtId="164" formatCode="_-* #,##0.00\ _€_-;\-* #,##0.00\ _€_-;_-* &quot;-&quot;??\ _€_-;_-@_-"/>
    <numFmt numFmtId="165" formatCode="0.0,,"/>
    <numFmt numFmtId="166" formatCode="#,##0.0"/>
    <numFmt numFmtId="167" formatCode="&quot;   &quot;@"/>
    <numFmt numFmtId="168" formatCode="&quot;      &quot;@"/>
    <numFmt numFmtId="169" formatCode="&quot;         &quot;@"/>
    <numFmt numFmtId="170" formatCode="&quot;            &quot;@"/>
    <numFmt numFmtId="171" formatCode="[&gt;0.05]#,##0.0;[&lt;-0.05]\-#,##0.0;\-\-&quot; &quot;;"/>
    <numFmt numFmtId="172" formatCode="[&gt;0.5]#,##0;[&lt;-0.5]\-#,##0;\-\-&quot; &quot;;"/>
    <numFmt numFmtId="173" formatCode="[Black]#,##0.0;[Black]\-#,##0.0;;"/>
    <numFmt numFmtId="174" formatCode="#,##0.0,,"/>
    <numFmt numFmtId="175" formatCode="0.0"/>
    <numFmt numFmtId="176" formatCode="_-* #,##0.00\ &quot;RSD&quot;_-;\-* #,##0.00\ &quot;RSD&quot;_-;_-* &quot;-&quot;??\ &quot;RSD&quot;_-;_-@_-"/>
    <numFmt numFmtId="177" formatCode="[$-409]General"/>
    <numFmt numFmtId="178" formatCode="0.00,,"/>
    <numFmt numFmtId="179" formatCode="0.000000000000000000"/>
    <numFmt numFmtId="180" formatCode="_-* #,##0.00\ _D_i_n_._-;\-* #,##0.00\ _D_i_n_._-;_-* &quot;-&quot;??\ _D_i_n_._-;_-@_-"/>
  </numFmts>
  <fonts count="69">
    <font>
      <sz val="10"/>
      <name val="Arial"/>
    </font>
    <font>
      <sz val="11"/>
      <color theme="1"/>
      <name val="Calibri"/>
      <family val="2"/>
      <scheme val="minor"/>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
      <b/>
      <sz val="10"/>
      <name val="Century Gothic"/>
      <family val="2"/>
    </font>
    <font>
      <sz val="12"/>
      <name val="Arial"/>
      <family val="2"/>
      <charset val="238"/>
    </font>
    <font>
      <sz val="11"/>
      <color rgb="FF9C0006"/>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1"/>
      <color indexed="8"/>
      <name val="Calibri"/>
      <family val="2"/>
      <charset val="238"/>
    </font>
    <font>
      <sz val="10"/>
      <color indexed="8"/>
      <name val="Arial"/>
      <family val="2"/>
    </font>
    <font>
      <b/>
      <sz val="11"/>
      <color indexed="8"/>
      <name val="Calibri"/>
      <family val="2"/>
      <charset val="238"/>
    </font>
    <font>
      <sz val="11"/>
      <color indexed="8"/>
      <name val="Calibri"/>
      <family val="2"/>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sz val="11"/>
      <color indexed="10"/>
      <name val="Calibri"/>
      <family val="2"/>
      <charset val="238"/>
    </font>
  </fonts>
  <fills count="60">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5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6">
    <xf numFmtId="0" fontId="0" fillId="0" borderId="0"/>
    <xf numFmtId="167" fontId="5" fillId="0" borderId="0" applyFont="0" applyFill="0" applyBorder="0" applyAlignment="0" applyProtection="0"/>
    <xf numFmtId="168" fontId="5" fillId="0" borderId="0" applyFont="0" applyFill="0" applyBorder="0" applyAlignment="0" applyProtection="0"/>
    <xf numFmtId="169" fontId="5" fillId="0" borderId="0" applyFont="0" applyFill="0" applyBorder="0" applyAlignment="0" applyProtection="0"/>
    <xf numFmtId="170" fontId="5" fillId="0" borderId="0" applyFont="0" applyFill="0" applyBorder="0" applyAlignment="0" applyProtection="0"/>
    <xf numFmtId="0" fontId="6" fillId="0" borderId="0" applyProtection="0"/>
    <xf numFmtId="0" fontId="7" fillId="0" borderId="0">
      <protection locked="0"/>
    </xf>
    <xf numFmtId="0" fontId="7" fillId="0" borderId="0">
      <protection locked="0"/>
    </xf>
    <xf numFmtId="0" fontId="8" fillId="0" borderId="0">
      <protection locked="0"/>
    </xf>
    <xf numFmtId="0" fontId="7" fillId="0" borderId="0">
      <protection locked="0"/>
    </xf>
    <xf numFmtId="0" fontId="7" fillId="0" borderId="0">
      <protection locked="0"/>
    </xf>
    <xf numFmtId="0" fontId="7" fillId="0" borderId="0">
      <protection locked="0"/>
    </xf>
    <xf numFmtId="0" fontId="8" fillId="0" borderId="0">
      <protection locked="0"/>
    </xf>
    <xf numFmtId="2" fontId="6" fillId="0" borderId="0" applyProtection="0"/>
    <xf numFmtId="0" fontId="6" fillId="0" borderId="0" applyNumberFormat="0" applyFont="0" applyFill="0" applyBorder="0" applyAlignment="0" applyProtection="0"/>
    <xf numFmtId="0" fontId="9" fillId="0" borderId="0" applyProtection="0"/>
    <xf numFmtId="171" fontId="5" fillId="0" borderId="0" applyFont="0" applyFill="0" applyBorder="0" applyAlignment="0" applyProtection="0"/>
    <xf numFmtId="172" fontId="5" fillId="0" borderId="0" applyFont="0" applyFill="0" applyBorder="0" applyAlignment="0" applyProtection="0"/>
    <xf numFmtId="166" fontId="10" fillId="0" borderId="0"/>
    <xf numFmtId="0" fontId="11" fillId="0" borderId="0"/>
    <xf numFmtId="0" fontId="12" fillId="0" borderId="0"/>
    <xf numFmtId="0" fontId="12" fillId="0" borderId="0"/>
    <xf numFmtId="0" fontId="15" fillId="0" borderId="0"/>
    <xf numFmtId="0" fontId="15" fillId="0" borderId="0"/>
    <xf numFmtId="0" fontId="15" fillId="0" borderId="0"/>
    <xf numFmtId="0" fontId="14" fillId="0" borderId="0">
      <alignment vertical="center"/>
    </xf>
    <xf numFmtId="0" fontId="16" fillId="0" borderId="0"/>
    <xf numFmtId="0" fontId="5" fillId="0" borderId="0"/>
    <xf numFmtId="0" fontId="4" fillId="0" borderId="0"/>
    <xf numFmtId="0" fontId="4" fillId="0" borderId="0"/>
    <xf numFmtId="0" fontId="15" fillId="0" borderId="0"/>
    <xf numFmtId="0" fontId="16" fillId="0" borderId="0"/>
    <xf numFmtId="0" fontId="15" fillId="0" borderId="0"/>
    <xf numFmtId="0" fontId="15" fillId="0" borderId="0"/>
    <xf numFmtId="0" fontId="15" fillId="0" borderId="0"/>
    <xf numFmtId="0" fontId="15" fillId="0" borderId="0"/>
    <xf numFmtId="0" fontId="15" fillId="0" borderId="0"/>
    <xf numFmtId="0" fontId="4" fillId="0" borderId="0"/>
    <xf numFmtId="173" fontId="5" fillId="0" borderId="0" applyFont="0" applyFill="0" applyBorder="0" applyAlignment="0" applyProtection="0"/>
    <xf numFmtId="0" fontId="13" fillId="0" borderId="0"/>
    <xf numFmtId="0" fontId="3" fillId="0" borderId="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170" fontId="4" fillId="0" borderId="0" applyFont="0" applyFill="0" applyBorder="0" applyAlignment="0" applyProtection="0"/>
    <xf numFmtId="171" fontId="4" fillId="0" borderId="0" applyFont="0" applyFill="0" applyBorder="0" applyAlignment="0" applyProtection="0"/>
    <xf numFmtId="172" fontId="4" fillId="0" borderId="0" applyFont="0" applyFill="0" applyBorder="0" applyAlignment="0" applyProtection="0"/>
    <xf numFmtId="173"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9" fontId="4" fillId="0" borderId="0" applyFont="0" applyFill="0" applyBorder="0" applyAlignment="0" applyProtection="0"/>
    <xf numFmtId="0" fontId="4" fillId="0" borderId="0"/>
    <xf numFmtId="176" fontId="4" fillId="0" borderId="0" applyFont="0" applyFill="0" applyBorder="0" applyAlignment="0" applyProtection="0"/>
    <xf numFmtId="177" fontId="31" fillId="0" borderId="0"/>
    <xf numFmtId="0" fontId="14" fillId="0" borderId="0"/>
    <xf numFmtId="0" fontId="14" fillId="0" borderId="0"/>
    <xf numFmtId="0" fontId="34" fillId="8" borderId="0" applyNumberFormat="0" applyBorder="0" applyAlignment="0" applyProtection="0"/>
    <xf numFmtId="0" fontId="35" fillId="0" borderId="0" applyNumberFormat="0" applyFill="0" applyBorder="0" applyAlignment="0" applyProtection="0"/>
    <xf numFmtId="0" fontId="36" fillId="0" borderId="32" applyNumberFormat="0" applyFill="0" applyAlignment="0" applyProtection="0"/>
    <xf numFmtId="0" fontId="37" fillId="0" borderId="33" applyNumberFormat="0" applyFill="0" applyAlignment="0" applyProtection="0"/>
    <xf numFmtId="0" fontId="38" fillId="0" borderId="34" applyNumberFormat="0" applyFill="0" applyAlignment="0" applyProtection="0"/>
    <xf numFmtId="0" fontId="38" fillId="0" borderId="0" applyNumberFormat="0" applyFill="0" applyBorder="0" applyAlignment="0" applyProtection="0"/>
    <xf numFmtId="0" fontId="39" fillId="7" borderId="0" applyNumberFormat="0" applyBorder="0" applyAlignment="0" applyProtection="0"/>
    <xf numFmtId="0" fontId="34" fillId="8" borderId="0" applyNumberFormat="0" applyBorder="0" applyAlignment="0" applyProtection="0"/>
    <xf numFmtId="0" fontId="40" fillId="9" borderId="0" applyNumberFormat="0" applyBorder="0" applyAlignment="0" applyProtection="0"/>
    <xf numFmtId="0" fontId="41" fillId="10" borderId="35" applyNumberFormat="0" applyAlignment="0" applyProtection="0"/>
    <xf numFmtId="0" fontId="42" fillId="11" borderId="36" applyNumberFormat="0" applyAlignment="0" applyProtection="0"/>
    <xf numFmtId="0" fontId="43" fillId="11" borderId="35" applyNumberFormat="0" applyAlignment="0" applyProtection="0"/>
    <xf numFmtId="0" fontId="44" fillId="0" borderId="37" applyNumberFormat="0" applyFill="0" applyAlignment="0" applyProtection="0"/>
    <xf numFmtId="0" fontId="45" fillId="12" borderId="38" applyNumberFormat="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40" applyNumberFormat="0" applyFill="0" applyAlignment="0" applyProtection="0"/>
    <xf numFmtId="0" fontId="4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49" fillId="21" borderId="0" applyNumberFormat="0" applyBorder="0" applyAlignment="0" applyProtection="0"/>
    <xf numFmtId="0" fontId="4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49" fillId="25" borderId="0" applyNumberFormat="0" applyBorder="0" applyAlignment="0" applyProtection="0"/>
    <xf numFmtId="0" fontId="4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49" fillId="29" borderId="0" applyNumberFormat="0" applyBorder="0" applyAlignment="0" applyProtection="0"/>
    <xf numFmtId="0" fontId="4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49" fillId="33" borderId="0" applyNumberFormat="0" applyBorder="0" applyAlignment="0" applyProtection="0"/>
    <xf numFmtId="0" fontId="49"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49" fillId="37" borderId="0" applyNumberFormat="0" applyBorder="0" applyAlignment="0" applyProtection="0"/>
    <xf numFmtId="0" fontId="2" fillId="0" borderId="0"/>
    <xf numFmtId="0" fontId="2" fillId="13" borderId="39"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3" borderId="39" applyNumberFormat="0" applyFont="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0" borderId="0"/>
    <xf numFmtId="0" fontId="2" fillId="0" borderId="0"/>
    <xf numFmtId="0" fontId="2" fillId="0" borderId="0"/>
    <xf numFmtId="0" fontId="1" fillId="0" borderId="0"/>
    <xf numFmtId="0" fontId="33" fillId="0" borderId="0"/>
    <xf numFmtId="0" fontId="1" fillId="0" borderId="0"/>
    <xf numFmtId="164" fontId="4" fillId="0" borderId="0" applyFont="0" applyFill="0" applyBorder="0" applyAlignment="0" applyProtection="0"/>
    <xf numFmtId="0" fontId="2" fillId="0" borderId="0"/>
    <xf numFmtId="164" fontId="4" fillId="0" borderId="0" applyFont="0" applyFill="0" applyBorder="0" applyAlignment="0" applyProtection="0"/>
    <xf numFmtId="0" fontId="14" fillId="0" borderId="0"/>
    <xf numFmtId="167" fontId="4" fillId="0" borderId="0" applyFont="0" applyFill="0" applyBorder="0" applyAlignment="0" applyProtection="0"/>
    <xf numFmtId="168" fontId="4" fillId="0" borderId="0" applyFont="0" applyFill="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40" borderId="0" applyNumberFormat="0" applyBorder="0" applyAlignment="0" applyProtection="0"/>
    <xf numFmtId="0" fontId="50" fillId="41" borderId="0" applyNumberFormat="0" applyBorder="0" applyAlignment="0" applyProtection="0"/>
    <xf numFmtId="0" fontId="50" fillId="42" borderId="0" applyNumberFormat="0" applyBorder="0" applyAlignment="0" applyProtection="0"/>
    <xf numFmtId="0" fontId="50" fillId="43" borderId="0" applyNumberFormat="0" applyBorder="0" applyAlignment="0" applyProtection="0"/>
    <xf numFmtId="169" fontId="4" fillId="0" borderId="0" applyFont="0" applyFill="0" applyBorder="0" applyAlignment="0" applyProtection="0"/>
    <xf numFmtId="170" fontId="4" fillId="0" borderId="0" applyFont="0" applyFill="0" applyBorder="0" applyAlignment="0" applyProtection="0"/>
    <xf numFmtId="0" fontId="50" fillId="44" borderId="0" applyNumberFormat="0" applyBorder="0" applyAlignment="0" applyProtection="0"/>
    <xf numFmtId="0" fontId="50" fillId="45" borderId="0" applyNumberFormat="0" applyBorder="0" applyAlignment="0" applyProtection="0"/>
    <xf numFmtId="0" fontId="50" fillId="46" borderId="0" applyNumberFormat="0" applyBorder="0" applyAlignment="0" applyProtection="0"/>
    <xf numFmtId="0" fontId="50" fillId="41" borderId="0" applyNumberFormat="0" applyBorder="0" applyAlignment="0" applyProtection="0"/>
    <xf numFmtId="0" fontId="50" fillId="44" borderId="0" applyNumberFormat="0" applyBorder="0" applyAlignment="0" applyProtection="0"/>
    <xf numFmtId="0" fontId="50" fillId="47" borderId="0" applyNumberFormat="0" applyBorder="0" applyAlignment="0" applyProtection="0"/>
    <xf numFmtId="0" fontId="54" fillId="48" borderId="0" applyNumberFormat="0" applyBorder="0" applyAlignment="0" applyProtection="0"/>
    <xf numFmtId="0" fontId="54" fillId="45" borderId="0" applyNumberFormat="0" applyBorder="0" applyAlignment="0" applyProtection="0"/>
    <xf numFmtId="0" fontId="54" fillId="46" borderId="0" applyNumberFormat="0" applyBorder="0" applyAlignment="0" applyProtection="0"/>
    <xf numFmtId="0" fontId="54" fillId="49" borderId="0" applyNumberFormat="0" applyBorder="0" applyAlignment="0" applyProtection="0"/>
    <xf numFmtId="0" fontId="54" fillId="50" borderId="0" applyNumberFormat="0" applyBorder="0" applyAlignment="0" applyProtection="0"/>
    <xf numFmtId="0" fontId="54" fillId="51" borderId="0" applyNumberFormat="0" applyBorder="0" applyAlignment="0" applyProtection="0"/>
    <xf numFmtId="0" fontId="54" fillId="52" borderId="0" applyNumberFormat="0" applyBorder="0" applyAlignment="0" applyProtection="0"/>
    <xf numFmtId="0" fontId="54" fillId="53" borderId="0" applyNumberFormat="0" applyBorder="0" applyAlignment="0" applyProtection="0"/>
    <xf numFmtId="0" fontId="54" fillId="54" borderId="0" applyNumberFormat="0" applyBorder="0" applyAlignment="0" applyProtection="0"/>
    <xf numFmtId="0" fontId="54" fillId="49" borderId="0" applyNumberFormat="0" applyBorder="0" applyAlignment="0" applyProtection="0"/>
    <xf numFmtId="0" fontId="54" fillId="50" borderId="0" applyNumberFormat="0" applyBorder="0" applyAlignment="0" applyProtection="0"/>
    <xf numFmtId="0" fontId="54" fillId="55" borderId="0" applyNumberFormat="0" applyBorder="0" applyAlignment="0" applyProtection="0"/>
    <xf numFmtId="0" fontId="55" fillId="39" borderId="0" applyNumberFormat="0" applyBorder="0" applyAlignment="0" applyProtection="0"/>
    <xf numFmtId="0" fontId="56" fillId="56" borderId="41" applyNumberFormat="0" applyAlignment="0" applyProtection="0"/>
    <xf numFmtId="0" fontId="57" fillId="57" borderId="42" applyNumberFormat="0" applyAlignment="0" applyProtection="0"/>
    <xf numFmtId="43" fontId="14" fillId="0" borderId="0" applyFont="0" applyFill="0" applyBorder="0" applyAlignment="0" applyProtection="0"/>
    <xf numFmtId="43" fontId="4" fillId="0" borderId="0" applyFont="0" applyFill="0" applyBorder="0" applyAlignment="0" applyProtection="0"/>
    <xf numFmtId="0" fontId="50" fillId="0" borderId="0"/>
    <xf numFmtId="0" fontId="4" fillId="0" borderId="0"/>
    <xf numFmtId="0" fontId="4" fillId="0" borderId="0"/>
    <xf numFmtId="0" fontId="4" fillId="0" borderId="0"/>
    <xf numFmtId="0" fontId="58" fillId="0" borderId="0" applyNumberFormat="0" applyFill="0" applyBorder="0" applyAlignment="0" applyProtection="0"/>
    <xf numFmtId="0" fontId="59" fillId="40" borderId="0" applyNumberFormat="0" applyBorder="0" applyAlignment="0" applyProtection="0"/>
    <xf numFmtId="0" fontId="60" fillId="0" borderId="43" applyNumberFormat="0" applyFill="0" applyAlignment="0" applyProtection="0"/>
    <xf numFmtId="0" fontId="61" fillId="0" borderId="44" applyNumberFormat="0" applyFill="0" applyAlignment="0" applyProtection="0"/>
    <xf numFmtId="0" fontId="62" fillId="0" borderId="45" applyNumberFormat="0" applyFill="0" applyAlignment="0" applyProtection="0"/>
    <xf numFmtId="0" fontId="62" fillId="0" borderId="0" applyNumberFormat="0" applyFill="0" applyBorder="0" applyAlignment="0" applyProtection="0"/>
    <xf numFmtId="171" fontId="4" fillId="0" borderId="0" applyFont="0" applyFill="0" applyBorder="0" applyAlignment="0" applyProtection="0"/>
    <xf numFmtId="172" fontId="4" fillId="0" borderId="0" applyFont="0" applyFill="0" applyBorder="0" applyAlignment="0" applyProtection="0"/>
    <xf numFmtId="0" fontId="63" fillId="43" borderId="41" applyNumberFormat="0" applyAlignment="0" applyProtection="0"/>
    <xf numFmtId="0" fontId="64" fillId="0" borderId="46" applyNumberFormat="0" applyFill="0" applyAlignment="0" applyProtection="0"/>
    <xf numFmtId="0" fontId="65"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1" fillId="0" borderId="0">
      <alignment vertical="top"/>
    </xf>
    <xf numFmtId="0" fontId="51" fillId="0" borderId="0">
      <alignment vertical="top"/>
    </xf>
    <xf numFmtId="0" fontId="51"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14" fillId="0" borderId="0"/>
    <xf numFmtId="0" fontId="1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53" fillId="59" borderId="47" applyNumberFormat="0" applyFont="0" applyAlignment="0" applyProtection="0"/>
    <xf numFmtId="0" fontId="66" fillId="56" borderId="48" applyNumberFormat="0" applyAlignment="0" applyProtection="0"/>
    <xf numFmtId="173" fontId="4" fillId="0" borderId="0" applyFont="0" applyFill="0" applyBorder="0" applyAlignment="0" applyProtection="0"/>
    <xf numFmtId="0" fontId="67" fillId="0" borderId="0" applyNumberFormat="0" applyFill="0" applyBorder="0" applyAlignment="0" applyProtection="0"/>
    <xf numFmtId="0" fontId="52" fillId="0" borderId="49" applyNumberFormat="0" applyFill="0" applyAlignment="0" applyProtection="0"/>
    <xf numFmtId="0" fontId="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 fillId="0" borderId="0"/>
    <xf numFmtId="0" fontId="2" fillId="31" borderId="0" applyNumberFormat="0" applyBorder="0" applyAlignment="0" applyProtection="0"/>
    <xf numFmtId="0" fontId="2" fillId="32" borderId="0" applyNumberFormat="0" applyBorder="0" applyAlignment="0" applyProtection="0"/>
    <xf numFmtId="0" fontId="1" fillId="0" borderId="0"/>
    <xf numFmtId="0" fontId="2" fillId="35" borderId="0" applyNumberFormat="0" applyBorder="0" applyAlignment="0" applyProtection="0"/>
    <xf numFmtId="0" fontId="2" fillId="36" borderId="0" applyNumberFormat="0" applyBorder="0" applyAlignment="0" applyProtection="0"/>
    <xf numFmtId="0" fontId="2" fillId="0" borderId="0"/>
    <xf numFmtId="0" fontId="2" fillId="13" borderId="39" applyNumberFormat="0" applyFont="0" applyAlignment="0" applyProtection="0"/>
    <xf numFmtId="0" fontId="1" fillId="0" borderId="0"/>
    <xf numFmtId="0" fontId="1" fillId="0" borderId="0"/>
    <xf numFmtId="180" fontId="1" fillId="0" borderId="0" applyFont="0" applyFill="0" applyBorder="0" applyAlignment="0" applyProtection="0"/>
    <xf numFmtId="0" fontId="1" fillId="0" borderId="0"/>
    <xf numFmtId="0" fontId="1" fillId="0" borderId="0"/>
    <xf numFmtId="0" fontId="1" fillId="0" borderId="0"/>
    <xf numFmtId="0" fontId="1" fillId="0" borderId="0"/>
  </cellStyleXfs>
  <cellXfs count="131">
    <xf numFmtId="0" fontId="0" fillId="0" borderId="0" xfId="0"/>
    <xf numFmtId="0" fontId="4" fillId="0" borderId="0" xfId="27" applyFont="1"/>
    <xf numFmtId="0" fontId="4" fillId="0" borderId="0" xfId="27" applyFont="1" applyFill="1"/>
    <xf numFmtId="0" fontId="4" fillId="2" borderId="0" xfId="27" applyFont="1" applyFill="1"/>
    <xf numFmtId="0" fontId="17" fillId="0" borderId="0" xfId="0" applyFont="1"/>
    <xf numFmtId="0" fontId="17" fillId="0" borderId="0" xfId="0" applyFont="1" applyAlignment="1">
      <alignment horizontal="center"/>
    </xf>
    <xf numFmtId="165" fontId="17" fillId="0" borderId="0" xfId="0" applyNumberFormat="1" applyFont="1"/>
    <xf numFmtId="0" fontId="17" fillId="0" borderId="0" xfId="27" applyFont="1"/>
    <xf numFmtId="0" fontId="18" fillId="0" borderId="0" xfId="0" applyFont="1"/>
    <xf numFmtId="0" fontId="18" fillId="0" borderId="0" xfId="0" applyFont="1" applyBorder="1" applyAlignment="1"/>
    <xf numFmtId="0" fontId="18" fillId="0" borderId="0" xfId="27" applyFont="1"/>
    <xf numFmtId="165" fontId="18" fillId="0" borderId="0" xfId="0" applyNumberFormat="1" applyFont="1"/>
    <xf numFmtId="165" fontId="18" fillId="0" borderId="1" xfId="0" applyNumberFormat="1" applyFont="1" applyBorder="1" applyAlignment="1">
      <alignment horizontal="center"/>
    </xf>
    <xf numFmtId="0" fontId="18" fillId="0" borderId="1" xfId="0" applyFont="1" applyBorder="1" applyAlignment="1">
      <alignment horizontal="center"/>
    </xf>
    <xf numFmtId="0" fontId="18" fillId="0" borderId="1" xfId="27" applyFont="1" applyBorder="1" applyAlignment="1">
      <alignment horizontal="center"/>
    </xf>
    <xf numFmtId="0" fontId="18" fillId="5" borderId="5" xfId="0" applyFont="1" applyFill="1" applyBorder="1"/>
    <xf numFmtId="0" fontId="19" fillId="5" borderId="1" xfId="0" applyFont="1" applyFill="1" applyBorder="1"/>
    <xf numFmtId="165" fontId="18" fillId="5" borderId="1" xfId="0" applyNumberFormat="1" applyFont="1" applyFill="1" applyBorder="1"/>
    <xf numFmtId="0" fontId="18" fillId="0" borderId="5" xfId="0" applyFont="1" applyBorder="1"/>
    <xf numFmtId="0" fontId="18" fillId="0" borderId="1" xfId="0" applyFont="1" applyBorder="1"/>
    <xf numFmtId="165" fontId="18" fillId="0" borderId="1" xfId="0" applyNumberFormat="1" applyFont="1" applyBorder="1"/>
    <xf numFmtId="0" fontId="17" fillId="0" borderId="5" xfId="0" applyFont="1" applyBorder="1"/>
    <xf numFmtId="0" fontId="17" fillId="0" borderId="1" xfId="0" applyFont="1" applyBorder="1"/>
    <xf numFmtId="165" fontId="17" fillId="0" borderId="1" xfId="0" applyNumberFormat="1" applyFont="1" applyBorder="1"/>
    <xf numFmtId="0" fontId="18" fillId="0" borderId="7" xfId="0" applyFont="1" applyBorder="1"/>
    <xf numFmtId="0" fontId="18" fillId="0" borderId="8" xfId="0" applyFont="1" applyBorder="1"/>
    <xf numFmtId="165" fontId="18" fillId="0" borderId="8" xfId="0" applyNumberFormat="1" applyFont="1" applyBorder="1"/>
    <xf numFmtId="0" fontId="17" fillId="0" borderId="1" xfId="0" applyFont="1" applyBorder="1" applyAlignment="1">
      <alignment wrapText="1"/>
    </xf>
    <xf numFmtId="0" fontId="18" fillId="0" borderId="14" xfId="0" applyFont="1" applyBorder="1"/>
    <xf numFmtId="0" fontId="18" fillId="0" borderId="15" xfId="0" applyFont="1" applyBorder="1"/>
    <xf numFmtId="165" fontId="18" fillId="0" borderId="15" xfId="0" applyNumberFormat="1" applyFont="1" applyBorder="1"/>
    <xf numFmtId="0" fontId="18" fillId="3" borderId="5" xfId="0" applyFont="1" applyFill="1" applyBorder="1"/>
    <xf numFmtId="0" fontId="19" fillId="3" borderId="1" xfId="0" applyFont="1" applyFill="1" applyBorder="1"/>
    <xf numFmtId="165" fontId="18" fillId="3" borderId="1" xfId="0" applyNumberFormat="1" applyFont="1" applyFill="1" applyBorder="1"/>
    <xf numFmtId="0" fontId="4" fillId="3" borderId="0" xfId="27" applyFont="1" applyFill="1"/>
    <xf numFmtId="0" fontId="18" fillId="4" borderId="5" xfId="0" applyFont="1" applyFill="1" applyBorder="1"/>
    <xf numFmtId="0" fontId="19" fillId="4" borderId="1" xfId="0" applyFont="1" applyFill="1" applyBorder="1"/>
    <xf numFmtId="165" fontId="18" fillId="4" borderId="1" xfId="0" applyNumberFormat="1" applyFont="1" applyFill="1" applyBorder="1"/>
    <xf numFmtId="0" fontId="4" fillId="4" borderId="0" xfId="27" applyFont="1" applyFill="1"/>
    <xf numFmtId="175" fontId="18" fillId="5" borderId="1" xfId="0" applyNumberFormat="1" applyFont="1" applyFill="1" applyBorder="1"/>
    <xf numFmtId="175" fontId="18" fillId="0" borderId="1" xfId="0" applyNumberFormat="1" applyFont="1" applyBorder="1"/>
    <xf numFmtId="175" fontId="17" fillId="0" borderId="1" xfId="0" applyNumberFormat="1" applyFont="1" applyBorder="1"/>
    <xf numFmtId="175" fontId="18" fillId="0" borderId="8" xfId="0" applyNumberFormat="1" applyFont="1" applyBorder="1"/>
    <xf numFmtId="175" fontId="18" fillId="3" borderId="1" xfId="0" applyNumberFormat="1" applyFont="1" applyFill="1" applyBorder="1"/>
    <xf numFmtId="175" fontId="18"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9" fillId="6" borderId="0" xfId="0" applyFont="1"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22" fillId="6" borderId="0" xfId="0" applyFont="1" applyFill="1" applyBorder="1" applyAlignment="1" applyProtection="1">
      <alignment vertical="center"/>
      <protection hidden="1"/>
    </xf>
    <xf numFmtId="0" fontId="0" fillId="6" borderId="0" xfId="0" applyFill="1"/>
    <xf numFmtId="174" fontId="23" fillId="6" borderId="21" xfId="0" applyNumberFormat="1" applyFont="1" applyFill="1" applyBorder="1" applyAlignment="1" applyProtection="1">
      <alignment vertical="center"/>
      <protection hidden="1"/>
    </xf>
    <xf numFmtId="175" fontId="23" fillId="6" borderId="1" xfId="0" applyNumberFormat="1" applyFont="1" applyFill="1" applyBorder="1" applyAlignment="1" applyProtection="1">
      <alignment vertical="center"/>
      <protection hidden="1"/>
    </xf>
    <xf numFmtId="174" fontId="24" fillId="6" borderId="21" xfId="0" applyNumberFormat="1" applyFont="1" applyFill="1" applyBorder="1" applyAlignment="1" applyProtection="1">
      <alignment vertical="center"/>
      <protection hidden="1"/>
    </xf>
    <xf numFmtId="0" fontId="25" fillId="6" borderId="0" xfId="0" applyFont="1" applyFill="1" applyBorder="1" applyAlignment="1" applyProtection="1">
      <alignment horizontal="center" vertical="top"/>
      <protection hidden="1"/>
    </xf>
    <xf numFmtId="0" fontId="26"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2" fillId="6" borderId="0" xfId="0" applyFont="1" applyFill="1" applyAlignment="1" applyProtection="1">
      <alignment vertical="center"/>
      <protection hidden="1"/>
    </xf>
    <xf numFmtId="0" fontId="27"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20" fillId="2" borderId="0" xfId="0" applyFont="1" applyFill="1" applyAlignment="1" applyProtection="1">
      <alignment vertical="center"/>
      <protection hidden="1"/>
    </xf>
    <xf numFmtId="0" fontId="30" fillId="0" borderId="0" xfId="0" applyFont="1" applyAlignment="1">
      <alignment vertical="center" wrapText="1"/>
    </xf>
    <xf numFmtId="165" fontId="18" fillId="2" borderId="1" xfId="0" applyNumberFormat="1" applyFont="1" applyFill="1" applyBorder="1"/>
    <xf numFmtId="0" fontId="19" fillId="3" borderId="6" xfId="0" applyFont="1" applyFill="1" applyBorder="1"/>
    <xf numFmtId="0" fontId="18" fillId="0" borderId="6" xfId="0" applyFont="1" applyBorder="1"/>
    <xf numFmtId="0" fontId="17" fillId="0" borderId="6" xfId="0" applyFont="1" applyBorder="1"/>
    <xf numFmtId="0" fontId="17" fillId="0" borderId="6" xfId="0" applyFont="1" applyBorder="1" applyAlignment="1">
      <alignment wrapText="1"/>
    </xf>
    <xf numFmtId="0" fontId="18" fillId="0" borderId="28" xfId="0" applyFont="1" applyBorder="1"/>
    <xf numFmtId="0" fontId="18" fillId="0" borderId="25" xfId="0" applyFont="1" applyBorder="1"/>
    <xf numFmtId="165" fontId="17" fillId="0" borderId="1" xfId="27" applyNumberFormat="1" applyFont="1" applyBorder="1" applyAlignment="1">
      <alignment horizontal="right"/>
    </xf>
    <xf numFmtId="0" fontId="18" fillId="0" borderId="1" xfId="0" applyFont="1" applyBorder="1" applyAlignment="1">
      <alignment wrapText="1"/>
    </xf>
    <xf numFmtId="2" fontId="4" fillId="0" borderId="0" xfId="27" applyNumberFormat="1" applyFont="1"/>
    <xf numFmtId="0" fontId="19" fillId="4" borderId="6" xfId="0" applyFont="1" applyFill="1" applyBorder="1"/>
    <xf numFmtId="0" fontId="19" fillId="5" borderId="6" xfId="0" applyFont="1" applyFill="1" applyBorder="1"/>
    <xf numFmtId="0" fontId="19" fillId="5" borderId="5" xfId="0" applyFont="1" applyFill="1" applyBorder="1"/>
    <xf numFmtId="165" fontId="17" fillId="0" borderId="1" xfId="28" applyNumberFormat="1" applyFont="1" applyBorder="1" applyAlignment="1">
      <alignment horizontal="right"/>
    </xf>
    <xf numFmtId="175" fontId="4" fillId="0" borderId="0" xfId="27" applyNumberFormat="1" applyFont="1"/>
    <xf numFmtId="166" fontId="17" fillId="0" borderId="0" xfId="0" applyNumberFormat="1" applyFont="1"/>
    <xf numFmtId="166" fontId="17" fillId="0" borderId="0" xfId="27" applyNumberFormat="1" applyFont="1"/>
    <xf numFmtId="178" fontId="4" fillId="0" borderId="0" xfId="27" applyNumberFormat="1" applyFont="1"/>
    <xf numFmtId="165" fontId="4" fillId="0" borderId="0" xfId="27" applyNumberFormat="1" applyFont="1"/>
    <xf numFmtId="166" fontId="0" fillId="0" borderId="0" xfId="0" applyNumberFormat="1"/>
    <xf numFmtId="175" fontId="18" fillId="0" borderId="1" xfId="0" applyNumberFormat="1" applyFont="1" applyBorder="1" applyAlignment="1">
      <alignment horizontal="right"/>
    </xf>
    <xf numFmtId="0" fontId="18" fillId="0" borderId="31" xfId="0" applyFont="1" applyBorder="1"/>
    <xf numFmtId="0" fontId="18" fillId="2" borderId="1" xfId="0" applyFont="1" applyFill="1" applyBorder="1"/>
    <xf numFmtId="0" fontId="32" fillId="0" borderId="1" xfId="0" applyFont="1" applyBorder="1"/>
    <xf numFmtId="175" fontId="18" fillId="5" borderId="1" xfId="0" applyNumberFormat="1" applyFont="1" applyFill="1" applyBorder="1" applyAlignment="1">
      <alignment horizontal="right"/>
    </xf>
    <xf numFmtId="175" fontId="17" fillId="0" borderId="1" xfId="0" applyNumberFormat="1" applyFont="1" applyBorder="1" applyAlignment="1">
      <alignment horizontal="right"/>
    </xf>
    <xf numFmtId="175" fontId="18" fillId="0" borderId="8" xfId="0" applyNumberFormat="1" applyFont="1" applyBorder="1" applyAlignment="1">
      <alignment horizontal="right"/>
    </xf>
    <xf numFmtId="0" fontId="17" fillId="0" borderId="0" xfId="27" applyFont="1" applyAlignment="1">
      <alignment horizontal="right"/>
    </xf>
    <xf numFmtId="0" fontId="18" fillId="0" borderId="0" xfId="27" applyFont="1" applyAlignment="1">
      <alignment horizontal="right"/>
    </xf>
    <xf numFmtId="0" fontId="18" fillId="0" borderId="1" xfId="0" applyFont="1" applyBorder="1" applyAlignment="1">
      <alignment horizontal="right"/>
    </xf>
    <xf numFmtId="175" fontId="18" fillId="3" borderId="1" xfId="0" applyNumberFormat="1" applyFont="1" applyFill="1" applyBorder="1" applyAlignment="1">
      <alignment horizontal="right"/>
    </xf>
    <xf numFmtId="0" fontId="18" fillId="0" borderId="1" xfId="27" applyFont="1" applyBorder="1" applyAlignment="1">
      <alignment horizontal="right"/>
    </xf>
    <xf numFmtId="175" fontId="18" fillId="4" borderId="1" xfId="0" applyNumberFormat="1" applyFont="1" applyFill="1" applyBorder="1" applyAlignment="1">
      <alignment horizontal="right"/>
    </xf>
    <xf numFmtId="0" fontId="18" fillId="0" borderId="1" xfId="0" applyFont="1" applyFill="1" applyBorder="1"/>
    <xf numFmtId="179" fontId="4" fillId="0" borderId="0" xfId="27" applyNumberFormat="1" applyFont="1"/>
    <xf numFmtId="178" fontId="18" fillId="0" borderId="1" xfId="0" applyNumberFormat="1" applyFont="1" applyBorder="1" applyAlignment="1">
      <alignment horizontal="right"/>
    </xf>
    <xf numFmtId="175" fontId="17" fillId="0" borderId="0" xfId="0" applyNumberFormat="1" applyFont="1" applyAlignment="1">
      <alignment horizontal="center"/>
    </xf>
    <xf numFmtId="0" fontId="17" fillId="0" borderId="5" xfId="0" applyFont="1" applyBorder="1" applyAlignment="1">
      <alignment horizontal="right"/>
    </xf>
    <xf numFmtId="165" fontId="17" fillId="0" borderId="1" xfId="0" applyNumberFormat="1" applyFont="1" applyFill="1" applyBorder="1"/>
    <xf numFmtId="165" fontId="18" fillId="0" borderId="1" xfId="0" applyNumberFormat="1" applyFont="1" applyFill="1" applyBorder="1"/>
    <xf numFmtId="165" fontId="17" fillId="0" borderId="1" xfId="27" applyNumberFormat="1" applyFont="1" applyFill="1" applyBorder="1" applyAlignment="1">
      <alignment horizontal="right"/>
    </xf>
    <xf numFmtId="175" fontId="18" fillId="0" borderId="1" xfId="0" applyNumberFormat="1" applyFont="1" applyFill="1" applyBorder="1"/>
    <xf numFmtId="165" fontId="17" fillId="0" borderId="1" xfId="28" applyNumberFormat="1" applyFont="1" applyFill="1" applyBorder="1" applyAlignment="1">
      <alignment horizontal="right"/>
    </xf>
    <xf numFmtId="0" fontId="20" fillId="6" borderId="0" xfId="0" applyFont="1" applyFill="1" applyBorder="1" applyAlignment="1" applyProtection="1">
      <alignment horizontal="center" vertical="center" wrapText="1"/>
      <protection hidden="1"/>
    </xf>
    <xf numFmtId="165" fontId="18" fillId="0" borderId="3" xfId="0" applyNumberFormat="1" applyFont="1" applyBorder="1" applyAlignment="1">
      <alignment horizontal="center"/>
    </xf>
    <xf numFmtId="165" fontId="18" fillId="0" borderId="4" xfId="0" applyNumberFormat="1" applyFont="1" applyBorder="1" applyAlignment="1">
      <alignment horizontal="center"/>
    </xf>
    <xf numFmtId="0" fontId="18" fillId="0" borderId="26" xfId="0" applyFont="1" applyBorder="1" applyAlignment="1">
      <alignment horizontal="center"/>
    </xf>
    <xf numFmtId="0" fontId="18" fillId="0" borderId="27" xfId="0" applyFont="1" applyBorder="1" applyAlignment="1">
      <alignment horizontal="center"/>
    </xf>
    <xf numFmtId="0" fontId="18" fillId="0" borderId="12" xfId="0" applyFont="1" applyBorder="1" applyAlignment="1">
      <alignment horizontal="center"/>
    </xf>
    <xf numFmtId="0" fontId="18" fillId="0" borderId="13" xfId="0" applyFont="1" applyBorder="1" applyAlignment="1">
      <alignment horizontal="center"/>
    </xf>
    <xf numFmtId="0" fontId="18" fillId="0" borderId="2" xfId="0" applyFont="1" applyBorder="1" applyAlignment="1">
      <alignment horizontal="center" wrapText="1"/>
    </xf>
    <xf numFmtId="0" fontId="18" fillId="0" borderId="11" xfId="0" applyFont="1" applyBorder="1" applyAlignment="1">
      <alignment horizontal="center" wrapText="1"/>
    </xf>
    <xf numFmtId="0" fontId="18" fillId="0" borderId="9" xfId="27" applyFont="1" applyBorder="1" applyAlignment="1">
      <alignment horizontal="center"/>
    </xf>
    <xf numFmtId="0" fontId="18" fillId="0" borderId="10" xfId="27" applyFont="1" applyBorder="1" applyAlignment="1">
      <alignment horizontal="center"/>
    </xf>
    <xf numFmtId="0" fontId="18" fillId="0" borderId="9" xfId="0" applyFont="1" applyBorder="1" applyAlignment="1">
      <alignment horizontal="center"/>
    </xf>
    <xf numFmtId="0" fontId="18" fillId="0" borderId="10" xfId="0" applyFont="1" applyBorder="1" applyAlignment="1">
      <alignment horizontal="center"/>
    </xf>
    <xf numFmtId="0" fontId="18" fillId="0" borderId="9" xfId="28" applyFont="1" applyBorder="1" applyAlignment="1">
      <alignment horizontal="center"/>
    </xf>
    <xf numFmtId="0" fontId="18" fillId="0" borderId="10" xfId="28" applyFont="1" applyBorder="1" applyAlignment="1">
      <alignment horizontal="center"/>
    </xf>
    <xf numFmtId="165" fontId="18" fillId="2" borderId="3" xfId="0" applyNumberFormat="1" applyFont="1" applyFill="1" applyBorder="1" applyAlignment="1">
      <alignment horizontal="center"/>
    </xf>
    <xf numFmtId="165" fontId="18" fillId="2" borderId="4" xfId="0" applyNumberFormat="1" applyFont="1" applyFill="1" applyBorder="1" applyAlignment="1">
      <alignment horizontal="center"/>
    </xf>
    <xf numFmtId="0" fontId="18" fillId="0" borderId="29" xfId="27" applyFont="1" applyBorder="1" applyAlignment="1">
      <alignment horizontal="center"/>
    </xf>
    <xf numFmtId="0" fontId="18" fillId="0" borderId="30" xfId="27" applyFont="1" applyBorder="1" applyAlignment="1">
      <alignment horizontal="center"/>
    </xf>
  </cellXfs>
  <cellStyles count="286">
    <cellStyle name="1 indent" xfId="1" xr:uid="{00000000-0005-0000-0000-000000000000}"/>
    <cellStyle name="1 indent 2" xfId="41" xr:uid="{00000000-0005-0000-0000-000001000000}"/>
    <cellStyle name="1 indent 3" xfId="140" xr:uid="{00000000-0005-0000-0000-000002000000}"/>
    <cellStyle name="2 indents" xfId="2" xr:uid="{00000000-0005-0000-0000-000003000000}"/>
    <cellStyle name="2 indents 2" xfId="42" xr:uid="{00000000-0005-0000-0000-000004000000}"/>
    <cellStyle name="2 indents 3" xfId="141" xr:uid="{00000000-0005-0000-0000-000005000000}"/>
    <cellStyle name="20% - Accent1 2" xfId="118" xr:uid="{00000000-0005-0000-0000-000006000000}"/>
    <cellStyle name="20% - Accent1 2 2" xfId="142" xr:uid="{00000000-0005-0000-0000-000007000000}"/>
    <cellStyle name="20% - Accent1 3" xfId="263" xr:uid="{00000000-0005-0000-0000-000008000000}"/>
    <cellStyle name="20% - Accent1 4" xfId="82" xr:uid="{00000000-0005-0000-0000-000009000000}"/>
    <cellStyle name="20% - Accent2 2" xfId="120" xr:uid="{00000000-0005-0000-0000-00000A000000}"/>
    <cellStyle name="20% - Accent2 2 2" xfId="143" xr:uid="{00000000-0005-0000-0000-00000B000000}"/>
    <cellStyle name="20% - Accent2 3" xfId="265" xr:uid="{00000000-0005-0000-0000-00000C000000}"/>
    <cellStyle name="20% - Accent2 4" xfId="86" xr:uid="{00000000-0005-0000-0000-00000D000000}"/>
    <cellStyle name="20% - Accent3 2" xfId="122" xr:uid="{00000000-0005-0000-0000-00000E000000}"/>
    <cellStyle name="20% - Accent3 2 2" xfId="144" xr:uid="{00000000-0005-0000-0000-00000F000000}"/>
    <cellStyle name="20% - Accent3 3" xfId="267" xr:uid="{00000000-0005-0000-0000-000010000000}"/>
    <cellStyle name="20% - Accent3 4" xfId="90" xr:uid="{00000000-0005-0000-0000-000011000000}"/>
    <cellStyle name="20% - Accent4 2" xfId="124" xr:uid="{00000000-0005-0000-0000-000012000000}"/>
    <cellStyle name="20% - Accent4 2 2" xfId="145" xr:uid="{00000000-0005-0000-0000-000013000000}"/>
    <cellStyle name="20% - Accent4 3" xfId="269" xr:uid="{00000000-0005-0000-0000-000014000000}"/>
    <cellStyle name="20% - Accent4 4" xfId="94" xr:uid="{00000000-0005-0000-0000-000015000000}"/>
    <cellStyle name="20% - Accent5 2" xfId="126" xr:uid="{00000000-0005-0000-0000-000016000000}"/>
    <cellStyle name="20% - Accent5 2 2" xfId="146" xr:uid="{00000000-0005-0000-0000-000017000000}"/>
    <cellStyle name="20% - Accent5 3" xfId="272" xr:uid="{00000000-0005-0000-0000-000018000000}"/>
    <cellStyle name="20% - Accent5 4" xfId="98" xr:uid="{00000000-0005-0000-0000-000019000000}"/>
    <cellStyle name="20% - Accent6 2" xfId="128" xr:uid="{00000000-0005-0000-0000-00001A000000}"/>
    <cellStyle name="20% - Accent6 2 2" xfId="147" xr:uid="{00000000-0005-0000-0000-00001B000000}"/>
    <cellStyle name="20% - Accent6 3" xfId="275" xr:uid="{00000000-0005-0000-0000-00001C000000}"/>
    <cellStyle name="20% - Accent6 4" xfId="102" xr:uid="{00000000-0005-0000-0000-00001D000000}"/>
    <cellStyle name="3 indents" xfId="3" xr:uid="{00000000-0005-0000-0000-00001E000000}"/>
    <cellStyle name="3 indents 2" xfId="43" xr:uid="{00000000-0005-0000-0000-00001F000000}"/>
    <cellStyle name="3 indents 3" xfId="148" xr:uid="{00000000-0005-0000-0000-000020000000}"/>
    <cellStyle name="4 indents" xfId="4" xr:uid="{00000000-0005-0000-0000-000021000000}"/>
    <cellStyle name="4 indents 2" xfId="44" xr:uid="{00000000-0005-0000-0000-000022000000}"/>
    <cellStyle name="4 indents 3" xfId="149" xr:uid="{00000000-0005-0000-0000-000023000000}"/>
    <cellStyle name="40% - Accent1 2" xfId="119" xr:uid="{00000000-0005-0000-0000-000024000000}"/>
    <cellStyle name="40% - Accent1 2 2" xfId="150" xr:uid="{00000000-0005-0000-0000-000025000000}"/>
    <cellStyle name="40% - Accent1 3" xfId="264" xr:uid="{00000000-0005-0000-0000-000026000000}"/>
    <cellStyle name="40% - Accent1 4" xfId="83" xr:uid="{00000000-0005-0000-0000-000027000000}"/>
    <cellStyle name="40% - Accent2 2" xfId="121" xr:uid="{00000000-0005-0000-0000-000028000000}"/>
    <cellStyle name="40% - Accent2 2 2" xfId="151" xr:uid="{00000000-0005-0000-0000-000029000000}"/>
    <cellStyle name="40% - Accent2 3" xfId="266" xr:uid="{00000000-0005-0000-0000-00002A000000}"/>
    <cellStyle name="40% - Accent2 4" xfId="87" xr:uid="{00000000-0005-0000-0000-00002B000000}"/>
    <cellStyle name="40% - Accent3 2" xfId="123" xr:uid="{00000000-0005-0000-0000-00002C000000}"/>
    <cellStyle name="40% - Accent3 2 2" xfId="152" xr:uid="{00000000-0005-0000-0000-00002D000000}"/>
    <cellStyle name="40% - Accent3 3" xfId="268" xr:uid="{00000000-0005-0000-0000-00002E000000}"/>
    <cellStyle name="40% - Accent3 4" xfId="91" xr:uid="{00000000-0005-0000-0000-00002F000000}"/>
    <cellStyle name="40% - Accent4 2" xfId="125" xr:uid="{00000000-0005-0000-0000-000030000000}"/>
    <cellStyle name="40% - Accent4 2 2" xfId="153" xr:uid="{00000000-0005-0000-0000-000031000000}"/>
    <cellStyle name="40% - Accent4 3" xfId="270" xr:uid="{00000000-0005-0000-0000-000032000000}"/>
    <cellStyle name="40% - Accent4 4" xfId="95" xr:uid="{00000000-0005-0000-0000-000033000000}"/>
    <cellStyle name="40% - Accent5 2" xfId="127" xr:uid="{00000000-0005-0000-0000-000034000000}"/>
    <cellStyle name="40% - Accent5 2 2" xfId="154" xr:uid="{00000000-0005-0000-0000-000035000000}"/>
    <cellStyle name="40% - Accent5 3" xfId="273" xr:uid="{00000000-0005-0000-0000-000036000000}"/>
    <cellStyle name="40% - Accent5 4" xfId="99" xr:uid="{00000000-0005-0000-0000-000037000000}"/>
    <cellStyle name="40% - Accent6 2" xfId="129" xr:uid="{00000000-0005-0000-0000-000038000000}"/>
    <cellStyle name="40% - Accent6 2 2" xfId="155" xr:uid="{00000000-0005-0000-0000-000039000000}"/>
    <cellStyle name="40% - Accent6 3" xfId="276" xr:uid="{00000000-0005-0000-0000-00003A000000}"/>
    <cellStyle name="40% - Accent6 4" xfId="103" xr:uid="{00000000-0005-0000-0000-00003B000000}"/>
    <cellStyle name="60% - Accent1 2" xfId="156" xr:uid="{00000000-0005-0000-0000-00003C000000}"/>
    <cellStyle name="60% - Accent1 3" xfId="84" xr:uid="{00000000-0005-0000-0000-00003D000000}"/>
    <cellStyle name="60% - Accent2 2" xfId="157" xr:uid="{00000000-0005-0000-0000-00003E000000}"/>
    <cellStyle name="60% - Accent2 3" xfId="88" xr:uid="{00000000-0005-0000-0000-00003F000000}"/>
    <cellStyle name="60% - Accent3 2" xfId="158" xr:uid="{00000000-0005-0000-0000-000040000000}"/>
    <cellStyle name="60% - Accent3 3" xfId="92" xr:uid="{00000000-0005-0000-0000-000041000000}"/>
    <cellStyle name="60% - Accent4 2" xfId="159" xr:uid="{00000000-0005-0000-0000-000042000000}"/>
    <cellStyle name="60% - Accent4 3" xfId="96" xr:uid="{00000000-0005-0000-0000-000043000000}"/>
    <cellStyle name="60% - Accent5 2" xfId="160" xr:uid="{00000000-0005-0000-0000-000044000000}"/>
    <cellStyle name="60% - Accent5 3" xfId="100" xr:uid="{00000000-0005-0000-0000-000045000000}"/>
    <cellStyle name="60% - Accent6 2" xfId="161" xr:uid="{00000000-0005-0000-0000-000046000000}"/>
    <cellStyle name="60% - Accent6 3" xfId="104" xr:uid="{00000000-0005-0000-0000-000047000000}"/>
    <cellStyle name="Accent1 2" xfId="162" xr:uid="{00000000-0005-0000-0000-000048000000}"/>
    <cellStyle name="Accent1 3" xfId="81" xr:uid="{00000000-0005-0000-0000-000049000000}"/>
    <cellStyle name="Accent2 2" xfId="163" xr:uid="{00000000-0005-0000-0000-00004A000000}"/>
    <cellStyle name="Accent2 3" xfId="85" xr:uid="{00000000-0005-0000-0000-00004B000000}"/>
    <cellStyle name="Accent3 2" xfId="164" xr:uid="{00000000-0005-0000-0000-00004C000000}"/>
    <cellStyle name="Accent3 3" xfId="89" xr:uid="{00000000-0005-0000-0000-00004D000000}"/>
    <cellStyle name="Accent4 2" xfId="165" xr:uid="{00000000-0005-0000-0000-00004E000000}"/>
    <cellStyle name="Accent4 3" xfId="93" xr:uid="{00000000-0005-0000-0000-00004F000000}"/>
    <cellStyle name="Accent5 2" xfId="166" xr:uid="{00000000-0005-0000-0000-000050000000}"/>
    <cellStyle name="Accent5 3" xfId="97" xr:uid="{00000000-0005-0000-0000-000051000000}"/>
    <cellStyle name="Accent6 2" xfId="167" xr:uid="{00000000-0005-0000-0000-000052000000}"/>
    <cellStyle name="Accent6 3" xfId="101" xr:uid="{00000000-0005-0000-0000-000053000000}"/>
    <cellStyle name="Bad 2" xfId="64" xr:uid="{00000000-0005-0000-0000-000054000000}"/>
    <cellStyle name="Bad 2 2" xfId="168" xr:uid="{00000000-0005-0000-0000-000055000000}"/>
    <cellStyle name="Bad 3" xfId="71" xr:uid="{00000000-0005-0000-0000-000056000000}"/>
    <cellStyle name="Calculation 2" xfId="169" xr:uid="{00000000-0005-0000-0000-000057000000}"/>
    <cellStyle name="Calculation 3" xfId="75" xr:uid="{00000000-0005-0000-0000-000058000000}"/>
    <cellStyle name="Check Cell 2" xfId="170" xr:uid="{00000000-0005-0000-0000-000059000000}"/>
    <cellStyle name="Check Cell 3" xfId="77" xr:uid="{00000000-0005-0000-0000-00005A000000}"/>
    <cellStyle name="Comma 2" xfId="138" xr:uid="{00000000-0005-0000-0000-00005B000000}"/>
    <cellStyle name="Comma 2 2" xfId="172" xr:uid="{00000000-0005-0000-0000-00005C000000}"/>
    <cellStyle name="Comma 3" xfId="171" xr:uid="{00000000-0005-0000-0000-00005D000000}"/>
    <cellStyle name="Comma 4" xfId="281" xr:uid="{00000000-0005-0000-0000-00005E000000}"/>
    <cellStyle name="Comma 5" xfId="136" xr:uid="{00000000-0005-0000-0000-00005F000000}"/>
    <cellStyle name="Currency 2" xfId="60" xr:uid="{00000000-0005-0000-0000-000060000000}"/>
    <cellStyle name="Date" xfId="5" xr:uid="{00000000-0005-0000-0000-000061000000}"/>
    <cellStyle name="Excel Built-in Normal" xfId="61" xr:uid="{00000000-0005-0000-0000-000062000000}"/>
    <cellStyle name="Excel Built-in Normal 2" xfId="174" xr:uid="{00000000-0005-0000-0000-000063000000}"/>
    <cellStyle name="Excel Built-in Normal 2 2" xfId="175" xr:uid="{00000000-0005-0000-0000-000064000000}"/>
    <cellStyle name="Excel Built-in Normal 2 3" xfId="176" xr:uid="{00000000-0005-0000-0000-000065000000}"/>
    <cellStyle name="Excel Built-in Normal 3" xfId="173" xr:uid="{00000000-0005-0000-0000-000066000000}"/>
    <cellStyle name="Explanatory Text 2" xfId="177" xr:uid="{00000000-0005-0000-0000-000067000000}"/>
    <cellStyle name="Explanatory Text 3" xfId="79" xr:uid="{00000000-0005-0000-0000-000068000000}"/>
    <cellStyle name="F2" xfId="6" xr:uid="{00000000-0005-0000-0000-000069000000}"/>
    <cellStyle name="F3" xfId="7" xr:uid="{00000000-0005-0000-0000-00006A000000}"/>
    <cellStyle name="F4" xfId="8" xr:uid="{00000000-0005-0000-0000-00006B000000}"/>
    <cellStyle name="F5" xfId="9" xr:uid="{00000000-0005-0000-0000-00006C000000}"/>
    <cellStyle name="F6" xfId="10" xr:uid="{00000000-0005-0000-0000-00006D000000}"/>
    <cellStyle name="F7" xfId="11" xr:uid="{00000000-0005-0000-0000-00006E000000}"/>
    <cellStyle name="F8" xfId="12" xr:uid="{00000000-0005-0000-0000-00006F000000}"/>
    <cellStyle name="Fixed" xfId="13" xr:uid="{00000000-0005-0000-0000-000070000000}"/>
    <cellStyle name="Good 2" xfId="178" xr:uid="{00000000-0005-0000-0000-000071000000}"/>
    <cellStyle name="Good 3" xfId="70" xr:uid="{00000000-0005-0000-0000-000072000000}"/>
    <cellStyle name="Heading 1 2" xfId="179" xr:uid="{00000000-0005-0000-0000-000073000000}"/>
    <cellStyle name="Heading 1 3" xfId="66" xr:uid="{00000000-0005-0000-0000-000074000000}"/>
    <cellStyle name="Heading 2 2" xfId="180" xr:uid="{00000000-0005-0000-0000-000075000000}"/>
    <cellStyle name="Heading 2 3" xfId="67" xr:uid="{00000000-0005-0000-0000-000076000000}"/>
    <cellStyle name="Heading 3 2" xfId="181" xr:uid="{00000000-0005-0000-0000-000077000000}"/>
    <cellStyle name="Heading 3 3" xfId="68" xr:uid="{00000000-0005-0000-0000-000078000000}"/>
    <cellStyle name="Heading 4 2" xfId="182" xr:uid="{00000000-0005-0000-0000-000079000000}"/>
    <cellStyle name="Heading 4 3" xfId="69" xr:uid="{00000000-0005-0000-0000-00007A000000}"/>
    <cellStyle name="HEADING1" xfId="14" xr:uid="{00000000-0005-0000-0000-00007B000000}"/>
    <cellStyle name="HEADING2" xfId="15" xr:uid="{00000000-0005-0000-0000-00007C000000}"/>
    <cellStyle name="imf-one decimal" xfId="16" xr:uid="{00000000-0005-0000-0000-00007D000000}"/>
    <cellStyle name="imf-one decimal 2" xfId="45" xr:uid="{00000000-0005-0000-0000-00007E000000}"/>
    <cellStyle name="imf-one decimal 3" xfId="183" xr:uid="{00000000-0005-0000-0000-00007F000000}"/>
    <cellStyle name="imf-zero decimal" xfId="17" xr:uid="{00000000-0005-0000-0000-000080000000}"/>
    <cellStyle name="imf-zero decimal 2" xfId="46" xr:uid="{00000000-0005-0000-0000-000081000000}"/>
    <cellStyle name="imf-zero decimal 3" xfId="184" xr:uid="{00000000-0005-0000-0000-000082000000}"/>
    <cellStyle name="Input 2" xfId="185" xr:uid="{00000000-0005-0000-0000-000083000000}"/>
    <cellStyle name="Input 3" xfId="73" xr:uid="{00000000-0005-0000-0000-000084000000}"/>
    <cellStyle name="Label" xfId="18" xr:uid="{00000000-0005-0000-0000-000085000000}"/>
    <cellStyle name="Linked Cell 2" xfId="186" xr:uid="{00000000-0005-0000-0000-000086000000}"/>
    <cellStyle name="Linked Cell 3" xfId="76" xr:uid="{00000000-0005-0000-0000-000087000000}"/>
    <cellStyle name="Neutral 2" xfId="187" xr:uid="{00000000-0005-0000-0000-000088000000}"/>
    <cellStyle name="Neutral 3" xfId="72" xr:uid="{00000000-0005-0000-0000-000089000000}"/>
    <cellStyle name="Normal" xfId="0" builtinId="0"/>
    <cellStyle name="Normal - Style1" xfId="19" xr:uid="{00000000-0005-0000-0000-00008B000000}"/>
    <cellStyle name="Normal - Style2" xfId="20" xr:uid="{00000000-0005-0000-0000-00008C000000}"/>
    <cellStyle name="Normal - Style3" xfId="21" xr:uid="{00000000-0005-0000-0000-00008D000000}"/>
    <cellStyle name="Normal 10" xfId="22" xr:uid="{00000000-0005-0000-0000-00008E000000}"/>
    <cellStyle name="Normal 10 2" xfId="54" xr:uid="{00000000-0005-0000-0000-00008F000000}"/>
    <cellStyle name="Normal 10 2 2" xfId="254" xr:uid="{00000000-0005-0000-0000-000090000000}"/>
    <cellStyle name="Normal 11" xfId="23" xr:uid="{00000000-0005-0000-0000-000091000000}"/>
    <cellStyle name="Normal 11 2" xfId="55" xr:uid="{00000000-0005-0000-0000-000092000000}"/>
    <cellStyle name="Normal 11 2 2" xfId="255" xr:uid="{00000000-0005-0000-0000-000093000000}"/>
    <cellStyle name="Normal 12" xfId="24" xr:uid="{00000000-0005-0000-0000-000094000000}"/>
    <cellStyle name="Normal 12 2" xfId="56" xr:uid="{00000000-0005-0000-0000-000095000000}"/>
    <cellStyle name="Normal 12 2 2" xfId="256" xr:uid="{00000000-0005-0000-0000-000096000000}"/>
    <cellStyle name="Normal 13" xfId="40" xr:uid="{00000000-0005-0000-0000-000097000000}"/>
    <cellStyle name="Normal 13 2" xfId="63" xr:uid="{00000000-0005-0000-0000-000098000000}"/>
    <cellStyle name="Normal 14" xfId="105" xr:uid="{00000000-0005-0000-0000-000099000000}"/>
    <cellStyle name="Normal 14 2" xfId="257" xr:uid="{00000000-0005-0000-0000-00009A000000}"/>
    <cellStyle name="Normal 15" xfId="25" xr:uid="{00000000-0005-0000-0000-00009B000000}"/>
    <cellStyle name="Normal 15 2" xfId="107" xr:uid="{00000000-0005-0000-0000-00009C000000}"/>
    <cellStyle name="Normal 16" xfId="26" xr:uid="{00000000-0005-0000-0000-00009D000000}"/>
    <cellStyle name="Normal 16 2" xfId="130" xr:uid="{00000000-0005-0000-0000-00009E000000}"/>
    <cellStyle name="Normal 16 2 2" xfId="189" xr:uid="{00000000-0005-0000-0000-00009F000000}"/>
    <cellStyle name="Normal 16 3" xfId="190" xr:uid="{00000000-0005-0000-0000-0000A0000000}"/>
    <cellStyle name="Normal 16 4" xfId="188" xr:uid="{00000000-0005-0000-0000-0000A1000000}"/>
    <cellStyle name="Normal 16 5" xfId="111" xr:uid="{00000000-0005-0000-0000-0000A2000000}"/>
    <cellStyle name="Normal 17" xfId="113" xr:uid="{00000000-0005-0000-0000-0000A3000000}"/>
    <cellStyle name="Normal 17 2" xfId="131" xr:uid="{00000000-0005-0000-0000-0000A4000000}"/>
    <cellStyle name="Normal 17 2 2" xfId="192" xr:uid="{00000000-0005-0000-0000-0000A5000000}"/>
    <cellStyle name="Normal 17 3" xfId="193" xr:uid="{00000000-0005-0000-0000-0000A6000000}"/>
    <cellStyle name="Normal 17 4" xfId="191" xr:uid="{00000000-0005-0000-0000-0000A7000000}"/>
    <cellStyle name="Normal 18" xfId="114" xr:uid="{00000000-0005-0000-0000-0000A8000000}"/>
    <cellStyle name="Normal 19" xfId="109" xr:uid="{00000000-0005-0000-0000-0000A9000000}"/>
    <cellStyle name="Normal 19 2" xfId="132" xr:uid="{00000000-0005-0000-0000-0000AA000000}"/>
    <cellStyle name="Normal 19 2 2" xfId="195" xr:uid="{00000000-0005-0000-0000-0000AB000000}"/>
    <cellStyle name="Normal 19 3" xfId="196" xr:uid="{00000000-0005-0000-0000-0000AC000000}"/>
    <cellStyle name="Normal 19 4" xfId="194" xr:uid="{00000000-0005-0000-0000-0000AD000000}"/>
    <cellStyle name="Normal 2" xfId="27" xr:uid="{00000000-0005-0000-0000-0000AE000000}"/>
    <cellStyle name="Normal 2 10" xfId="198" xr:uid="{00000000-0005-0000-0000-0000AF000000}"/>
    <cellStyle name="Normal 2 11" xfId="197" xr:uid="{00000000-0005-0000-0000-0000B0000000}"/>
    <cellStyle name="Normal 2 2" xfId="28" xr:uid="{00000000-0005-0000-0000-0000B1000000}"/>
    <cellStyle name="Normal 2 2 2" xfId="59" xr:uid="{00000000-0005-0000-0000-0000B2000000}"/>
    <cellStyle name="Normal 2 2 2 2" xfId="200" xr:uid="{00000000-0005-0000-0000-0000B3000000}"/>
    <cellStyle name="Normal 2 2 3" xfId="201" xr:uid="{00000000-0005-0000-0000-0000B4000000}"/>
    <cellStyle name="Normal 2 2 4" xfId="199" xr:uid="{00000000-0005-0000-0000-0000B5000000}"/>
    <cellStyle name="Normal 2 3" xfId="202" xr:uid="{00000000-0005-0000-0000-0000B6000000}"/>
    <cellStyle name="Normal 2 3 2" xfId="203" xr:uid="{00000000-0005-0000-0000-0000B7000000}"/>
    <cellStyle name="Normal 2 3 3" xfId="204" xr:uid="{00000000-0005-0000-0000-0000B8000000}"/>
    <cellStyle name="Normal 2 4" xfId="205" xr:uid="{00000000-0005-0000-0000-0000B9000000}"/>
    <cellStyle name="Normal 2 4 2" xfId="206" xr:uid="{00000000-0005-0000-0000-0000BA000000}"/>
    <cellStyle name="Normal 2 4 3" xfId="207" xr:uid="{00000000-0005-0000-0000-0000BB000000}"/>
    <cellStyle name="Normal 2 5" xfId="208" xr:uid="{00000000-0005-0000-0000-0000BC000000}"/>
    <cellStyle name="Normal 2 5 2" xfId="209" xr:uid="{00000000-0005-0000-0000-0000BD000000}"/>
    <cellStyle name="Normal 2 5 3" xfId="210" xr:uid="{00000000-0005-0000-0000-0000BE000000}"/>
    <cellStyle name="Normal 2 6" xfId="211" xr:uid="{00000000-0005-0000-0000-0000BF000000}"/>
    <cellStyle name="Normal 2 6 2" xfId="212" xr:uid="{00000000-0005-0000-0000-0000C0000000}"/>
    <cellStyle name="Normal 2 6 3" xfId="213" xr:uid="{00000000-0005-0000-0000-0000C1000000}"/>
    <cellStyle name="Normal 2 7" xfId="214" xr:uid="{00000000-0005-0000-0000-0000C2000000}"/>
    <cellStyle name="Normal 2 7 2" xfId="215" xr:uid="{00000000-0005-0000-0000-0000C3000000}"/>
    <cellStyle name="Normal 2 7 3" xfId="216" xr:uid="{00000000-0005-0000-0000-0000C4000000}"/>
    <cellStyle name="Normal 2 8" xfId="217" xr:uid="{00000000-0005-0000-0000-0000C5000000}"/>
    <cellStyle name="Normal 2 8 2" xfId="218" xr:uid="{00000000-0005-0000-0000-0000C6000000}"/>
    <cellStyle name="Normal 2 8 3" xfId="219" xr:uid="{00000000-0005-0000-0000-0000C7000000}"/>
    <cellStyle name="Normal 2 9" xfId="220" xr:uid="{00000000-0005-0000-0000-0000C8000000}"/>
    <cellStyle name="Normal 20" xfId="108" xr:uid="{00000000-0005-0000-0000-0000C9000000}"/>
    <cellStyle name="Normal 21" xfId="110" xr:uid="{00000000-0005-0000-0000-0000CA000000}"/>
    <cellStyle name="Normal 22" xfId="112" xr:uid="{00000000-0005-0000-0000-0000CB000000}"/>
    <cellStyle name="Normal 23" xfId="115" xr:uid="{00000000-0005-0000-0000-0000CC000000}"/>
    <cellStyle name="Normal 24" xfId="116" xr:uid="{00000000-0005-0000-0000-0000CD000000}"/>
    <cellStyle name="Normal 25" xfId="137" xr:uid="{00000000-0005-0000-0000-0000CE000000}"/>
    <cellStyle name="Normal 26" xfId="139" xr:uid="{00000000-0005-0000-0000-0000CF000000}"/>
    <cellStyle name="Normal 27" xfId="258" xr:uid="{00000000-0005-0000-0000-0000D0000000}"/>
    <cellStyle name="Normal 28" xfId="262" xr:uid="{00000000-0005-0000-0000-0000D1000000}"/>
    <cellStyle name="Normal 29" xfId="274" xr:uid="{00000000-0005-0000-0000-0000D2000000}"/>
    <cellStyle name="Normal 3" xfId="29" xr:uid="{00000000-0005-0000-0000-0000D3000000}"/>
    <cellStyle name="Normal 3 2" xfId="221" xr:uid="{00000000-0005-0000-0000-0000D4000000}"/>
    <cellStyle name="Normal 3 2 2" xfId="222" xr:uid="{00000000-0005-0000-0000-0000D5000000}"/>
    <cellStyle name="Normal 3 2 3" xfId="223" xr:uid="{00000000-0005-0000-0000-0000D6000000}"/>
    <cellStyle name="Normal 3 3" xfId="224" xr:uid="{00000000-0005-0000-0000-0000D7000000}"/>
    <cellStyle name="Normal 3 3 2" xfId="225" xr:uid="{00000000-0005-0000-0000-0000D8000000}"/>
    <cellStyle name="Normal 3 3 3" xfId="226" xr:uid="{00000000-0005-0000-0000-0000D9000000}"/>
    <cellStyle name="Normal 3 4" xfId="227" xr:uid="{00000000-0005-0000-0000-0000DA000000}"/>
    <cellStyle name="Normal 3 4 2" xfId="228" xr:uid="{00000000-0005-0000-0000-0000DB000000}"/>
    <cellStyle name="Normal 3 4 3" xfId="229" xr:uid="{00000000-0005-0000-0000-0000DC000000}"/>
    <cellStyle name="Normal 3 5" xfId="230" xr:uid="{00000000-0005-0000-0000-0000DD000000}"/>
    <cellStyle name="Normal 3 5 2" xfId="231" xr:uid="{00000000-0005-0000-0000-0000DE000000}"/>
    <cellStyle name="Normal 3 5 3" xfId="232" xr:uid="{00000000-0005-0000-0000-0000DF000000}"/>
    <cellStyle name="Normal 3 6" xfId="233" xr:uid="{00000000-0005-0000-0000-0000E0000000}"/>
    <cellStyle name="Normal 3 6 2" xfId="234" xr:uid="{00000000-0005-0000-0000-0000E1000000}"/>
    <cellStyle name="Normal 3 6 3" xfId="235" xr:uid="{00000000-0005-0000-0000-0000E2000000}"/>
    <cellStyle name="Normal 3 7" xfId="236" xr:uid="{00000000-0005-0000-0000-0000E3000000}"/>
    <cellStyle name="Normal 3 7 2" xfId="237" xr:uid="{00000000-0005-0000-0000-0000E4000000}"/>
    <cellStyle name="Normal 3 7 3" xfId="238" xr:uid="{00000000-0005-0000-0000-0000E5000000}"/>
    <cellStyle name="Normal 3 8" xfId="239" xr:uid="{00000000-0005-0000-0000-0000E6000000}"/>
    <cellStyle name="Normal 3 8 2" xfId="240" xr:uid="{00000000-0005-0000-0000-0000E7000000}"/>
    <cellStyle name="Normal 3 8 3" xfId="241" xr:uid="{00000000-0005-0000-0000-0000E8000000}"/>
    <cellStyle name="Normal 30" xfId="271" xr:uid="{00000000-0005-0000-0000-0000E9000000}"/>
    <cellStyle name="Normal 31" xfId="260" xr:uid="{00000000-0005-0000-0000-0000EA000000}"/>
    <cellStyle name="Normal 32" xfId="261" xr:uid="{00000000-0005-0000-0000-0000EB000000}"/>
    <cellStyle name="Normal 33" xfId="279" xr:uid="{00000000-0005-0000-0000-0000EC000000}"/>
    <cellStyle name="Normal 34" xfId="285" xr:uid="{00000000-0005-0000-0000-0000ED000000}"/>
    <cellStyle name="Normal 35" xfId="283" xr:uid="{00000000-0005-0000-0000-0000EE000000}"/>
    <cellStyle name="Normal 36" xfId="284" xr:uid="{00000000-0005-0000-0000-0000EF000000}"/>
    <cellStyle name="Normal 37" xfId="282" xr:uid="{00000000-0005-0000-0000-0000F0000000}"/>
    <cellStyle name="Normal 38" xfId="62" xr:uid="{00000000-0005-0000-0000-0000F1000000}"/>
    <cellStyle name="Normal 4" xfId="30" xr:uid="{00000000-0005-0000-0000-0000F2000000}"/>
    <cellStyle name="Normal 4 2" xfId="57" xr:uid="{00000000-0005-0000-0000-0000F3000000}"/>
    <cellStyle name="Normal 4 2 2" xfId="243" xr:uid="{00000000-0005-0000-0000-0000F4000000}"/>
    <cellStyle name="Normal 4 2 3" xfId="133" xr:uid="{00000000-0005-0000-0000-0000F5000000}"/>
    <cellStyle name="Normal 4 3" xfId="48" xr:uid="{00000000-0005-0000-0000-0000F6000000}"/>
    <cellStyle name="Normal 4 3 2" xfId="244" xr:uid="{00000000-0005-0000-0000-0000F7000000}"/>
    <cellStyle name="Normal 4 4" xfId="242" xr:uid="{00000000-0005-0000-0000-0000F8000000}"/>
    <cellStyle name="Normal 4 5" xfId="259" xr:uid="{00000000-0005-0000-0000-0000F9000000}"/>
    <cellStyle name="Normal 48" xfId="31" xr:uid="{00000000-0005-0000-0000-0000FA000000}"/>
    <cellStyle name="Normal 5" xfId="32" xr:uid="{00000000-0005-0000-0000-0000FB000000}"/>
    <cellStyle name="Normal 5 2" xfId="49" xr:uid="{00000000-0005-0000-0000-0000FC000000}"/>
    <cellStyle name="Normal 5 2 2" xfId="135" xr:uid="{00000000-0005-0000-0000-0000FD000000}"/>
    <cellStyle name="Normal 5 3" xfId="245" xr:uid="{00000000-0005-0000-0000-0000FE000000}"/>
    <cellStyle name="Normal 5 4" xfId="280" xr:uid="{00000000-0005-0000-0000-0000FF000000}"/>
    <cellStyle name="Normal 6" xfId="33" xr:uid="{00000000-0005-0000-0000-000000010000}"/>
    <cellStyle name="Normal 6 2" xfId="50" xr:uid="{00000000-0005-0000-0000-000001010000}"/>
    <cellStyle name="Normal 7" xfId="34" xr:uid="{00000000-0005-0000-0000-000002010000}"/>
    <cellStyle name="Normal 7 2" xfId="51" xr:uid="{00000000-0005-0000-0000-000003010000}"/>
    <cellStyle name="Normal 7 2 2" xfId="252" xr:uid="{00000000-0005-0000-0000-000004010000}"/>
    <cellStyle name="Normal 7 3" xfId="277" xr:uid="{00000000-0005-0000-0000-000005010000}"/>
    <cellStyle name="Normal 8" xfId="35" xr:uid="{00000000-0005-0000-0000-000006010000}"/>
    <cellStyle name="Normal 8 2" xfId="52" xr:uid="{00000000-0005-0000-0000-000007010000}"/>
    <cellStyle name="Normal 9" xfId="36" xr:uid="{00000000-0005-0000-0000-000008010000}"/>
    <cellStyle name="Normal 9 2" xfId="53" xr:uid="{00000000-0005-0000-0000-000009010000}"/>
    <cellStyle name="Normal 9 2 2" xfId="253" xr:uid="{00000000-0005-0000-0000-00000A010000}"/>
    <cellStyle name="Note 2" xfId="106" xr:uid="{00000000-0005-0000-0000-00000B010000}"/>
    <cellStyle name="Note 2 2" xfId="246" xr:uid="{00000000-0005-0000-0000-00000C010000}"/>
    <cellStyle name="Note 2 3" xfId="278" xr:uid="{00000000-0005-0000-0000-00000D010000}"/>
    <cellStyle name="Note 3" xfId="117" xr:uid="{00000000-0005-0000-0000-00000E010000}"/>
    <cellStyle name="Obično_KnjigaZIKS i Min pomorstva i saobracaja" xfId="37" xr:uid="{00000000-0005-0000-0000-00000F010000}"/>
    <cellStyle name="Output 2" xfId="247" xr:uid="{00000000-0005-0000-0000-000010010000}"/>
    <cellStyle name="Output 3" xfId="74" xr:uid="{00000000-0005-0000-0000-000011010000}"/>
    <cellStyle name="Percent 2" xfId="58" xr:uid="{00000000-0005-0000-0000-000012010000}"/>
    <cellStyle name="percentage difference" xfId="38" xr:uid="{00000000-0005-0000-0000-000013010000}"/>
    <cellStyle name="percentage difference 2" xfId="47" xr:uid="{00000000-0005-0000-0000-000014010000}"/>
    <cellStyle name="percentage difference 3" xfId="248" xr:uid="{00000000-0005-0000-0000-000015010000}"/>
    <cellStyle name="Publication" xfId="39" xr:uid="{00000000-0005-0000-0000-000016010000}"/>
    <cellStyle name="Standard_Tabellenteil in EURO" xfId="134" xr:uid="{00000000-0005-0000-0000-000017010000}"/>
    <cellStyle name="Title 2" xfId="249" xr:uid="{00000000-0005-0000-0000-000018010000}"/>
    <cellStyle name="Title 3" xfId="65" xr:uid="{00000000-0005-0000-0000-000019010000}"/>
    <cellStyle name="Total 2" xfId="250" xr:uid="{00000000-0005-0000-0000-00001A010000}"/>
    <cellStyle name="Total 3" xfId="80" xr:uid="{00000000-0005-0000-0000-00001B010000}"/>
    <cellStyle name="Warning Text 2" xfId="251" xr:uid="{00000000-0005-0000-0000-00001C010000}"/>
    <cellStyle name="Warning Text 3" xfId="78" xr:uid="{00000000-0005-0000-0000-00001D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endParaRPr lang="sr-Latn-RS">
            <a:effectLst/>
          </a:endParaRPr>
        </a:p>
        <a:p>
          <a:pPr eaLnBrk="1" fontAlgn="auto" latinLnBrk="0" hangingPunct="1"/>
          <a:r>
            <a:rPr lang="sr-Latn-ME" sz="1100" b="0" i="0" baseline="0">
              <a:solidFill>
                <a:schemeClr val="dk1"/>
              </a:solidFill>
              <a:effectLst/>
              <a:latin typeface="+mn-lt"/>
              <a:ea typeface="+mn-ea"/>
              <a:cs typeface="+mn-cs"/>
            </a:rPr>
            <a:t>Plan prihoda i izdataka pripremljen je u skladu sa Zakonom o </a:t>
          </a:r>
          <a:r>
            <a:rPr lang="en-US" sz="1100" b="0" i="0" baseline="0">
              <a:solidFill>
                <a:schemeClr val="dk1"/>
              </a:solidFill>
              <a:effectLst/>
              <a:latin typeface="+mn-lt"/>
              <a:ea typeface="+mn-ea"/>
              <a:cs typeface="+mn-cs"/>
            </a:rPr>
            <a:t>izmjenama Zakona o izmjenama Zakona o </a:t>
          </a:r>
          <a:r>
            <a:rPr lang="sr-Latn-ME" sz="1100" b="0" i="0" baseline="0">
              <a:solidFill>
                <a:schemeClr val="dk1"/>
              </a:solidFill>
              <a:effectLst/>
              <a:latin typeface="+mn-lt"/>
              <a:ea typeface="+mn-ea"/>
              <a:cs typeface="+mn-cs"/>
            </a:rPr>
            <a:t>budžetu Crne Gore za 2025. godinu</a:t>
          </a:r>
          <a:r>
            <a:rPr lang="en-US" sz="1100" b="0" i="0" baseline="0">
              <a:solidFill>
                <a:schemeClr val="dk1"/>
              </a:solidFill>
              <a:effectLst/>
              <a:latin typeface="+mn-lt"/>
              <a:ea typeface="+mn-ea"/>
              <a:cs typeface="+mn-cs"/>
            </a:rPr>
            <a:t>, spovedenim preusmjerevanjima </a:t>
          </a:r>
          <a:r>
            <a:rPr lang="sr-Latn-ME" sz="1100" b="0" i="0" baseline="0">
              <a:solidFill>
                <a:schemeClr val="dk1"/>
              </a:solidFill>
              <a:effectLst/>
              <a:latin typeface="+mn-lt"/>
              <a:ea typeface="+mn-ea"/>
              <a:cs typeface="+mn-cs"/>
            </a:rPr>
            <a:t>u skladu sa članom </a:t>
          </a:r>
          <a:r>
            <a:rPr lang="en-US" sz="1100" b="0" i="0" baseline="0">
              <a:solidFill>
                <a:schemeClr val="dk1"/>
              </a:solidFill>
              <a:effectLst/>
              <a:latin typeface="+mn-lt"/>
              <a:ea typeface="+mn-ea"/>
              <a:cs typeface="+mn-cs"/>
            </a:rPr>
            <a:t>4</a:t>
          </a:r>
          <a:r>
            <a:rPr lang="sr-Latn-ME" sz="1100" b="0" i="0" baseline="0">
              <a:solidFill>
                <a:schemeClr val="dk1"/>
              </a:solidFill>
              <a:effectLst/>
              <a:latin typeface="+mn-lt"/>
              <a:ea typeface="+mn-ea"/>
              <a:cs typeface="+mn-cs"/>
            </a:rPr>
            <a:t>5 i 46 Zakona o budžetu i fiskalnoj odgovornosti</a:t>
          </a:r>
          <a:r>
            <a:rPr lang="en-US" sz="1100" b="0" i="0" baseline="0">
              <a:solidFill>
                <a:schemeClr val="dk1"/>
              </a:solidFill>
              <a:effectLst/>
              <a:latin typeface="+mn-lt"/>
              <a:ea typeface="+mn-ea"/>
              <a:cs typeface="+mn-cs"/>
            </a:rPr>
            <a:t>, kao i sa svim</a:t>
          </a:r>
          <a:r>
            <a:rPr lang="sr-Latn-ME" sz="1100" b="0" i="0" baseline="0">
              <a:solidFill>
                <a:schemeClr val="dk1"/>
              </a:solidFill>
              <a:effectLst/>
              <a:latin typeface="+mn-lt"/>
              <a:ea typeface="+mn-ea"/>
              <a:cs typeface="+mn-cs"/>
            </a:rPr>
            <a:t> izmjenama mjesečne dinamike potrošnje shodno dostavljenim zahtjevima budžetkih korisnika, z</a:t>
          </a:r>
          <a:r>
            <a:rPr lang="en-US" sz="1100" b="0" i="0" baseline="0">
              <a:solidFill>
                <a:schemeClr val="dk1"/>
              </a:solidFill>
              <a:effectLst/>
              <a:latin typeface="+mn-lt"/>
              <a:ea typeface="+mn-ea"/>
              <a:cs typeface="+mn-cs"/>
            </a:rPr>
            <a:t>aklju</a:t>
          </a:r>
          <a:r>
            <a:rPr lang="sr-Latn-ME" sz="1100" b="0" i="0" baseline="0">
              <a:solidFill>
                <a:schemeClr val="dk1"/>
              </a:solidFill>
              <a:effectLst/>
              <a:latin typeface="+mn-lt"/>
              <a:ea typeface="+mn-ea"/>
              <a:cs typeface="+mn-cs"/>
            </a:rPr>
            <a:t>č</a:t>
          </a:r>
          <a:r>
            <a:rPr lang="en-US" sz="1100" b="0" i="0" baseline="0">
              <a:solidFill>
                <a:schemeClr val="dk1"/>
              </a:solidFill>
              <a:effectLst/>
              <a:latin typeface="+mn-lt"/>
              <a:ea typeface="+mn-ea"/>
              <a:cs typeface="+mn-cs"/>
            </a:rPr>
            <a:t>no sa avgustom mjesecom</a:t>
          </a:r>
          <a:r>
            <a:rPr lang="sr-Latn-ME" sz="1100" b="0" i="0" baseline="0">
              <a:solidFill>
                <a:schemeClr val="dk1"/>
              </a:solidFill>
              <a:effectLst/>
              <a:latin typeface="+mn-lt"/>
              <a:ea typeface="+mn-ea"/>
              <a:cs typeface="+mn-cs"/>
            </a:rPr>
            <a:t>.</a:t>
          </a:r>
          <a:endParaRPr lang="en-US">
            <a:effectLst/>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a:t>
          </a:r>
          <a:r>
            <a:rPr lang="sr-Latn-ME" sz="1100" b="0" i="0" baseline="0">
              <a:solidFill>
                <a:schemeClr val="dk1"/>
              </a:solidFill>
              <a:effectLst/>
              <a:latin typeface="+mn-lt"/>
              <a:ea typeface="+mn-ea"/>
              <a:cs typeface="+mn-cs"/>
            </a:rPr>
            <a:t>revenues and </a:t>
          </a:r>
          <a:r>
            <a:rPr lang="en-US" sz="1100" b="0" i="0" baseline="0">
              <a:solidFill>
                <a:schemeClr val="dk1"/>
              </a:solidFill>
              <a:effectLst/>
              <a:latin typeface="+mn-lt"/>
              <a:ea typeface="+mn-ea"/>
              <a:cs typeface="+mn-cs"/>
            </a:rPr>
            <a:t>expenditures was prepared in accordance with the Law on Amendments to the Budget Law of Montenegro for 2025, the reallocations carried out in line with Article 45 and 46 of the Law on Budget and Fiscal Responsibility, as well as all changes to the monthly spending dynamics pursuant to the submitted requests of budget beneficiaries, up to and in including the month of August.</a:t>
          </a:r>
          <a:endParaRPr lang="sr-Latn-R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S42"/>
  <sheetViews>
    <sheetView tabSelected="1" zoomScaleNormal="100" workbookViewId="0">
      <selection activeCell="A4" sqref="A4"/>
    </sheetView>
  </sheetViews>
  <sheetFormatPr defaultRowHeight="12.75"/>
  <cols>
    <col min="4" max="4" width="25.28515625" customWidth="1"/>
    <col min="7" max="7" width="24.28515625" customWidth="1"/>
    <col min="10" max="10" width="26.42578125" customWidth="1"/>
  </cols>
  <sheetData>
    <row r="2" spans="2:11">
      <c r="D2" s="67" t="s">
        <v>165</v>
      </c>
    </row>
    <row r="3" spans="2:11">
      <c r="D3" s="67" t="s">
        <v>177</v>
      </c>
    </row>
    <row r="4" spans="2:11">
      <c r="D4" s="67" t="s">
        <v>166</v>
      </c>
    </row>
    <row r="5" spans="2:11" ht="13.5" thickBot="1"/>
    <row r="6" spans="2:11">
      <c r="B6" s="45"/>
      <c r="C6" s="46"/>
      <c r="D6" s="46"/>
      <c r="E6" s="46"/>
      <c r="F6" s="46"/>
      <c r="G6" s="46"/>
      <c r="H6" s="46"/>
      <c r="I6" s="46"/>
      <c r="J6" s="46"/>
      <c r="K6" s="47"/>
    </row>
    <row r="7" spans="2:11">
      <c r="B7" s="48"/>
      <c r="C7" s="112" t="s">
        <v>159</v>
      </c>
      <c r="D7" s="112"/>
      <c r="E7" s="49"/>
      <c r="F7" s="112" t="s">
        <v>160</v>
      </c>
      <c r="G7" s="112"/>
      <c r="H7" s="49"/>
      <c r="I7" s="112" t="s">
        <v>161</v>
      </c>
      <c r="J7" s="112"/>
      <c r="K7" s="50"/>
    </row>
    <row r="8" spans="2:11">
      <c r="B8" s="48"/>
      <c r="C8" s="51"/>
      <c r="D8" s="49"/>
      <c r="E8" s="49"/>
      <c r="F8" s="49"/>
      <c r="G8" s="49"/>
      <c r="H8" s="49"/>
      <c r="I8" s="49"/>
      <c r="J8" s="49"/>
      <c r="K8" s="50"/>
    </row>
    <row r="9" spans="2:11" ht="15">
      <c r="B9" s="48"/>
      <c r="C9" s="52" t="s">
        <v>162</v>
      </c>
      <c r="D9" s="53"/>
      <c r="E9" s="53"/>
      <c r="F9" s="52" t="str">
        <f>+C9</f>
        <v>Prihodi/Revenues</v>
      </c>
      <c r="G9" s="54"/>
      <c r="H9" s="55"/>
      <c r="I9" s="52" t="str">
        <f>+F9</f>
        <v>Prihodi/Revenues</v>
      </c>
      <c r="J9" s="54"/>
      <c r="K9" s="50"/>
    </row>
    <row r="10" spans="2:11">
      <c r="B10" s="48"/>
      <c r="C10" s="56">
        <f>+'Centralna država-ek klas'!C6</f>
        <v>2099850240.9700003</v>
      </c>
      <c r="D10" s="57">
        <f>+'Centralna država-ek klas'!D6</f>
        <v>26.518283020395277</v>
      </c>
      <c r="E10" s="49"/>
      <c r="F10" s="58">
        <f>+'Lokalna država-ek klas '!C6</f>
        <v>321755612.17000008</v>
      </c>
      <c r="G10" s="57">
        <f>+'Lokalna država-ek klas '!D6</f>
        <v>4.0633404327839875</v>
      </c>
      <c r="H10" s="55"/>
      <c r="I10" s="58">
        <f>+'Opšta država-ek klas'!C6</f>
        <v>2421605853.1399999</v>
      </c>
      <c r="J10" s="57">
        <f>+'Opšta država-ek klas'!D6</f>
        <v>30.581623453179262</v>
      </c>
      <c r="K10" s="50"/>
    </row>
    <row r="11" spans="2:11">
      <c r="B11" s="48"/>
      <c r="C11" s="59" t="s">
        <v>157</v>
      </c>
      <c r="D11" s="59" t="s">
        <v>158</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163</v>
      </c>
      <c r="D13" s="55"/>
      <c r="E13" s="49"/>
      <c r="F13" s="52" t="str">
        <f>+C13</f>
        <v>Rashodi/Expenditures</v>
      </c>
      <c r="G13" s="54"/>
      <c r="H13" s="55"/>
      <c r="I13" s="52" t="str">
        <f>+F13</f>
        <v>Rashodi/Expenditures</v>
      </c>
      <c r="J13" s="54"/>
      <c r="K13" s="50"/>
    </row>
    <row r="14" spans="2:11">
      <c r="B14" s="48"/>
      <c r="C14" s="56">
        <f>+'Centralna država-ek klas'!C39</f>
        <v>2188160344.8800001</v>
      </c>
      <c r="D14" s="57">
        <f>+'Centralna država-ek klas'!D39</f>
        <v>27.633520804192713</v>
      </c>
      <c r="E14" s="49"/>
      <c r="F14" s="58">
        <f>+'Lokalna država-ek klas '!C37</f>
        <v>310016308.77000004</v>
      </c>
      <c r="G14" s="57">
        <f>+'Lokalna država-ek klas '!D37</f>
        <v>3.9150888270505786</v>
      </c>
      <c r="H14" s="55"/>
      <c r="I14" s="58">
        <f>+'Opšta država-ek klas'!C27</f>
        <v>2498176653.6499996</v>
      </c>
      <c r="J14" s="57">
        <f>+'Opšta država-ek klas'!D27</f>
        <v>31.548609631243284</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164</v>
      </c>
      <c r="D17" s="49"/>
      <c r="E17" s="49"/>
      <c r="F17" s="52" t="str">
        <f>+C17</f>
        <v>Budžetski bilans/ Budget balance</v>
      </c>
      <c r="G17" s="54"/>
      <c r="H17" s="55"/>
      <c r="I17" s="52" t="str">
        <f>+F17</f>
        <v>Budžetski bilans/ Budget balance</v>
      </c>
      <c r="J17" s="54"/>
      <c r="K17" s="50"/>
    </row>
    <row r="18" spans="2:11">
      <c r="B18" s="48"/>
      <c r="C18" s="56">
        <f>+'Centralna država-ek klas'!C62</f>
        <v>-88310103.909999847</v>
      </c>
      <c r="D18" s="57">
        <f>+'Centralna država-ek klas'!D62</f>
        <v>-1.1152377837974343</v>
      </c>
      <c r="E18" s="49"/>
      <c r="F18" s="58">
        <f>+'Lokalna država-ek klas '!C55</f>
        <v>11739303.400000036</v>
      </c>
      <c r="G18" s="57">
        <f>+'Lokalna država-ek klas '!D55</f>
        <v>0.14825160573340956</v>
      </c>
      <c r="H18" s="55"/>
      <c r="I18" s="58">
        <f>+'Opšta država-ek klas'!C45</f>
        <v>-76570800.509999752</v>
      </c>
      <c r="J18" s="57">
        <f>+'Opšta država-ek klas'!D45</f>
        <v>-0.9669861780640242</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23" spans="2:11">
      <c r="D23" s="88"/>
    </row>
    <row r="24" spans="2:11">
      <c r="D24" s="88"/>
    </row>
    <row r="25" spans="2:11">
      <c r="D25" s="88"/>
    </row>
    <row r="41" spans="19:19" ht="15">
      <c r="S41" s="68"/>
    </row>
    <row r="42" spans="19:19" ht="15">
      <c r="S42" s="68"/>
    </row>
  </sheetData>
  <sheetProtection algorithmName="SHA-512" hashValue="uGE7203fBYnAsxcrE59REWRx0C5YA3ua/jJY+zDFl5xTdK7fl4s164N/XDcIwYLv9nw7tXwuprAUXLQsGYdGKA==" saltValue="dG/vkUs8HgaeyhmIemH/tA=="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A82"/>
  <sheetViews>
    <sheetView zoomScale="90" zoomScaleNormal="90" zoomScaleSheetLayoutView="90" workbookViewId="0">
      <pane ySplit="5" topLeftCell="A6" activePane="bottomLeft" state="frozen"/>
      <selection activeCell="G14" sqref="G14"/>
      <selection pane="bottomLeft" activeCell="B1" sqref="B1"/>
    </sheetView>
  </sheetViews>
  <sheetFormatPr defaultColWidth="9.140625" defaultRowHeight="13.5"/>
  <cols>
    <col min="1" max="1" width="13.28515625" style="4" customWidth="1"/>
    <col min="2" max="2" width="65.7109375" style="4" bestFit="1" customWidth="1"/>
    <col min="3" max="3" width="12.28515625" style="6" customWidth="1"/>
    <col min="4" max="4" width="9.7109375" style="4" customWidth="1"/>
    <col min="5" max="5" width="10.5703125" style="6" customWidth="1"/>
    <col min="6" max="6" width="10.140625" style="7" customWidth="1"/>
    <col min="7" max="7" width="11.140625" style="6" customWidth="1"/>
    <col min="8" max="8" width="11.5703125" style="96" customWidth="1"/>
    <col min="9" max="9" width="11.140625" style="6" customWidth="1"/>
    <col min="10" max="10" width="10.28515625" style="7" customWidth="1"/>
    <col min="11" max="11" width="10.7109375" style="6" customWidth="1"/>
    <col min="12" max="12" width="12" style="96" customWidth="1"/>
    <col min="13" max="13" width="59.5703125" style="4" bestFit="1" customWidth="1"/>
    <col min="14" max="14" width="9.140625" style="1"/>
    <col min="15" max="16" width="13.85546875" style="1" bestFit="1" customWidth="1"/>
    <col min="17" max="16384" width="9.140625" style="1"/>
  </cols>
  <sheetData>
    <row r="1" spans="1:13" ht="18.75" customHeight="1" thickBot="1">
      <c r="B1" s="5"/>
      <c r="M1" s="5"/>
    </row>
    <row r="2" spans="1:13" ht="15.75" customHeight="1" thickBot="1">
      <c r="A2" s="8" t="s">
        <v>57</v>
      </c>
      <c r="B2" s="8"/>
      <c r="C2" s="113">
        <v>7918500000</v>
      </c>
      <c r="D2" s="114"/>
      <c r="E2" s="113">
        <v>7918500000</v>
      </c>
      <c r="F2" s="114"/>
      <c r="G2" s="9"/>
      <c r="H2" s="9"/>
      <c r="I2" s="113">
        <v>7459213000</v>
      </c>
      <c r="J2" s="114"/>
      <c r="K2" s="9"/>
      <c r="L2" s="9"/>
      <c r="M2" s="8" t="s">
        <v>77</v>
      </c>
    </row>
    <row r="3" spans="1:13" ht="15" customHeight="1" thickBot="1">
      <c r="A3" s="8"/>
      <c r="B3" s="8"/>
      <c r="C3" s="11"/>
      <c r="D3" s="8"/>
      <c r="E3" s="11"/>
      <c r="F3" s="10"/>
      <c r="G3" s="11"/>
      <c r="H3" s="97"/>
      <c r="I3" s="11"/>
      <c r="J3" s="10"/>
      <c r="K3" s="11"/>
      <c r="L3" s="97"/>
      <c r="M3" s="8"/>
    </row>
    <row r="4" spans="1:13" ht="15" customHeight="1">
      <c r="A4" s="119" t="s">
        <v>69</v>
      </c>
      <c r="B4" s="117" t="s">
        <v>70</v>
      </c>
      <c r="C4" s="123" t="s">
        <v>190</v>
      </c>
      <c r="D4" s="124"/>
      <c r="E4" s="125" t="s">
        <v>191</v>
      </c>
      <c r="F4" s="126"/>
      <c r="G4" s="121" t="s">
        <v>167</v>
      </c>
      <c r="H4" s="122"/>
      <c r="I4" s="121" t="s">
        <v>192</v>
      </c>
      <c r="J4" s="122"/>
      <c r="K4" s="121" t="s">
        <v>167</v>
      </c>
      <c r="L4" s="122"/>
      <c r="M4" s="115" t="s">
        <v>147</v>
      </c>
    </row>
    <row r="5" spans="1:13" ht="27" customHeight="1">
      <c r="A5" s="120"/>
      <c r="B5" s="118"/>
      <c r="C5" s="12" t="s">
        <v>60</v>
      </c>
      <c r="D5" s="13" t="s">
        <v>55</v>
      </c>
      <c r="E5" s="12" t="s">
        <v>60</v>
      </c>
      <c r="F5" s="13" t="s">
        <v>55</v>
      </c>
      <c r="G5" s="12" t="s">
        <v>63</v>
      </c>
      <c r="H5" s="98" t="s">
        <v>61</v>
      </c>
      <c r="I5" s="12" t="s">
        <v>60</v>
      </c>
      <c r="J5" s="14" t="s">
        <v>55</v>
      </c>
      <c r="K5" s="12" t="s">
        <v>60</v>
      </c>
      <c r="L5" s="100" t="s">
        <v>61</v>
      </c>
      <c r="M5" s="116"/>
    </row>
    <row r="6" spans="1:13" ht="15" customHeight="1">
      <c r="A6" s="15"/>
      <c r="B6" s="16" t="s">
        <v>50</v>
      </c>
      <c r="C6" s="17">
        <f>+C7+C15+C20+C25+C32+C37+C38</f>
        <v>2099850240.9700003</v>
      </c>
      <c r="D6" s="39">
        <f>+C6/$C$2*100</f>
        <v>26.518283020395277</v>
      </c>
      <c r="E6" s="17">
        <f>+E7+E15+E20+E25+E32+E37+E38</f>
        <v>2120128337.9874969</v>
      </c>
      <c r="F6" s="39">
        <f>+E6/$E$2*100</f>
        <v>26.774368099861046</v>
      </c>
      <c r="G6" s="17">
        <f>+C6-E6</f>
        <v>-20278097.017496586</v>
      </c>
      <c r="H6" s="93">
        <f>+C6/E6*100-100</f>
        <v>-0.95645610947991599</v>
      </c>
      <c r="I6" s="17">
        <f>+I7+I15+I20+I25+I32+I37+I38</f>
        <v>2075818948.1399996</v>
      </c>
      <c r="J6" s="39">
        <f>+I6/$I$2*100</f>
        <v>27.828927101826956</v>
      </c>
      <c r="K6" s="17">
        <f>+C6-I6</f>
        <v>24031292.830000639</v>
      </c>
      <c r="L6" s="93">
        <f>+C6/I6*100-100</f>
        <v>1.1576776891613463</v>
      </c>
      <c r="M6" s="80" t="s">
        <v>148</v>
      </c>
    </row>
    <row r="7" spans="1:13" ht="15" customHeight="1">
      <c r="A7" s="18">
        <v>711</v>
      </c>
      <c r="B7" s="19" t="s">
        <v>1</v>
      </c>
      <c r="C7" s="20">
        <f>+SUM(C8:C14)</f>
        <v>1693530957.6800001</v>
      </c>
      <c r="D7" s="40">
        <f t="shared" ref="D7:D72" si="0">+C7/$C$2*100</f>
        <v>21.3870172088148</v>
      </c>
      <c r="E7" s="108">
        <f>+SUM(E8:E14)</f>
        <v>1655601060.3340271</v>
      </c>
      <c r="F7" s="40">
        <f t="shared" ref="F7:F38" si="1">+E7/$E$2*100</f>
        <v>20.908013643165084</v>
      </c>
      <c r="G7" s="20">
        <f t="shared" ref="G7:G62" si="2">+C7-E7</f>
        <v>37929897.345973015</v>
      </c>
      <c r="H7" s="89">
        <f t="shared" ref="H7:H62" si="3">+C7/E7*100-100</f>
        <v>2.2910046541236397</v>
      </c>
      <c r="I7" s="20">
        <f>+SUM(I8:I14)</f>
        <v>1498040166.4399998</v>
      </c>
      <c r="J7" s="40">
        <f t="shared" ref="J7:J72" si="4">+I7/$I$2*100</f>
        <v>20.083086063368881</v>
      </c>
      <c r="K7" s="20">
        <f t="shared" ref="K7:K38" si="5">+C7-I7</f>
        <v>195490791.24000025</v>
      </c>
      <c r="L7" s="89">
        <f t="shared" ref="L7:L38" si="6">+C7/I7*100-100</f>
        <v>13.049769667029153</v>
      </c>
      <c r="M7" s="71" t="s">
        <v>78</v>
      </c>
    </row>
    <row r="8" spans="1:13" ht="15" customHeight="1">
      <c r="A8" s="21">
        <v>7111</v>
      </c>
      <c r="B8" s="22" t="s">
        <v>2</v>
      </c>
      <c r="C8" s="23">
        <v>77928569.280000001</v>
      </c>
      <c r="D8" s="41">
        <f t="shared" si="0"/>
        <v>0.98413297063837846</v>
      </c>
      <c r="E8" s="107">
        <v>74346217.785822064</v>
      </c>
      <c r="F8" s="41">
        <f t="shared" si="1"/>
        <v>0.93889269161864064</v>
      </c>
      <c r="G8" s="23">
        <f t="shared" si="2"/>
        <v>3582351.4941779375</v>
      </c>
      <c r="H8" s="94">
        <f t="shared" si="3"/>
        <v>4.81847174055045</v>
      </c>
      <c r="I8" s="23">
        <v>59509539.710000001</v>
      </c>
      <c r="J8" s="41">
        <f t="shared" si="4"/>
        <v>0.79779917412198842</v>
      </c>
      <c r="K8" s="23">
        <f t="shared" si="5"/>
        <v>18419029.57</v>
      </c>
      <c r="L8" s="94">
        <f t="shared" si="6"/>
        <v>30.951389743155516</v>
      </c>
      <c r="M8" s="72" t="s">
        <v>79</v>
      </c>
    </row>
    <row r="9" spans="1:13" ht="15" customHeight="1">
      <c r="A9" s="21">
        <v>7112</v>
      </c>
      <c r="B9" s="22" t="s">
        <v>3</v>
      </c>
      <c r="C9" s="23">
        <v>222547125.46000001</v>
      </c>
      <c r="D9" s="41">
        <f t="shared" si="0"/>
        <v>2.8104707389025698</v>
      </c>
      <c r="E9" s="107">
        <v>208716683.99093395</v>
      </c>
      <c r="F9" s="41">
        <f t="shared" si="1"/>
        <v>2.6358108731569607</v>
      </c>
      <c r="G9" s="23">
        <f t="shared" si="2"/>
        <v>13830441.469066054</v>
      </c>
      <c r="H9" s="94">
        <f t="shared" si="3"/>
        <v>6.6264187436337494</v>
      </c>
      <c r="I9" s="23">
        <v>204339140.29999998</v>
      </c>
      <c r="J9" s="41">
        <f t="shared" si="4"/>
        <v>2.7394195647717794</v>
      </c>
      <c r="K9" s="23">
        <f t="shared" si="5"/>
        <v>18207985.160000026</v>
      </c>
      <c r="L9" s="94">
        <f t="shared" si="6"/>
        <v>8.9106693574554612</v>
      </c>
      <c r="M9" s="72" t="s">
        <v>80</v>
      </c>
    </row>
    <row r="10" spans="1:13" ht="15" customHeight="1">
      <c r="A10" s="21">
        <v>7113</v>
      </c>
      <c r="B10" s="22" t="s">
        <v>4</v>
      </c>
      <c r="C10" s="23">
        <v>0</v>
      </c>
      <c r="D10" s="41">
        <f t="shared" si="0"/>
        <v>0</v>
      </c>
      <c r="E10" s="107">
        <v>0</v>
      </c>
      <c r="F10" s="41">
        <f t="shared" si="1"/>
        <v>0</v>
      </c>
      <c r="G10" s="23">
        <f t="shared" si="2"/>
        <v>0</v>
      </c>
      <c r="H10" s="94">
        <f>+IFERROR(C10/E10*100-100,0)</f>
        <v>0</v>
      </c>
      <c r="I10" s="23">
        <v>0</v>
      </c>
      <c r="J10" s="41">
        <f t="shared" si="4"/>
        <v>0</v>
      </c>
      <c r="K10" s="23">
        <f t="shared" si="5"/>
        <v>0</v>
      </c>
      <c r="L10" s="94">
        <f>+IFERROR(C10/I10*100-100,0)</f>
        <v>0</v>
      </c>
      <c r="M10" s="72" t="s">
        <v>81</v>
      </c>
    </row>
    <row r="11" spans="1:13" ht="15" customHeight="1">
      <c r="A11" s="21">
        <v>7114</v>
      </c>
      <c r="B11" s="22" t="s">
        <v>5</v>
      </c>
      <c r="C11" s="23">
        <v>1030179987.1600001</v>
      </c>
      <c r="D11" s="41">
        <f t="shared" si="0"/>
        <v>13.009787045021154</v>
      </c>
      <c r="E11" s="107">
        <v>1011277285.8796604</v>
      </c>
      <c r="F11" s="41">
        <f t="shared" si="1"/>
        <v>12.771071363006381</v>
      </c>
      <c r="G11" s="23">
        <f t="shared" si="2"/>
        <v>18902701.280339718</v>
      </c>
      <c r="H11" s="94">
        <f t="shared" si="3"/>
        <v>1.8691907298102848</v>
      </c>
      <c r="I11" s="23">
        <v>901559862.32000005</v>
      </c>
      <c r="J11" s="41">
        <f t="shared" si="4"/>
        <v>12.086527926203477</v>
      </c>
      <c r="K11" s="23">
        <f t="shared" si="5"/>
        <v>128620124.84000003</v>
      </c>
      <c r="L11" s="94">
        <f t="shared" si="6"/>
        <v>14.266398740181231</v>
      </c>
      <c r="M11" s="72" t="s">
        <v>82</v>
      </c>
    </row>
    <row r="12" spans="1:13" ht="15" customHeight="1">
      <c r="A12" s="21">
        <v>7115</v>
      </c>
      <c r="B12" s="22" t="s">
        <v>6</v>
      </c>
      <c r="C12" s="23">
        <v>298651176.82999998</v>
      </c>
      <c r="D12" s="41">
        <f t="shared" si="0"/>
        <v>3.7715625033781648</v>
      </c>
      <c r="E12" s="107">
        <v>302651764.85000002</v>
      </c>
      <c r="F12" s="41">
        <f t="shared" si="1"/>
        <v>3.822084546947023</v>
      </c>
      <c r="G12" s="23">
        <f t="shared" si="2"/>
        <v>-4000588.0200000405</v>
      </c>
      <c r="H12" s="94">
        <f t="shared" si="3"/>
        <v>-1.3218452639728753</v>
      </c>
      <c r="I12" s="23">
        <v>276915291.29000002</v>
      </c>
      <c r="J12" s="41">
        <f t="shared" si="4"/>
        <v>3.7123928662447367</v>
      </c>
      <c r="K12" s="23">
        <f t="shared" si="5"/>
        <v>21735885.539999962</v>
      </c>
      <c r="L12" s="94">
        <f t="shared" si="6"/>
        <v>7.8492904594557018</v>
      </c>
      <c r="M12" s="72" t="s">
        <v>83</v>
      </c>
    </row>
    <row r="13" spans="1:13" ht="15" customHeight="1">
      <c r="A13" s="21">
        <v>7116</v>
      </c>
      <c r="B13" s="22" t="s">
        <v>7</v>
      </c>
      <c r="C13" s="23">
        <v>52309548.440000005</v>
      </c>
      <c r="D13" s="41">
        <f t="shared" si="0"/>
        <v>0.66059920995137966</v>
      </c>
      <c r="E13" s="107">
        <v>46874480.851110503</v>
      </c>
      <c r="F13" s="41">
        <f t="shared" si="1"/>
        <v>0.59196161963895311</v>
      </c>
      <c r="G13" s="23">
        <f t="shared" si="2"/>
        <v>5435067.588889502</v>
      </c>
      <c r="H13" s="94">
        <f t="shared" si="3"/>
        <v>11.59493927229434</v>
      </c>
      <c r="I13" s="107">
        <v>44689346.829999998</v>
      </c>
      <c r="J13" s="41">
        <f t="shared" si="4"/>
        <v>0.59911611090875139</v>
      </c>
      <c r="K13" s="23">
        <f t="shared" si="5"/>
        <v>7620201.6100000069</v>
      </c>
      <c r="L13" s="94">
        <f t="shared" si="6"/>
        <v>17.051494708543274</v>
      </c>
      <c r="M13" s="72" t="s">
        <v>84</v>
      </c>
    </row>
    <row r="14" spans="1:13" ht="15" customHeight="1">
      <c r="A14" s="21">
        <v>7118</v>
      </c>
      <c r="B14" s="22" t="s">
        <v>59</v>
      </c>
      <c r="C14" s="23">
        <v>11914550.51</v>
      </c>
      <c r="D14" s="41">
        <f t="shared" si="0"/>
        <v>0.15046474092315465</v>
      </c>
      <c r="E14" s="107">
        <v>11734626.976500258</v>
      </c>
      <c r="F14" s="41">
        <f t="shared" si="1"/>
        <v>0.14819254879712393</v>
      </c>
      <c r="G14" s="23">
        <f t="shared" si="2"/>
        <v>179923.53349974193</v>
      </c>
      <c r="H14" s="94">
        <f t="shared" si="3"/>
        <v>1.5332701572879728</v>
      </c>
      <c r="I14" s="107">
        <v>11026985.989999998</v>
      </c>
      <c r="J14" s="41">
        <f t="shared" si="4"/>
        <v>0.14783042111815278</v>
      </c>
      <c r="K14" s="23">
        <f t="shared" si="5"/>
        <v>887564.52000000142</v>
      </c>
      <c r="L14" s="94">
        <f t="shared" si="6"/>
        <v>8.0490219249838901</v>
      </c>
      <c r="M14" s="72" t="s">
        <v>85</v>
      </c>
    </row>
    <row r="15" spans="1:13" ht="15" customHeight="1">
      <c r="A15" s="18">
        <v>712</v>
      </c>
      <c r="B15" s="19" t="s">
        <v>8</v>
      </c>
      <c r="C15" s="20">
        <f>+SUM(C16:C19)</f>
        <v>290652989.25999999</v>
      </c>
      <c r="D15" s="40">
        <f t="shared" si="0"/>
        <v>3.6705561565953144</v>
      </c>
      <c r="E15" s="108">
        <f>+SUM(E16:E19)</f>
        <v>312814709.33659464</v>
      </c>
      <c r="F15" s="40">
        <f t="shared" si="1"/>
        <v>3.9504288607260802</v>
      </c>
      <c r="G15" s="20">
        <f t="shared" si="2"/>
        <v>-22161720.076594651</v>
      </c>
      <c r="H15" s="89">
        <f t="shared" si="3"/>
        <v>-7.0846157214263883</v>
      </c>
      <c r="I15" s="108">
        <f>+SUM(I16:I19)</f>
        <v>430168424.79000002</v>
      </c>
      <c r="J15" s="40">
        <f t="shared" si="4"/>
        <v>5.766941161084957</v>
      </c>
      <c r="K15" s="20">
        <f t="shared" si="5"/>
        <v>-139515435.53000003</v>
      </c>
      <c r="L15" s="89">
        <f t="shared" si="6"/>
        <v>-32.432746684768603</v>
      </c>
      <c r="M15" s="71" t="s">
        <v>86</v>
      </c>
    </row>
    <row r="16" spans="1:13" ht="15" customHeight="1">
      <c r="A16" s="21">
        <v>7121</v>
      </c>
      <c r="B16" s="22" t="s">
        <v>9</v>
      </c>
      <c r="C16" s="23">
        <v>244892354.74000001</v>
      </c>
      <c r="D16" s="41">
        <f t="shared" si="0"/>
        <v>3.0926609173454569</v>
      </c>
      <c r="E16" s="107">
        <v>278233728.9084453</v>
      </c>
      <c r="F16" s="41">
        <f t="shared" si="1"/>
        <v>3.5137176095023719</v>
      </c>
      <c r="G16" s="23">
        <f t="shared" si="2"/>
        <v>-33341374.168445289</v>
      </c>
      <c r="H16" s="94">
        <f t="shared" si="3"/>
        <v>-11.983225146443871</v>
      </c>
      <c r="I16" s="107">
        <v>394493209.23000002</v>
      </c>
      <c r="J16" s="41">
        <f t="shared" si="4"/>
        <v>5.2886706577490141</v>
      </c>
      <c r="K16" s="23">
        <f t="shared" si="5"/>
        <v>-149600854.49000001</v>
      </c>
      <c r="L16" s="94">
        <f t="shared" si="6"/>
        <v>-37.922288898711756</v>
      </c>
      <c r="M16" s="72" t="s">
        <v>87</v>
      </c>
    </row>
    <row r="17" spans="1:13" ht="15" customHeight="1">
      <c r="A17" s="21">
        <v>7122</v>
      </c>
      <c r="B17" s="22" t="s">
        <v>10</v>
      </c>
      <c r="C17" s="23">
        <v>5177992.8500000006</v>
      </c>
      <c r="D17" s="41">
        <f t="shared" si="0"/>
        <v>6.5391082275683535E-2</v>
      </c>
      <c r="E17" s="107">
        <v>4399928.3982469719</v>
      </c>
      <c r="F17" s="41">
        <f t="shared" si="1"/>
        <v>5.5565175200441651E-2</v>
      </c>
      <c r="G17" s="23">
        <f t="shared" si="2"/>
        <v>778064.45175302867</v>
      </c>
      <c r="H17" s="94">
        <f t="shared" si="3"/>
        <v>17.68357076135662</v>
      </c>
      <c r="I17" s="107">
        <v>3671378.62</v>
      </c>
      <c r="J17" s="41">
        <f t="shared" si="4"/>
        <v>4.9219383063602018E-2</v>
      </c>
      <c r="K17" s="23">
        <f t="shared" si="5"/>
        <v>1506614.2300000004</v>
      </c>
      <c r="L17" s="94">
        <f t="shared" si="6"/>
        <v>41.0367435761774</v>
      </c>
      <c r="M17" s="72" t="s">
        <v>88</v>
      </c>
    </row>
    <row r="18" spans="1:13" ht="15" customHeight="1">
      <c r="A18" s="21">
        <v>7123</v>
      </c>
      <c r="B18" s="22" t="s">
        <v>11</v>
      </c>
      <c r="C18" s="23">
        <v>23745875.050000001</v>
      </c>
      <c r="D18" s="41">
        <f t="shared" si="0"/>
        <v>0.29987844983267031</v>
      </c>
      <c r="E18" s="107">
        <v>16960772.2269505</v>
      </c>
      <c r="F18" s="41">
        <f t="shared" si="1"/>
        <v>0.21419173109743639</v>
      </c>
      <c r="G18" s="23">
        <f t="shared" si="2"/>
        <v>6785102.8230495006</v>
      </c>
      <c r="H18" s="94">
        <f t="shared" si="3"/>
        <v>40.004680991281987</v>
      </c>
      <c r="I18" s="107">
        <v>18537804.940000001</v>
      </c>
      <c r="J18" s="41">
        <f t="shared" si="4"/>
        <v>0.24852226287143164</v>
      </c>
      <c r="K18" s="23">
        <f t="shared" si="5"/>
        <v>5208070.1099999994</v>
      </c>
      <c r="L18" s="94">
        <f t="shared" si="6"/>
        <v>28.094319294310139</v>
      </c>
      <c r="M18" s="72" t="s">
        <v>89</v>
      </c>
    </row>
    <row r="19" spans="1:13" ht="15" customHeight="1">
      <c r="A19" s="21">
        <v>7124</v>
      </c>
      <c r="B19" s="22" t="s">
        <v>12</v>
      </c>
      <c r="C19" s="23">
        <v>16836766.620000001</v>
      </c>
      <c r="D19" s="41">
        <f t="shared" si="0"/>
        <v>0.21262570714150408</v>
      </c>
      <c r="E19" s="107">
        <v>13220279.80295188</v>
      </c>
      <c r="F19" s="41">
        <f t="shared" si="1"/>
        <v>0.16695434492583039</v>
      </c>
      <c r="G19" s="23">
        <f t="shared" si="2"/>
        <v>3616486.8170481212</v>
      </c>
      <c r="H19" s="94">
        <f t="shared" si="3"/>
        <v>27.355599661669913</v>
      </c>
      <c r="I19" s="107">
        <v>13466032</v>
      </c>
      <c r="J19" s="41">
        <f t="shared" si="4"/>
        <v>0.1805288574009081</v>
      </c>
      <c r="K19" s="23">
        <f t="shared" si="5"/>
        <v>3370734.620000001</v>
      </c>
      <c r="L19" s="94">
        <f t="shared" si="6"/>
        <v>25.031387271320909</v>
      </c>
      <c r="M19" s="72" t="s">
        <v>90</v>
      </c>
    </row>
    <row r="20" spans="1:13" ht="15" customHeight="1">
      <c r="A20" s="18">
        <v>713</v>
      </c>
      <c r="B20" s="19" t="s">
        <v>13</v>
      </c>
      <c r="C20" s="20">
        <f>SUM(C21:C24)</f>
        <v>12346097.399999999</v>
      </c>
      <c r="D20" s="40">
        <f t="shared" si="0"/>
        <v>0.15591459746164044</v>
      </c>
      <c r="E20" s="108">
        <f>+SUM(E21:E24)</f>
        <v>13426576.76847052</v>
      </c>
      <c r="F20" s="40">
        <f t="shared" si="1"/>
        <v>0.16955959801061465</v>
      </c>
      <c r="G20" s="20">
        <f t="shared" si="2"/>
        <v>-1080479.3684705216</v>
      </c>
      <c r="H20" s="89">
        <f t="shared" si="3"/>
        <v>-8.0473182934297824</v>
      </c>
      <c r="I20" s="108">
        <f>+SUM(I21:I24)</f>
        <v>12019768.6</v>
      </c>
      <c r="J20" s="40">
        <f t="shared" si="4"/>
        <v>0.16113990309701573</v>
      </c>
      <c r="K20" s="20">
        <f t="shared" si="5"/>
        <v>326328.79999999888</v>
      </c>
      <c r="L20" s="89">
        <f t="shared" si="6"/>
        <v>2.7149341294307305</v>
      </c>
      <c r="M20" s="71" t="s">
        <v>91</v>
      </c>
    </row>
    <row r="21" spans="1:13" ht="15" customHeight="1">
      <c r="A21" s="21">
        <v>7131</v>
      </c>
      <c r="B21" s="22" t="s">
        <v>14</v>
      </c>
      <c r="C21" s="23">
        <v>7584488.0899999989</v>
      </c>
      <c r="D21" s="41">
        <f t="shared" si="0"/>
        <v>9.5781879017490676E-2</v>
      </c>
      <c r="E21" s="107">
        <v>8345456.311481324</v>
      </c>
      <c r="F21" s="41">
        <f t="shared" si="1"/>
        <v>0.10539188370879994</v>
      </c>
      <c r="G21" s="23">
        <f t="shared" si="2"/>
        <v>-760968.2214813251</v>
      </c>
      <c r="H21" s="94">
        <f t="shared" si="3"/>
        <v>-9.118353665507982</v>
      </c>
      <c r="I21" s="107">
        <v>7444749.9700000007</v>
      </c>
      <c r="J21" s="41">
        <f t="shared" si="4"/>
        <v>9.9806105148090019E-2</v>
      </c>
      <c r="K21" s="23">
        <f t="shared" si="5"/>
        <v>139738.11999999825</v>
      </c>
      <c r="L21" s="94">
        <f t="shared" si="6"/>
        <v>1.8770021903099234</v>
      </c>
      <c r="M21" s="72" t="s">
        <v>92</v>
      </c>
    </row>
    <row r="22" spans="1:13" ht="15" customHeight="1">
      <c r="A22" s="21">
        <v>7132</v>
      </c>
      <c r="B22" s="22" t="s">
        <v>15</v>
      </c>
      <c r="C22" s="23">
        <v>1026153.7999999999</v>
      </c>
      <c r="D22" s="41">
        <f t="shared" si="0"/>
        <v>1.2958941718759864E-2</v>
      </c>
      <c r="E22" s="107">
        <v>1070868.5824114489</v>
      </c>
      <c r="F22" s="41">
        <f t="shared" si="1"/>
        <v>1.3523629253159676E-2</v>
      </c>
      <c r="G22" s="23">
        <f t="shared" si="2"/>
        <v>-44714.782411449007</v>
      </c>
      <c r="H22" s="94">
        <f t="shared" si="3"/>
        <v>-4.1755620760446135</v>
      </c>
      <c r="I22" s="107">
        <v>1004989.78</v>
      </c>
      <c r="J22" s="41">
        <f t="shared" si="4"/>
        <v>1.3473134230112481E-2</v>
      </c>
      <c r="K22" s="23">
        <f t="shared" si="5"/>
        <v>21164.019999999902</v>
      </c>
      <c r="L22" s="94">
        <f t="shared" si="6"/>
        <v>2.1058940519773159</v>
      </c>
      <c r="M22" s="72" t="s">
        <v>93</v>
      </c>
    </row>
    <row r="23" spans="1:13" ht="15" customHeight="1">
      <c r="A23" s="21">
        <v>7133</v>
      </c>
      <c r="B23" s="22" t="s">
        <v>16</v>
      </c>
      <c r="C23" s="23">
        <v>1927462.7</v>
      </c>
      <c r="D23" s="41">
        <f t="shared" si="0"/>
        <v>2.4341260339710805E-2</v>
      </c>
      <c r="E23" s="107">
        <v>2175893.6033506114</v>
      </c>
      <c r="F23" s="41">
        <f t="shared" si="1"/>
        <v>2.7478608364596972E-2</v>
      </c>
      <c r="G23" s="23">
        <f t="shared" si="2"/>
        <v>-248430.90335061145</v>
      </c>
      <c r="H23" s="94">
        <f t="shared" si="3"/>
        <v>-11.417419627874182</v>
      </c>
      <c r="I23" s="107">
        <v>1957832.1199999999</v>
      </c>
      <c r="J23" s="41">
        <f t="shared" si="4"/>
        <v>2.6247167362025991E-2</v>
      </c>
      <c r="K23" s="23">
        <f t="shared" si="5"/>
        <v>-30369.419999999925</v>
      </c>
      <c r="L23" s="94">
        <f t="shared" si="6"/>
        <v>-1.5511758995965295</v>
      </c>
      <c r="M23" s="72" t="s">
        <v>94</v>
      </c>
    </row>
    <row r="24" spans="1:13" ht="15" customHeight="1">
      <c r="A24" s="21">
        <v>7136</v>
      </c>
      <c r="B24" s="22" t="s">
        <v>18</v>
      </c>
      <c r="C24" s="23">
        <v>1807992.81</v>
      </c>
      <c r="D24" s="41">
        <f t="shared" si="0"/>
        <v>2.2832516385679107E-2</v>
      </c>
      <c r="E24" s="107">
        <v>1834358.2712271356</v>
      </c>
      <c r="F24" s="41">
        <f t="shared" si="1"/>
        <v>2.3165476684058033E-2</v>
      </c>
      <c r="G24" s="23">
        <f t="shared" si="2"/>
        <v>-26365.4612271355</v>
      </c>
      <c r="H24" s="94">
        <f t="shared" si="3"/>
        <v>-1.4373125272577028</v>
      </c>
      <c r="I24" s="107">
        <v>1612196.73</v>
      </c>
      <c r="J24" s="41">
        <f t="shared" si="4"/>
        <v>2.1613496356787238E-2</v>
      </c>
      <c r="K24" s="23">
        <f t="shared" si="5"/>
        <v>195796.08000000007</v>
      </c>
      <c r="L24" s="94">
        <f t="shared" si="6"/>
        <v>12.144676661141716</v>
      </c>
      <c r="M24" s="72" t="s">
        <v>95</v>
      </c>
    </row>
    <row r="25" spans="1:13" ht="15" customHeight="1">
      <c r="A25" s="18">
        <v>714</v>
      </c>
      <c r="B25" s="19" t="s">
        <v>19</v>
      </c>
      <c r="C25" s="20">
        <f>+SUM(C26:C31)</f>
        <v>52396949.940000005</v>
      </c>
      <c r="D25" s="40">
        <f t="shared" si="0"/>
        <v>0.66170297329039596</v>
      </c>
      <c r="E25" s="108">
        <f>+SUM(E26:E31)</f>
        <v>54901842.94353985</v>
      </c>
      <c r="F25" s="40">
        <f t="shared" si="1"/>
        <v>0.69333640138334096</v>
      </c>
      <c r="G25" s="20">
        <f t="shared" si="2"/>
        <v>-2504893.0035398453</v>
      </c>
      <c r="H25" s="89">
        <f t="shared" si="3"/>
        <v>-4.5624934778889639</v>
      </c>
      <c r="I25" s="108">
        <f>+SUM(I26:I31)</f>
        <v>37810502.590000004</v>
      </c>
      <c r="J25" s="40">
        <f t="shared" si="4"/>
        <v>0.50689667381800196</v>
      </c>
      <c r="K25" s="20">
        <f t="shared" si="5"/>
        <v>14586447.350000001</v>
      </c>
      <c r="L25" s="89">
        <f t="shared" si="6"/>
        <v>38.577766363406596</v>
      </c>
      <c r="M25" s="71" t="s">
        <v>96</v>
      </c>
    </row>
    <row r="26" spans="1:13" ht="15" customHeight="1">
      <c r="A26" s="21">
        <v>7141</v>
      </c>
      <c r="B26" s="22" t="s">
        <v>20</v>
      </c>
      <c r="C26" s="23">
        <v>1394589.1400000001</v>
      </c>
      <c r="D26" s="41">
        <f t="shared" si="0"/>
        <v>1.7611784302582562E-2</v>
      </c>
      <c r="E26" s="107">
        <v>1663531.6225578792</v>
      </c>
      <c r="F26" s="41">
        <f t="shared" si="1"/>
        <v>2.100816597282161E-2</v>
      </c>
      <c r="G26" s="23">
        <f t="shared" si="2"/>
        <v>-268942.48255787906</v>
      </c>
      <c r="H26" s="94">
        <f t="shared" si="3"/>
        <v>-16.166959432027369</v>
      </c>
      <c r="I26" s="107">
        <v>1419948.76</v>
      </c>
      <c r="J26" s="41">
        <f t="shared" si="4"/>
        <v>1.9036173923442059E-2</v>
      </c>
      <c r="K26" s="23">
        <f t="shared" si="5"/>
        <v>-25359.619999999879</v>
      </c>
      <c r="L26" s="94">
        <f t="shared" si="6"/>
        <v>-1.7859531776343687</v>
      </c>
      <c r="M26" s="72" t="s">
        <v>97</v>
      </c>
    </row>
    <row r="27" spans="1:13" ht="15" customHeight="1">
      <c r="A27" s="21">
        <v>7142</v>
      </c>
      <c r="B27" s="22" t="s">
        <v>21</v>
      </c>
      <c r="C27" s="23">
        <v>3613173.5999999996</v>
      </c>
      <c r="D27" s="41">
        <f t="shared" si="0"/>
        <v>4.5629520742564877E-2</v>
      </c>
      <c r="E27" s="107">
        <v>2658647.8690651907</v>
      </c>
      <c r="F27" s="41">
        <f t="shared" si="1"/>
        <v>3.3575145154577136E-2</v>
      </c>
      <c r="G27" s="23">
        <f t="shared" si="2"/>
        <v>954525.73093480896</v>
      </c>
      <c r="H27" s="94">
        <f t="shared" si="3"/>
        <v>35.902676019687789</v>
      </c>
      <c r="I27" s="107">
        <v>3113872.3600000003</v>
      </c>
      <c r="J27" s="41">
        <f t="shared" si="4"/>
        <v>4.1745320317304255E-2</v>
      </c>
      <c r="K27" s="23">
        <f t="shared" si="5"/>
        <v>499301.23999999929</v>
      </c>
      <c r="L27" s="94">
        <f t="shared" si="6"/>
        <v>16.034736889472214</v>
      </c>
      <c r="M27" s="72" t="s">
        <v>98</v>
      </c>
    </row>
    <row r="28" spans="1:13" ht="15" customHeight="1">
      <c r="A28" s="21">
        <v>7143</v>
      </c>
      <c r="B28" s="22" t="s">
        <v>22</v>
      </c>
      <c r="C28" s="23">
        <v>0</v>
      </c>
      <c r="D28" s="41">
        <f t="shared" si="0"/>
        <v>0</v>
      </c>
      <c r="E28" s="107">
        <v>0</v>
      </c>
      <c r="F28" s="41">
        <f t="shared" si="1"/>
        <v>0</v>
      </c>
      <c r="G28" s="23">
        <f t="shared" si="2"/>
        <v>0</v>
      </c>
      <c r="H28" s="94">
        <f>+IFERROR(C28/E28*100-100,0)</f>
        <v>0</v>
      </c>
      <c r="I28" s="107">
        <v>0</v>
      </c>
      <c r="J28" s="41">
        <f t="shared" si="4"/>
        <v>0</v>
      </c>
      <c r="K28" s="23">
        <f t="shared" si="5"/>
        <v>0</v>
      </c>
      <c r="L28" s="94">
        <f>+IFERROR(C28/I28*100-100,0)</f>
        <v>0</v>
      </c>
      <c r="M28" s="72" t="s">
        <v>99</v>
      </c>
    </row>
    <row r="29" spans="1:13" ht="15" customHeight="1">
      <c r="A29" s="21">
        <v>7144</v>
      </c>
      <c r="B29" s="22" t="s">
        <v>23</v>
      </c>
      <c r="C29" s="23">
        <v>18682789.810000002</v>
      </c>
      <c r="D29" s="41">
        <f t="shared" si="0"/>
        <v>0.23593849605354553</v>
      </c>
      <c r="E29" s="107">
        <v>30458775.302515198</v>
      </c>
      <c r="F29" s="41">
        <f t="shared" si="1"/>
        <v>0.38465334725661676</v>
      </c>
      <c r="G29" s="23">
        <f t="shared" si="2"/>
        <v>-11775985.492515195</v>
      </c>
      <c r="H29" s="94">
        <f t="shared" si="3"/>
        <v>-38.662045258079594</v>
      </c>
      <c r="I29" s="107">
        <v>14538846.139999999</v>
      </c>
      <c r="J29" s="41">
        <f t="shared" si="4"/>
        <v>0.19491126128185371</v>
      </c>
      <c r="K29" s="23">
        <f t="shared" si="5"/>
        <v>4143943.6700000037</v>
      </c>
      <c r="L29" s="94">
        <f t="shared" si="6"/>
        <v>28.502562239784481</v>
      </c>
      <c r="M29" s="72" t="s">
        <v>100</v>
      </c>
    </row>
    <row r="30" spans="1:13" ht="15" customHeight="1">
      <c r="A30" s="21">
        <v>7148</v>
      </c>
      <c r="B30" s="22" t="s">
        <v>24</v>
      </c>
      <c r="C30" s="82">
        <v>3027658.59</v>
      </c>
      <c r="D30" s="41">
        <f t="shared" si="0"/>
        <v>3.8235254025383594E-2</v>
      </c>
      <c r="E30" s="111">
        <v>2584778.7279526638</v>
      </c>
      <c r="F30" s="41">
        <f t="shared" si="1"/>
        <v>3.2642277299395894E-2</v>
      </c>
      <c r="G30" s="76">
        <f t="shared" si="2"/>
        <v>442879.86204733606</v>
      </c>
      <c r="H30" s="94">
        <f t="shared" si="3"/>
        <v>17.134149908380351</v>
      </c>
      <c r="I30" s="111">
        <v>2735516.42</v>
      </c>
      <c r="J30" s="41">
        <f t="shared" si="4"/>
        <v>3.6672989764469789E-2</v>
      </c>
      <c r="K30" s="76">
        <f t="shared" si="5"/>
        <v>292142.16999999993</v>
      </c>
      <c r="L30" s="94">
        <f t="shared" si="6"/>
        <v>10.679598479617241</v>
      </c>
      <c r="M30" s="72" t="s">
        <v>101</v>
      </c>
    </row>
    <row r="31" spans="1:13" ht="15" customHeight="1">
      <c r="A31" s="21">
        <v>7149</v>
      </c>
      <c r="B31" s="22" t="s">
        <v>25</v>
      </c>
      <c r="C31" s="82">
        <v>25678738.800000001</v>
      </c>
      <c r="D31" s="41">
        <f t="shared" si="0"/>
        <v>0.32428791816631936</v>
      </c>
      <c r="E31" s="111">
        <v>17536109.421448916</v>
      </c>
      <c r="F31" s="41">
        <f t="shared" si="1"/>
        <v>0.22145746569992947</v>
      </c>
      <c r="G31" s="76">
        <f t="shared" si="2"/>
        <v>8142629.3785510845</v>
      </c>
      <c r="H31" s="94">
        <f t="shared" si="3"/>
        <v>46.433500058978893</v>
      </c>
      <c r="I31" s="111">
        <v>16002318.91</v>
      </c>
      <c r="J31" s="41">
        <f t="shared" si="4"/>
        <v>0.21453092853093214</v>
      </c>
      <c r="K31" s="76">
        <f t="shared" si="5"/>
        <v>9676419.8900000006</v>
      </c>
      <c r="L31" s="94">
        <f t="shared" si="6"/>
        <v>60.468860447176269</v>
      </c>
      <c r="M31" s="72" t="s">
        <v>102</v>
      </c>
    </row>
    <row r="32" spans="1:13" ht="15" customHeight="1">
      <c r="A32" s="18">
        <v>715</v>
      </c>
      <c r="B32" s="19" t="s">
        <v>26</v>
      </c>
      <c r="C32" s="20">
        <f>+SUM(C33:C36)</f>
        <v>39763519.969999999</v>
      </c>
      <c r="D32" s="40">
        <f t="shared" si="0"/>
        <v>0.5021597520995138</v>
      </c>
      <c r="E32" s="108">
        <f>+SUM(E33:E36)</f>
        <v>33661892.218198337</v>
      </c>
      <c r="F32" s="40">
        <f t="shared" si="1"/>
        <v>0.42510440384161563</v>
      </c>
      <c r="G32" s="20">
        <f t="shared" si="2"/>
        <v>6101627.7518016621</v>
      </c>
      <c r="H32" s="89">
        <f t="shared" si="3"/>
        <v>18.126217362501663</v>
      </c>
      <c r="I32" s="108">
        <f>+SUM(I33:I36)</f>
        <v>74366935.25</v>
      </c>
      <c r="J32" s="40">
        <f t="shared" si="4"/>
        <v>0.99698098512537436</v>
      </c>
      <c r="K32" s="20">
        <f t="shared" si="5"/>
        <v>-34603415.280000001</v>
      </c>
      <c r="L32" s="89">
        <f t="shared" si="6"/>
        <v>-46.530645862537412</v>
      </c>
      <c r="M32" s="71" t="s">
        <v>103</v>
      </c>
    </row>
    <row r="33" spans="1:105" ht="15" customHeight="1">
      <c r="A33" s="21">
        <v>7151</v>
      </c>
      <c r="B33" s="22" t="s">
        <v>27</v>
      </c>
      <c r="C33" s="82">
        <v>15852029.439999999</v>
      </c>
      <c r="D33" s="41">
        <f t="shared" si="0"/>
        <v>0.20018980160383909</v>
      </c>
      <c r="E33" s="111">
        <v>12802652.075022012</v>
      </c>
      <c r="F33" s="41">
        <f t="shared" si="1"/>
        <v>0.16168026867490068</v>
      </c>
      <c r="G33" s="76">
        <f t="shared" si="2"/>
        <v>3049377.3649779875</v>
      </c>
      <c r="H33" s="94">
        <f t="shared" si="3"/>
        <v>23.81832566494036</v>
      </c>
      <c r="I33" s="111">
        <v>28170888.579999998</v>
      </c>
      <c r="J33" s="41">
        <f t="shared" si="4"/>
        <v>0.37766569449082632</v>
      </c>
      <c r="K33" s="76">
        <f t="shared" si="5"/>
        <v>-12318859.139999999</v>
      </c>
      <c r="L33" s="94">
        <f t="shared" si="6"/>
        <v>-43.72904001596104</v>
      </c>
      <c r="M33" s="72" t="s">
        <v>104</v>
      </c>
    </row>
    <row r="34" spans="1:105" ht="15" customHeight="1">
      <c r="A34" s="21">
        <v>7152</v>
      </c>
      <c r="B34" s="22" t="s">
        <v>28</v>
      </c>
      <c r="C34" s="82">
        <v>18370941.160000004</v>
      </c>
      <c r="D34" s="41">
        <f t="shared" si="0"/>
        <v>0.23200026722232753</v>
      </c>
      <c r="E34" s="111">
        <v>13725892.971675893</v>
      </c>
      <c r="F34" s="41">
        <f t="shared" si="1"/>
        <v>0.17333955890226549</v>
      </c>
      <c r="G34" s="76">
        <f t="shared" si="2"/>
        <v>4645048.1883241106</v>
      </c>
      <c r="H34" s="94">
        <f t="shared" si="3"/>
        <v>33.841500861979711</v>
      </c>
      <c r="I34" s="111">
        <v>16159066.930000002</v>
      </c>
      <c r="J34" s="41">
        <f t="shared" si="4"/>
        <v>0.21663233011310984</v>
      </c>
      <c r="K34" s="76">
        <f t="shared" si="5"/>
        <v>2211874.2300000023</v>
      </c>
      <c r="L34" s="94">
        <f t="shared" si="6"/>
        <v>13.688130877739994</v>
      </c>
      <c r="M34" s="72" t="s">
        <v>105</v>
      </c>
    </row>
    <row r="35" spans="1:105">
      <c r="A35" s="21">
        <v>7153</v>
      </c>
      <c r="B35" s="22" t="s">
        <v>29</v>
      </c>
      <c r="C35" s="82">
        <v>1843969.0499999998</v>
      </c>
      <c r="D35" s="41">
        <f t="shared" si="0"/>
        <v>2.3286847887857547E-2</v>
      </c>
      <c r="E35" s="111">
        <v>1652154.20150043</v>
      </c>
      <c r="F35" s="41">
        <f t="shared" si="1"/>
        <v>2.0864484454131842E-2</v>
      </c>
      <c r="G35" s="76">
        <f t="shared" si="2"/>
        <v>191814.84849956981</v>
      </c>
      <c r="H35" s="94">
        <f t="shared" si="3"/>
        <v>11.609984608299271</v>
      </c>
      <c r="I35" s="111">
        <v>1599004.6199999999</v>
      </c>
      <c r="J35" s="41">
        <f t="shared" si="4"/>
        <v>2.1436639763471026E-2</v>
      </c>
      <c r="K35" s="76">
        <f t="shared" si="5"/>
        <v>244964.42999999993</v>
      </c>
      <c r="L35" s="94">
        <f t="shared" si="6"/>
        <v>15.319807518755013</v>
      </c>
      <c r="M35" s="72" t="s">
        <v>106</v>
      </c>
    </row>
    <row r="36" spans="1:105" s="3" customFormat="1" ht="15" customHeight="1">
      <c r="A36" s="21">
        <v>7155</v>
      </c>
      <c r="B36" s="22" t="s">
        <v>26</v>
      </c>
      <c r="C36" s="82">
        <v>3696580.3200000003</v>
      </c>
      <c r="D36" s="41">
        <f t="shared" si="0"/>
        <v>4.6682835385489681E-2</v>
      </c>
      <c r="E36" s="111">
        <v>5481192.9699999997</v>
      </c>
      <c r="F36" s="41">
        <f t="shared" si="1"/>
        <v>6.9220091810317602E-2</v>
      </c>
      <c r="G36" s="76">
        <f t="shared" si="2"/>
        <v>-1784612.6499999994</v>
      </c>
      <c r="H36" s="94">
        <f t="shared" si="3"/>
        <v>-32.558836365872367</v>
      </c>
      <c r="I36" s="111">
        <v>28437975.119999997</v>
      </c>
      <c r="J36" s="41">
        <f t="shared" si="4"/>
        <v>0.38124632075796733</v>
      </c>
      <c r="K36" s="76">
        <f t="shared" si="5"/>
        <v>-24741394.799999997</v>
      </c>
      <c r="L36" s="94">
        <f t="shared" si="6"/>
        <v>-87.001253414135491</v>
      </c>
      <c r="M36" s="72" t="s">
        <v>103</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row>
    <row r="37" spans="1:105" ht="15" hidden="1" customHeight="1">
      <c r="A37" s="18">
        <v>73</v>
      </c>
      <c r="B37" s="92" t="s">
        <v>183</v>
      </c>
      <c r="C37" s="20">
        <v>0</v>
      </c>
      <c r="D37" s="40">
        <f t="shared" si="0"/>
        <v>0</v>
      </c>
      <c r="E37" s="108">
        <v>0</v>
      </c>
      <c r="F37" s="40">
        <f t="shared" si="1"/>
        <v>0</v>
      </c>
      <c r="G37" s="20">
        <f t="shared" si="2"/>
        <v>0</v>
      </c>
      <c r="H37" s="89">
        <f>+IFERROR(C37/E37*100-100,0)</f>
        <v>0</v>
      </c>
      <c r="I37" s="108">
        <v>0</v>
      </c>
      <c r="J37" s="40">
        <f t="shared" si="4"/>
        <v>0</v>
      </c>
      <c r="K37" s="20">
        <f t="shared" si="5"/>
        <v>0</v>
      </c>
      <c r="L37" s="89">
        <f>+IFERROR(C37/I37*100-100,0)</f>
        <v>0</v>
      </c>
      <c r="M37" s="71" t="s">
        <v>107</v>
      </c>
    </row>
    <row r="38" spans="1:105" ht="15" customHeight="1">
      <c r="A38" s="18">
        <v>74</v>
      </c>
      <c r="B38" s="19" t="s">
        <v>179</v>
      </c>
      <c r="C38" s="20">
        <v>11159726.719999999</v>
      </c>
      <c r="D38" s="40">
        <f t="shared" si="0"/>
        <v>0.14093233213361114</v>
      </c>
      <c r="E38" s="108">
        <v>49722256.386666603</v>
      </c>
      <c r="F38" s="40">
        <f t="shared" si="1"/>
        <v>0.62792519273431335</v>
      </c>
      <c r="G38" s="20">
        <f t="shared" si="2"/>
        <v>-38562529.666666605</v>
      </c>
      <c r="H38" s="89">
        <f t="shared" si="3"/>
        <v>-77.555872297475702</v>
      </c>
      <c r="I38" s="108">
        <v>23413150.469999999</v>
      </c>
      <c r="J38" s="40">
        <f t="shared" si="4"/>
        <v>0.31388231533273014</v>
      </c>
      <c r="K38" s="20">
        <f t="shared" si="5"/>
        <v>-12253423.75</v>
      </c>
      <c r="L38" s="89">
        <f t="shared" si="6"/>
        <v>-52.335646865212325</v>
      </c>
      <c r="M38" s="71" t="s">
        <v>108</v>
      </c>
    </row>
    <row r="39" spans="1:105" ht="15" customHeight="1">
      <c r="A39" s="15"/>
      <c r="B39" s="16" t="s">
        <v>71</v>
      </c>
      <c r="C39" s="17">
        <f>+C40+C50+C56+C57+C58+C59+C60+C61</f>
        <v>2188160344.8800001</v>
      </c>
      <c r="D39" s="39">
        <f t="shared" si="0"/>
        <v>27.633520804192713</v>
      </c>
      <c r="E39" s="17">
        <f>+E40+E50+E56+E57+E58+E59+E60+E61</f>
        <v>2306609756.1800003</v>
      </c>
      <c r="F39" s="39">
        <f t="shared" ref="F39:F78" si="7">+E39/$E$2*100</f>
        <v>29.129377485382335</v>
      </c>
      <c r="G39" s="17">
        <f t="shared" si="2"/>
        <v>-118449411.30000019</v>
      </c>
      <c r="H39" s="93">
        <f t="shared" si="3"/>
        <v>-5.1352167822339254</v>
      </c>
      <c r="I39" s="17">
        <f>+I40+I50+I56+I57+I58+I59+I60+I61</f>
        <v>1987698008.6900001</v>
      </c>
      <c r="J39" s="39">
        <f t="shared" si="4"/>
        <v>26.647556634862152</v>
      </c>
      <c r="K39" s="17">
        <f t="shared" ref="K39:K61" si="8">+C39-I39</f>
        <v>200462336.19000006</v>
      </c>
      <c r="L39" s="93">
        <f t="shared" ref="L39:L61" si="9">+C39/I39*100-100</f>
        <v>10.085150526568953</v>
      </c>
      <c r="M39" s="80" t="s">
        <v>109</v>
      </c>
    </row>
    <row r="40" spans="1:105" ht="15" customHeight="1">
      <c r="A40" s="18">
        <v>41</v>
      </c>
      <c r="B40" s="19" t="s">
        <v>68</v>
      </c>
      <c r="C40" s="20">
        <f>+SUM(C41:C49)</f>
        <v>837177140.26000011</v>
      </c>
      <c r="D40" s="40">
        <f t="shared" si="0"/>
        <v>10.572420790048621</v>
      </c>
      <c r="E40" s="20">
        <f>+SUM(E41:E49)</f>
        <v>911337279.41000009</v>
      </c>
      <c r="F40" s="40">
        <f t="shared" si="7"/>
        <v>11.508963558881103</v>
      </c>
      <c r="G40" s="20">
        <f t="shared" si="2"/>
        <v>-74160139.149999976</v>
      </c>
      <c r="H40" s="89">
        <f t="shared" si="3"/>
        <v>-8.1375074657333499</v>
      </c>
      <c r="I40" s="20">
        <f>+SUM(I41:I49)</f>
        <v>790317283.25999999</v>
      </c>
      <c r="J40" s="40">
        <f t="shared" si="4"/>
        <v>10.595183208469848</v>
      </c>
      <c r="K40" s="20">
        <f t="shared" si="8"/>
        <v>46859857.000000119</v>
      </c>
      <c r="L40" s="89">
        <f t="shared" si="9"/>
        <v>5.9292461385516759</v>
      </c>
      <c r="M40" s="71" t="s">
        <v>110</v>
      </c>
    </row>
    <row r="41" spans="1:105" ht="15" customHeight="1">
      <c r="A41" s="21">
        <v>411</v>
      </c>
      <c r="B41" s="22" t="s">
        <v>30</v>
      </c>
      <c r="C41" s="107">
        <v>511051194.8900001</v>
      </c>
      <c r="D41" s="41">
        <f t="shared" si="0"/>
        <v>6.4538889295952533</v>
      </c>
      <c r="E41" s="107">
        <v>524165770.28000009</v>
      </c>
      <c r="F41" s="41">
        <f t="shared" si="7"/>
        <v>6.6195083700195747</v>
      </c>
      <c r="G41" s="23">
        <f t="shared" si="2"/>
        <v>-13114575.389999986</v>
      </c>
      <c r="H41" s="94">
        <f t="shared" si="3"/>
        <v>-2.5019900446750682</v>
      </c>
      <c r="I41" s="23">
        <v>503977098.23000008</v>
      </c>
      <c r="J41" s="41">
        <f t="shared" si="4"/>
        <v>6.7564379543793711</v>
      </c>
      <c r="K41" s="23">
        <f t="shared" si="8"/>
        <v>7074096.6600000262</v>
      </c>
      <c r="L41" s="94">
        <f t="shared" si="9"/>
        <v>1.4036543892261619</v>
      </c>
      <c r="M41" s="72" t="s">
        <v>111</v>
      </c>
    </row>
    <row r="42" spans="1:105" ht="15" customHeight="1">
      <c r="A42" s="21">
        <v>412</v>
      </c>
      <c r="B42" s="22" t="s">
        <v>31</v>
      </c>
      <c r="C42" s="23">
        <v>16885183.690000001</v>
      </c>
      <c r="D42" s="41">
        <f t="shared" si="0"/>
        <v>0.2132371495864116</v>
      </c>
      <c r="E42" s="23">
        <v>18942817.620000001</v>
      </c>
      <c r="F42" s="41">
        <f t="shared" si="7"/>
        <v>0.23922229740481155</v>
      </c>
      <c r="G42" s="23">
        <f t="shared" si="2"/>
        <v>-2057633.9299999997</v>
      </c>
      <c r="H42" s="94">
        <f t="shared" si="3"/>
        <v>-10.862343560904748</v>
      </c>
      <c r="I42" s="23">
        <v>13530928.85</v>
      </c>
      <c r="J42" s="41">
        <f t="shared" si="4"/>
        <v>0.18139888014995684</v>
      </c>
      <c r="K42" s="23">
        <f t="shared" si="8"/>
        <v>3354254.8400000017</v>
      </c>
      <c r="L42" s="94">
        <f t="shared" si="9"/>
        <v>24.789538672358049</v>
      </c>
      <c r="M42" s="72" t="s">
        <v>112</v>
      </c>
    </row>
    <row r="43" spans="1:105" ht="15" customHeight="1">
      <c r="A43" s="21">
        <v>413</v>
      </c>
      <c r="B43" s="22" t="s">
        <v>72</v>
      </c>
      <c r="C43" s="23">
        <v>27829663.93</v>
      </c>
      <c r="D43" s="41">
        <f t="shared" si="0"/>
        <v>0.35145120830965459</v>
      </c>
      <c r="E43" s="23">
        <v>35755732.460000001</v>
      </c>
      <c r="F43" s="41">
        <f t="shared" si="7"/>
        <v>0.45154678865946835</v>
      </c>
      <c r="G43" s="23">
        <f t="shared" si="2"/>
        <v>-7926068.5300000012</v>
      </c>
      <c r="H43" s="94">
        <f t="shared" si="3"/>
        <v>-22.167266574295212</v>
      </c>
      <c r="I43" s="23">
        <v>24327951.830000002</v>
      </c>
      <c r="J43" s="41">
        <f t="shared" si="4"/>
        <v>0.32614636195534302</v>
      </c>
      <c r="K43" s="23">
        <f t="shared" si="8"/>
        <v>3501712.0999999978</v>
      </c>
      <c r="L43" s="94">
        <f t="shared" si="9"/>
        <v>14.39378096631161</v>
      </c>
      <c r="M43" s="72" t="s">
        <v>113</v>
      </c>
    </row>
    <row r="44" spans="1:105" ht="15" customHeight="1">
      <c r="A44" s="21">
        <v>414</v>
      </c>
      <c r="B44" s="22" t="s">
        <v>73</v>
      </c>
      <c r="C44" s="23">
        <v>54231254.899999999</v>
      </c>
      <c r="D44" s="41">
        <f t="shared" si="0"/>
        <v>0.6848677767253899</v>
      </c>
      <c r="E44" s="23">
        <v>65969549.130000018</v>
      </c>
      <c r="F44" s="41">
        <f t="shared" si="7"/>
        <v>0.83310663799962126</v>
      </c>
      <c r="G44" s="23">
        <f t="shared" si="2"/>
        <v>-11738294.230000019</v>
      </c>
      <c r="H44" s="94">
        <f t="shared" si="3"/>
        <v>-17.793503798045464</v>
      </c>
      <c r="I44" s="23">
        <v>41727580.609999999</v>
      </c>
      <c r="J44" s="41">
        <f t="shared" si="4"/>
        <v>0.55940996201610005</v>
      </c>
      <c r="K44" s="23">
        <f t="shared" si="8"/>
        <v>12503674.289999999</v>
      </c>
      <c r="L44" s="94">
        <f t="shared" si="9"/>
        <v>29.965011407834908</v>
      </c>
      <c r="M44" s="72" t="s">
        <v>114</v>
      </c>
    </row>
    <row r="45" spans="1:105" ht="15.75" customHeight="1">
      <c r="A45" s="21">
        <v>415</v>
      </c>
      <c r="B45" s="22" t="s">
        <v>32</v>
      </c>
      <c r="C45" s="23">
        <v>19536614.970000003</v>
      </c>
      <c r="D45" s="41">
        <f t="shared" si="0"/>
        <v>0.24672115893161589</v>
      </c>
      <c r="E45" s="23">
        <v>26722399.16</v>
      </c>
      <c r="F45" s="41">
        <f t="shared" si="7"/>
        <v>0.33746794418134751</v>
      </c>
      <c r="G45" s="23">
        <f t="shared" si="2"/>
        <v>-7185784.1899999976</v>
      </c>
      <c r="H45" s="94">
        <f t="shared" si="3"/>
        <v>-26.890490434542244</v>
      </c>
      <c r="I45" s="23">
        <v>20793752.030000001</v>
      </c>
      <c r="J45" s="41">
        <f t="shared" si="4"/>
        <v>0.27876603108129505</v>
      </c>
      <c r="K45" s="23">
        <f t="shared" si="8"/>
        <v>-1257137.0599999987</v>
      </c>
      <c r="L45" s="94">
        <f t="shared" si="9"/>
        <v>-6.045744212907195</v>
      </c>
      <c r="M45" s="72" t="s">
        <v>115</v>
      </c>
    </row>
    <row r="46" spans="1:105" ht="15" customHeight="1">
      <c r="A46" s="21">
        <v>416</v>
      </c>
      <c r="B46" s="22" t="s">
        <v>33</v>
      </c>
      <c r="C46" s="23">
        <v>111534554.37</v>
      </c>
      <c r="D46" s="41">
        <f t="shared" si="0"/>
        <v>1.4085313426785377</v>
      </c>
      <c r="E46" s="23">
        <v>114537075.15000001</v>
      </c>
      <c r="F46" s="41">
        <f t="shared" si="7"/>
        <v>1.4464491399886343</v>
      </c>
      <c r="G46" s="23">
        <f t="shared" si="2"/>
        <v>-3002520.7800000012</v>
      </c>
      <c r="H46" s="94">
        <f t="shared" si="3"/>
        <v>-2.6214400673911484</v>
      </c>
      <c r="I46" s="23">
        <v>94112535.140000015</v>
      </c>
      <c r="J46" s="41">
        <f t="shared" si="4"/>
        <v>1.261695237017632</v>
      </c>
      <c r="K46" s="23">
        <f t="shared" si="8"/>
        <v>17422019.229999989</v>
      </c>
      <c r="L46" s="94">
        <f t="shared" si="9"/>
        <v>18.511900889805304</v>
      </c>
      <c r="M46" s="72" t="s">
        <v>116</v>
      </c>
    </row>
    <row r="47" spans="1:105" ht="15" customHeight="1">
      <c r="A47" s="21">
        <v>417</v>
      </c>
      <c r="B47" s="22" t="s">
        <v>34</v>
      </c>
      <c r="C47" s="23">
        <v>8598846.4999999981</v>
      </c>
      <c r="D47" s="41">
        <f t="shared" si="0"/>
        <v>0.10859186083222831</v>
      </c>
      <c r="E47" s="23">
        <v>10067402.92</v>
      </c>
      <c r="F47" s="41">
        <f t="shared" si="7"/>
        <v>0.12713775235208688</v>
      </c>
      <c r="G47" s="23">
        <f t="shared" si="2"/>
        <v>-1468556.4200000018</v>
      </c>
      <c r="H47" s="94">
        <f t="shared" si="3"/>
        <v>-14.587241929917724</v>
      </c>
      <c r="I47" s="23">
        <v>7937381.7600000007</v>
      </c>
      <c r="J47" s="41">
        <f t="shared" si="4"/>
        <v>0.10641044517699121</v>
      </c>
      <c r="K47" s="23">
        <f t="shared" si="8"/>
        <v>661464.73999999743</v>
      </c>
      <c r="L47" s="94">
        <f t="shared" si="9"/>
        <v>8.3335381867785827</v>
      </c>
      <c r="M47" s="72" t="s">
        <v>117</v>
      </c>
    </row>
    <row r="48" spans="1:105" ht="15" customHeight="1">
      <c r="A48" s="21">
        <v>418</v>
      </c>
      <c r="B48" s="22" t="s">
        <v>35</v>
      </c>
      <c r="C48" s="23">
        <v>39829306.149999984</v>
      </c>
      <c r="D48" s="41">
        <f t="shared" si="0"/>
        <v>0.50299054303213964</v>
      </c>
      <c r="E48" s="23">
        <v>50521266.829999998</v>
      </c>
      <c r="F48" s="41">
        <f t="shared" si="7"/>
        <v>0.63801561949864238</v>
      </c>
      <c r="G48" s="23">
        <f t="shared" si="2"/>
        <v>-10691960.680000015</v>
      </c>
      <c r="H48" s="94">
        <f t="shared" si="3"/>
        <v>-21.163286969777701</v>
      </c>
      <c r="I48" s="23">
        <v>44889147.799999982</v>
      </c>
      <c r="J48" s="41">
        <f t="shared" si="4"/>
        <v>0.60179469067313107</v>
      </c>
      <c r="K48" s="23">
        <f t="shared" si="8"/>
        <v>-5059841.6499999985</v>
      </c>
      <c r="L48" s="94">
        <f t="shared" si="9"/>
        <v>-11.271859453745307</v>
      </c>
      <c r="M48" s="72" t="s">
        <v>118</v>
      </c>
    </row>
    <row r="49" spans="1:15" ht="15" customHeight="1">
      <c r="A49" s="21">
        <v>419</v>
      </c>
      <c r="B49" s="22" t="s">
        <v>36</v>
      </c>
      <c r="C49" s="23">
        <v>47680520.859999992</v>
      </c>
      <c r="D49" s="41">
        <f t="shared" si="0"/>
        <v>0.6021408203573908</v>
      </c>
      <c r="E49" s="23">
        <v>64655265.859999977</v>
      </c>
      <c r="F49" s="41">
        <f t="shared" si="7"/>
        <v>0.81650900877691457</v>
      </c>
      <c r="G49" s="23">
        <f t="shared" si="2"/>
        <v>-16974744.999999985</v>
      </c>
      <c r="H49" s="94">
        <f t="shared" si="3"/>
        <v>-26.254234321386775</v>
      </c>
      <c r="I49" s="23">
        <v>39020907.010000005</v>
      </c>
      <c r="J49" s="41">
        <f t="shared" si="4"/>
        <v>0.52312364602002925</v>
      </c>
      <c r="K49" s="23">
        <f t="shared" si="8"/>
        <v>8659613.8499999866</v>
      </c>
      <c r="L49" s="94">
        <f t="shared" si="9"/>
        <v>22.192241322788234</v>
      </c>
      <c r="M49" s="72" t="s">
        <v>119</v>
      </c>
    </row>
    <row r="50" spans="1:15" ht="15" customHeight="1">
      <c r="A50" s="18">
        <v>42</v>
      </c>
      <c r="B50" s="19" t="s">
        <v>37</v>
      </c>
      <c r="C50" s="20">
        <f>+SUM(C51:C55)</f>
        <v>823842849.84000003</v>
      </c>
      <c r="D50" s="40">
        <f t="shared" si="0"/>
        <v>10.404026644440236</v>
      </c>
      <c r="E50" s="20">
        <f>+SUM(E51:E55)</f>
        <v>817965526.52999997</v>
      </c>
      <c r="F50" s="40">
        <f t="shared" si="7"/>
        <v>10.329803959462019</v>
      </c>
      <c r="G50" s="20">
        <f t="shared" si="2"/>
        <v>5877323.310000062</v>
      </c>
      <c r="H50" s="89">
        <f t="shared" si="3"/>
        <v>0.71852946357446967</v>
      </c>
      <c r="I50" s="20">
        <f>+SUM(I51:I55)</f>
        <v>739981773.3499999</v>
      </c>
      <c r="J50" s="40">
        <f t="shared" si="4"/>
        <v>9.9203732799961593</v>
      </c>
      <c r="K50" s="20">
        <f t="shared" si="8"/>
        <v>83861076.490000129</v>
      </c>
      <c r="L50" s="89">
        <f t="shared" si="9"/>
        <v>11.332857039214559</v>
      </c>
      <c r="M50" s="71" t="s">
        <v>120</v>
      </c>
    </row>
    <row r="51" spans="1:15" ht="15" customHeight="1">
      <c r="A51" s="21">
        <v>421</v>
      </c>
      <c r="B51" s="22" t="s">
        <v>38</v>
      </c>
      <c r="C51" s="107">
        <v>183933803.40000004</v>
      </c>
      <c r="D51" s="41">
        <f t="shared" si="0"/>
        <v>2.3228364387194547</v>
      </c>
      <c r="E51" s="107">
        <v>180678419.45000002</v>
      </c>
      <c r="F51" s="41">
        <f t="shared" si="7"/>
        <v>2.2817253198206733</v>
      </c>
      <c r="G51" s="23">
        <f t="shared" si="2"/>
        <v>3255383.9500000179</v>
      </c>
      <c r="H51" s="94">
        <f t="shared" si="3"/>
        <v>1.8017558266834897</v>
      </c>
      <c r="I51" s="23">
        <v>156007087.56999999</v>
      </c>
      <c r="J51" s="41">
        <f t="shared" si="4"/>
        <v>2.0914684641663941</v>
      </c>
      <c r="K51" s="23">
        <f t="shared" si="8"/>
        <v>27926715.830000043</v>
      </c>
      <c r="L51" s="94">
        <f t="shared" si="9"/>
        <v>17.900927621297583</v>
      </c>
      <c r="M51" s="72" t="s">
        <v>121</v>
      </c>
    </row>
    <row r="52" spans="1:15" ht="15" customHeight="1">
      <c r="A52" s="21">
        <v>422</v>
      </c>
      <c r="B52" s="22" t="s">
        <v>39</v>
      </c>
      <c r="C52" s="23">
        <v>16904948.900000002</v>
      </c>
      <c r="D52" s="41">
        <f t="shared" si="0"/>
        <v>0.21348675759297853</v>
      </c>
      <c r="E52" s="23">
        <v>19627912.980000004</v>
      </c>
      <c r="F52" s="41">
        <f t="shared" si="7"/>
        <v>0.24787412994885399</v>
      </c>
      <c r="G52" s="23">
        <f t="shared" si="2"/>
        <v>-2722964.0800000019</v>
      </c>
      <c r="H52" s="94">
        <f t="shared" si="3"/>
        <v>-13.872917017589103</v>
      </c>
      <c r="I52" s="23">
        <v>15247403.85</v>
      </c>
      <c r="J52" s="41">
        <f t="shared" si="4"/>
        <v>0.2044103560254949</v>
      </c>
      <c r="K52" s="23">
        <f t="shared" si="8"/>
        <v>1657545.0500000026</v>
      </c>
      <c r="L52" s="94">
        <f t="shared" si="9"/>
        <v>10.870998540515501</v>
      </c>
      <c r="M52" s="72" t="s">
        <v>122</v>
      </c>
    </row>
    <row r="53" spans="1:15">
      <c r="A53" s="21">
        <v>423</v>
      </c>
      <c r="B53" s="22" t="s">
        <v>40</v>
      </c>
      <c r="C53" s="107">
        <v>593004810.87</v>
      </c>
      <c r="D53" s="41">
        <f t="shared" si="0"/>
        <v>7.488852824019701</v>
      </c>
      <c r="E53" s="107">
        <v>586383313.36000001</v>
      </c>
      <c r="F53" s="41">
        <f t="shared" si="7"/>
        <v>7.4052322202437333</v>
      </c>
      <c r="G53" s="23">
        <f t="shared" si="2"/>
        <v>6621497.5099999905</v>
      </c>
      <c r="H53" s="94">
        <f t="shared" si="3"/>
        <v>1.1292097437184196</v>
      </c>
      <c r="I53" s="23">
        <v>541208348.95999992</v>
      </c>
      <c r="J53" s="41">
        <f t="shared" si="4"/>
        <v>7.2555690387176224</v>
      </c>
      <c r="K53" s="23">
        <f t="shared" si="8"/>
        <v>51796461.910000086</v>
      </c>
      <c r="L53" s="94">
        <f t="shared" si="9"/>
        <v>9.5705215947857312</v>
      </c>
      <c r="M53" s="72" t="s">
        <v>123</v>
      </c>
    </row>
    <row r="54" spans="1:15" ht="15" customHeight="1">
      <c r="A54" s="21">
        <v>424</v>
      </c>
      <c r="B54" s="22" t="s">
        <v>41</v>
      </c>
      <c r="C54" s="23">
        <v>18090266.760000002</v>
      </c>
      <c r="D54" s="41">
        <f t="shared" si="0"/>
        <v>0.22845572722106464</v>
      </c>
      <c r="E54" s="23">
        <v>18865141.779999997</v>
      </c>
      <c r="F54" s="41">
        <f t="shared" si="7"/>
        <v>0.23824135606491126</v>
      </c>
      <c r="G54" s="23">
        <f t="shared" si="2"/>
        <v>-774875.01999999583</v>
      </c>
      <c r="H54" s="94">
        <f t="shared" si="3"/>
        <v>-4.1074433950000042</v>
      </c>
      <c r="I54" s="23">
        <v>15962327.399999997</v>
      </c>
      <c r="J54" s="41">
        <f t="shared" si="4"/>
        <v>0.21399479274824296</v>
      </c>
      <c r="K54" s="23">
        <f t="shared" si="8"/>
        <v>2127939.360000005</v>
      </c>
      <c r="L54" s="94">
        <f t="shared" si="9"/>
        <v>13.331009361454434</v>
      </c>
      <c r="M54" s="72" t="s">
        <v>124</v>
      </c>
    </row>
    <row r="55" spans="1:15" ht="15" customHeight="1">
      <c r="A55" s="21">
        <v>425</v>
      </c>
      <c r="B55" s="22" t="s">
        <v>42</v>
      </c>
      <c r="C55" s="23">
        <v>11909019.91</v>
      </c>
      <c r="D55" s="41">
        <f t="shared" si="0"/>
        <v>0.15039489688703669</v>
      </c>
      <c r="E55" s="23">
        <v>12410738.960000001</v>
      </c>
      <c r="F55" s="41">
        <f t="shared" si="7"/>
        <v>0.15673093338384797</v>
      </c>
      <c r="G55" s="23">
        <f t="shared" si="2"/>
        <v>-501719.05000000075</v>
      </c>
      <c r="H55" s="94">
        <f t="shared" si="3"/>
        <v>-4.0426202792359902</v>
      </c>
      <c r="I55" s="23">
        <v>11556605.569999997</v>
      </c>
      <c r="J55" s="41">
        <f t="shared" si="4"/>
        <v>0.1549306283384051</v>
      </c>
      <c r="K55" s="23">
        <f t="shared" si="8"/>
        <v>352414.34000000358</v>
      </c>
      <c r="L55" s="94">
        <f t="shared" si="9"/>
        <v>3.0494623863848176</v>
      </c>
      <c r="M55" s="72" t="s">
        <v>125</v>
      </c>
      <c r="O55" s="78"/>
    </row>
    <row r="56" spans="1:15" ht="15" customHeight="1">
      <c r="A56" s="18">
        <v>43</v>
      </c>
      <c r="B56" s="77" t="s">
        <v>43</v>
      </c>
      <c r="C56" s="20">
        <v>309321316.84000003</v>
      </c>
      <c r="D56" s="40">
        <f t="shared" si="0"/>
        <v>3.9063120141440937</v>
      </c>
      <c r="E56" s="20">
        <v>350507945.45000005</v>
      </c>
      <c r="F56" s="40">
        <f t="shared" si="7"/>
        <v>4.4264437134558321</v>
      </c>
      <c r="G56" s="20">
        <f t="shared" si="2"/>
        <v>-41186628.610000014</v>
      </c>
      <c r="H56" s="89">
        <f t="shared" si="3"/>
        <v>-11.750554914560496</v>
      </c>
      <c r="I56" s="20">
        <v>277626399.62</v>
      </c>
      <c r="J56" s="40">
        <f t="shared" si="4"/>
        <v>3.721926155212353</v>
      </c>
      <c r="K56" s="20">
        <f t="shared" si="8"/>
        <v>31694917.220000029</v>
      </c>
      <c r="L56" s="89">
        <f t="shared" si="9"/>
        <v>11.416391691633905</v>
      </c>
      <c r="M56" s="71" t="s">
        <v>126</v>
      </c>
    </row>
    <row r="57" spans="1:15" ht="15" customHeight="1">
      <c r="A57" s="18">
        <v>44</v>
      </c>
      <c r="B57" s="19" t="s">
        <v>64</v>
      </c>
      <c r="C57" s="20">
        <v>188164167.94000003</v>
      </c>
      <c r="D57" s="40">
        <f t="shared" si="0"/>
        <v>2.3762602505525039</v>
      </c>
      <c r="E57" s="20">
        <v>197483813.96999997</v>
      </c>
      <c r="F57" s="40">
        <f t="shared" si="7"/>
        <v>2.4939548395529454</v>
      </c>
      <c r="G57" s="20">
        <f t="shared" si="2"/>
        <v>-9319646.0299999416</v>
      </c>
      <c r="H57" s="89">
        <f t="shared" si="3"/>
        <v>-4.7191948761004312</v>
      </c>
      <c r="I57" s="20">
        <v>137141796.69999999</v>
      </c>
      <c r="J57" s="40">
        <f t="shared" si="4"/>
        <v>1.8385558463071101</v>
      </c>
      <c r="K57" s="20">
        <f t="shared" si="8"/>
        <v>51022371.240000039</v>
      </c>
      <c r="L57" s="89">
        <f t="shared" si="9"/>
        <v>37.204100039328182</v>
      </c>
      <c r="M57" s="71" t="s">
        <v>127</v>
      </c>
    </row>
    <row r="58" spans="1:15" ht="15" customHeight="1">
      <c r="A58" s="18">
        <v>45</v>
      </c>
      <c r="B58" s="19" t="s">
        <v>44</v>
      </c>
      <c r="C58" s="20">
        <v>0</v>
      </c>
      <c r="D58" s="40">
        <f t="shared" si="0"/>
        <v>0</v>
      </c>
      <c r="E58" s="20">
        <v>0</v>
      </c>
      <c r="F58" s="40">
        <f t="shared" si="7"/>
        <v>0</v>
      </c>
      <c r="G58" s="20">
        <f t="shared" si="2"/>
        <v>0</v>
      </c>
      <c r="H58" s="89">
        <f>+IFERROR(C58/E58*100-100,0)</f>
        <v>0</v>
      </c>
      <c r="I58" s="20">
        <v>0</v>
      </c>
      <c r="J58" s="40">
        <f t="shared" si="4"/>
        <v>0</v>
      </c>
      <c r="K58" s="20">
        <f t="shared" si="8"/>
        <v>0</v>
      </c>
      <c r="L58" s="89">
        <f>+IFERROR(C58/I58*100-100,0)</f>
        <v>0</v>
      </c>
      <c r="M58" s="71" t="s">
        <v>128</v>
      </c>
      <c r="N58" s="87"/>
    </row>
    <row r="59" spans="1:15" ht="15" customHeight="1">
      <c r="A59" s="18">
        <v>462</v>
      </c>
      <c r="B59" s="19" t="s">
        <v>45</v>
      </c>
      <c r="C59" s="20">
        <v>4062322.96</v>
      </c>
      <c r="D59" s="40">
        <f t="shared" si="0"/>
        <v>5.1301672791564057E-2</v>
      </c>
      <c r="E59" s="20">
        <v>4100002.7999999993</v>
      </c>
      <c r="F59" s="40">
        <f t="shared" si="7"/>
        <v>5.1777518469407077E-2</v>
      </c>
      <c r="G59" s="20">
        <f t="shared" si="2"/>
        <v>-37679.839999999385</v>
      </c>
      <c r="H59" s="104">
        <f t="shared" si="3"/>
        <v>-0.91901986018154957</v>
      </c>
      <c r="I59" s="20">
        <v>5849367.6699999999</v>
      </c>
      <c r="J59" s="40">
        <f t="shared" si="4"/>
        <v>7.8418027076046767E-2</v>
      </c>
      <c r="K59" s="20">
        <f t="shared" si="8"/>
        <v>-1787044.71</v>
      </c>
      <c r="L59" s="89">
        <f t="shared" si="9"/>
        <v>-30.551075104499276</v>
      </c>
      <c r="M59" s="71" t="s">
        <v>129</v>
      </c>
    </row>
    <row r="60" spans="1:15" ht="15" customHeight="1">
      <c r="A60" s="18">
        <v>463</v>
      </c>
      <c r="B60" s="19" t="s">
        <v>46</v>
      </c>
      <c r="C60" s="20">
        <v>20921467.129999999</v>
      </c>
      <c r="D60" s="40">
        <f t="shared" si="0"/>
        <v>0.2642099782787144</v>
      </c>
      <c r="E60" s="20">
        <v>18911766.539999999</v>
      </c>
      <c r="F60" s="40">
        <f t="shared" si="7"/>
        <v>0.23883016404622087</v>
      </c>
      <c r="G60" s="20">
        <f t="shared" si="2"/>
        <v>2009700.5899999999</v>
      </c>
      <c r="H60" s="89">
        <f t="shared" si="3"/>
        <v>10.626720596139521</v>
      </c>
      <c r="I60" s="20">
        <v>16313395.099999998</v>
      </c>
      <c r="J60" s="40">
        <f t="shared" si="4"/>
        <v>0.21870129060532253</v>
      </c>
      <c r="K60" s="20">
        <f t="shared" si="8"/>
        <v>4608072.0300000012</v>
      </c>
      <c r="L60" s="89">
        <f t="shared" si="9"/>
        <v>28.24716744584947</v>
      </c>
      <c r="M60" s="71" t="s">
        <v>130</v>
      </c>
    </row>
    <row r="61" spans="1:15" ht="15" customHeight="1">
      <c r="A61" s="18">
        <v>47</v>
      </c>
      <c r="B61" s="19" t="s">
        <v>47</v>
      </c>
      <c r="C61" s="20">
        <v>4671079.91</v>
      </c>
      <c r="D61" s="40">
        <f t="shared" si="0"/>
        <v>5.8989453936983016E-2</v>
      </c>
      <c r="E61" s="20">
        <v>6303421.4800000004</v>
      </c>
      <c r="F61" s="40">
        <f t="shared" si="7"/>
        <v>7.9603731514807097E-2</v>
      </c>
      <c r="G61" s="20">
        <f t="shared" si="2"/>
        <v>-1632341.5700000003</v>
      </c>
      <c r="H61" s="89">
        <f t="shared" si="3"/>
        <v>-25.896119673723618</v>
      </c>
      <c r="I61" s="20">
        <v>20467992.989999998</v>
      </c>
      <c r="J61" s="40">
        <f t="shared" si="4"/>
        <v>0.27439882719530867</v>
      </c>
      <c r="K61" s="20">
        <f t="shared" si="8"/>
        <v>-15796913.079999998</v>
      </c>
      <c r="L61" s="89">
        <f t="shared" si="9"/>
        <v>-77.178612909032466</v>
      </c>
      <c r="M61" s="71" t="s">
        <v>131</v>
      </c>
    </row>
    <row r="62" spans="1:15" s="2" customFormat="1" ht="15" customHeight="1">
      <c r="A62" s="15"/>
      <c r="B62" s="16" t="s">
        <v>76</v>
      </c>
      <c r="C62" s="17">
        <f>+C6-C39</f>
        <v>-88310103.909999847</v>
      </c>
      <c r="D62" s="39">
        <f t="shared" si="0"/>
        <v>-1.1152377837974343</v>
      </c>
      <c r="E62" s="17">
        <f>+E6-E39</f>
        <v>-186481418.19250345</v>
      </c>
      <c r="F62" s="39">
        <f t="shared" si="7"/>
        <v>-2.3550093855212912</v>
      </c>
      <c r="G62" s="17">
        <f t="shared" si="2"/>
        <v>98171314.282503605</v>
      </c>
      <c r="H62" s="93">
        <f t="shared" si="3"/>
        <v>-52.644019567226827</v>
      </c>
      <c r="I62" s="17">
        <f>+I6-I39</f>
        <v>88120939.449999571</v>
      </c>
      <c r="J62" s="39">
        <f t="shared" si="4"/>
        <v>1.1813704669648066</v>
      </c>
      <c r="K62" s="17">
        <f t="shared" ref="K62" si="10">+C62-I62</f>
        <v>-176431043.35999942</v>
      </c>
      <c r="L62" s="93">
        <f t="shared" ref="L62" si="11">+C62/I62*100-100</f>
        <v>-200.21466459751898</v>
      </c>
      <c r="M62" s="80" t="s">
        <v>133</v>
      </c>
    </row>
    <row r="63" spans="1:15" ht="15" customHeight="1">
      <c r="A63" s="90"/>
      <c r="B63" s="91" t="s">
        <v>178</v>
      </c>
      <c r="C63" s="20">
        <v>0</v>
      </c>
      <c r="D63" s="40">
        <f t="shared" si="0"/>
        <v>0</v>
      </c>
      <c r="E63" s="20">
        <v>0</v>
      </c>
      <c r="F63" s="40">
        <f t="shared" si="7"/>
        <v>0</v>
      </c>
      <c r="G63" s="20">
        <f t="shared" ref="G63:G64" si="12">+C63-E63</f>
        <v>0</v>
      </c>
      <c r="H63" s="89">
        <f>+IFERROR(C63/E63*100-100,0)</f>
        <v>0</v>
      </c>
      <c r="I63" s="20">
        <v>0</v>
      </c>
      <c r="J63" s="40">
        <f t="shared" si="4"/>
        <v>0</v>
      </c>
      <c r="K63" s="20">
        <f t="shared" ref="K63:K64" si="13">+C63-I63</f>
        <v>0</v>
      </c>
      <c r="L63" s="89">
        <f>+IFERROR(C63/I63*100-100,0)</f>
        <v>0</v>
      </c>
      <c r="M63" s="71" t="s">
        <v>132</v>
      </c>
    </row>
    <row r="64" spans="1:15" s="2" customFormat="1" ht="15" customHeight="1">
      <c r="A64" s="15"/>
      <c r="B64" s="16" t="s">
        <v>58</v>
      </c>
      <c r="C64" s="17">
        <f>+C62-C63</f>
        <v>-88310103.909999847</v>
      </c>
      <c r="D64" s="39">
        <f t="shared" si="0"/>
        <v>-1.1152377837974343</v>
      </c>
      <c r="E64" s="17">
        <f>+E62-E63</f>
        <v>-186481418.19250345</v>
      </c>
      <c r="F64" s="39">
        <f t="shared" si="7"/>
        <v>-2.3550093855212912</v>
      </c>
      <c r="G64" s="17">
        <f t="shared" si="12"/>
        <v>98171314.282503605</v>
      </c>
      <c r="H64" s="93">
        <f t="shared" ref="H64" si="14">+C64/E64*100-100</f>
        <v>-52.644019567226827</v>
      </c>
      <c r="I64" s="17">
        <f>+I62-I63</f>
        <v>88120939.449999571</v>
      </c>
      <c r="J64" s="39">
        <f t="shared" si="4"/>
        <v>1.1813704669648066</v>
      </c>
      <c r="K64" s="17">
        <f t="shared" si="13"/>
        <v>-176431043.35999942</v>
      </c>
      <c r="L64" s="93">
        <f t="shared" ref="L64" si="15">+C64/I64*100-100</f>
        <v>-200.21466459751898</v>
      </c>
      <c r="M64" s="80" t="s">
        <v>136</v>
      </c>
    </row>
    <row r="65" spans="1:13" s="2" customFormat="1" ht="15" customHeight="1">
      <c r="A65" s="15"/>
      <c r="B65" s="16" t="s">
        <v>182</v>
      </c>
      <c r="C65" s="17">
        <f>+C64+C46</f>
        <v>23224450.460000157</v>
      </c>
      <c r="D65" s="39">
        <f t="shared" si="0"/>
        <v>0.2932935588811032</v>
      </c>
      <c r="E65" s="17">
        <f>+E64+E46</f>
        <v>-71944343.042503446</v>
      </c>
      <c r="F65" s="39">
        <f t="shared" si="7"/>
        <v>-0.90856024553265702</v>
      </c>
      <c r="G65" s="17">
        <f t="shared" ref="G65" si="16">+C65-E65</f>
        <v>95168793.502503604</v>
      </c>
      <c r="H65" s="93">
        <f t="shared" ref="H65" si="17">+C65/E65*100-100</f>
        <v>-132.28113494104682</v>
      </c>
      <c r="I65" s="17">
        <f>+I64+I46</f>
        <v>182233474.58999959</v>
      </c>
      <c r="J65" s="39">
        <f t="shared" si="4"/>
        <v>2.4430657039824388</v>
      </c>
      <c r="K65" s="17">
        <f t="shared" ref="K65" si="18">+C65-I65</f>
        <v>-159009024.12999943</v>
      </c>
      <c r="L65" s="93">
        <f t="shared" ref="L65" si="19">+C65/I65*100-100</f>
        <v>-87.255661720629547</v>
      </c>
      <c r="M65" s="80" t="s">
        <v>135</v>
      </c>
    </row>
    <row r="66" spans="1:13" s="2" customFormat="1" ht="15" customHeight="1">
      <c r="A66" s="15"/>
      <c r="B66" s="16" t="s">
        <v>75</v>
      </c>
      <c r="C66" s="17">
        <f>+C6-(C39-C57)</f>
        <v>99854064.03000021</v>
      </c>
      <c r="D66" s="39">
        <f t="shared" si="0"/>
        <v>1.2610224667550698</v>
      </c>
      <c r="E66" s="17">
        <f>+E6-(E39-E57)</f>
        <v>11002395.777496576</v>
      </c>
      <c r="F66" s="39">
        <f>+E66/$E$2*100</f>
        <v>0.1389454540316547</v>
      </c>
      <c r="G66" s="17">
        <f>+C66-E66</f>
        <v>88851668.252503633</v>
      </c>
      <c r="H66" s="93">
        <f t="shared" ref="H66" si="20">+C66/E66*100-100</f>
        <v>807.56655231612149</v>
      </c>
      <c r="I66" s="17">
        <f>+I6-(I39-I57)</f>
        <v>225262736.14999962</v>
      </c>
      <c r="J66" s="39">
        <f t="shared" si="4"/>
        <v>3.0199263132719176</v>
      </c>
      <c r="K66" s="17">
        <f>+C66-I66</f>
        <v>-125408672.11999941</v>
      </c>
      <c r="L66" s="93">
        <f t="shared" ref="L66" si="21">+C66/I66*100-100</f>
        <v>-55.672178303157679</v>
      </c>
      <c r="M66" s="80" t="s">
        <v>134</v>
      </c>
    </row>
    <row r="67" spans="1:13" s="2" customFormat="1" ht="15" customHeight="1">
      <c r="A67" s="15"/>
      <c r="B67" s="16" t="s">
        <v>0</v>
      </c>
      <c r="C67" s="17">
        <f>+C68+C69</f>
        <v>741779493.31999993</v>
      </c>
      <c r="D67" s="39">
        <f t="shared" si="0"/>
        <v>9.3676768746606029</v>
      </c>
      <c r="E67" s="17">
        <f>+E68+E69</f>
        <v>770154213.95999992</v>
      </c>
      <c r="F67" s="39">
        <f t="shared" si="7"/>
        <v>9.7260114157984461</v>
      </c>
      <c r="G67" s="17">
        <f t="shared" ref="G67" si="22">+C67-E67</f>
        <v>-28374720.639999986</v>
      </c>
      <c r="H67" s="93">
        <f t="shared" ref="H67" si="23">+C67/E67*100-100</f>
        <v>-3.6842907726365723</v>
      </c>
      <c r="I67" s="17">
        <f>+I68+I69</f>
        <v>395044529.38</v>
      </c>
      <c r="J67" s="39">
        <f t="shared" si="4"/>
        <v>5.2960617880197276</v>
      </c>
      <c r="K67" s="17">
        <f t="shared" ref="K67" si="24">+C67-I67</f>
        <v>346734963.93999994</v>
      </c>
      <c r="L67" s="93">
        <f t="shared" ref="L67" si="25">+C67/I67*100-100</f>
        <v>87.771108863140284</v>
      </c>
      <c r="M67" s="80" t="s">
        <v>137</v>
      </c>
    </row>
    <row r="68" spans="1:13">
      <c r="A68" s="21">
        <v>4611</v>
      </c>
      <c r="B68" s="22" t="s">
        <v>175</v>
      </c>
      <c r="C68" s="23">
        <v>36423514.030000001</v>
      </c>
      <c r="D68" s="41">
        <f t="shared" si="0"/>
        <v>0.45997997133295448</v>
      </c>
      <c r="E68" s="23">
        <v>36441507.390000001</v>
      </c>
      <c r="F68" s="41">
        <f t="shared" si="7"/>
        <v>0.46020720325819281</v>
      </c>
      <c r="G68" s="23">
        <f t="shared" ref="G68:G77" si="26">+C68-E68</f>
        <v>-17993.359999999404</v>
      </c>
      <c r="H68" s="94">
        <f t="shared" ref="H68:H78" si="27">+C68/E68*100-100</f>
        <v>-4.9376003597856766E-2</v>
      </c>
      <c r="I68" s="23">
        <v>180902439.55000001</v>
      </c>
      <c r="J68" s="41">
        <f t="shared" si="4"/>
        <v>2.4252215287323207</v>
      </c>
      <c r="K68" s="23">
        <f t="shared" ref="K68:K71" si="28">+C68-I68</f>
        <v>-144478925.52000001</v>
      </c>
      <c r="L68" s="94">
        <f t="shared" ref="L68:L71" si="29">+C68/I68*100-100</f>
        <v>-79.865659014546992</v>
      </c>
      <c r="M68" s="72" t="s">
        <v>138</v>
      </c>
    </row>
    <row r="69" spans="1:13" ht="15" customHeight="1">
      <c r="A69" s="21">
        <v>4612</v>
      </c>
      <c r="B69" s="22" t="s">
        <v>176</v>
      </c>
      <c r="C69" s="23">
        <v>705355979.28999996</v>
      </c>
      <c r="D69" s="41">
        <f t="shared" si="0"/>
        <v>8.9076969033276505</v>
      </c>
      <c r="E69" s="23">
        <v>733712706.56999993</v>
      </c>
      <c r="F69" s="41">
        <f t="shared" si="7"/>
        <v>9.2658042125402531</v>
      </c>
      <c r="G69" s="23">
        <f t="shared" si="26"/>
        <v>-28356727.279999971</v>
      </c>
      <c r="H69" s="94">
        <f t="shared" si="27"/>
        <v>-3.8648270673358809</v>
      </c>
      <c r="I69" s="23">
        <v>214142089.82999998</v>
      </c>
      <c r="J69" s="41">
        <f t="shared" si="4"/>
        <v>2.8708402592874069</v>
      </c>
      <c r="K69" s="23">
        <f t="shared" si="28"/>
        <v>491213889.45999998</v>
      </c>
      <c r="L69" s="94">
        <f t="shared" si="29"/>
        <v>229.38689439799418</v>
      </c>
      <c r="M69" s="72" t="s">
        <v>139</v>
      </c>
    </row>
    <row r="70" spans="1:13" s="2" customFormat="1" ht="15" customHeight="1">
      <c r="A70" s="81">
        <v>4418</v>
      </c>
      <c r="B70" s="16" t="s">
        <v>62</v>
      </c>
      <c r="C70" s="17">
        <v>1485557.54</v>
      </c>
      <c r="D70" s="39">
        <f t="shared" si="0"/>
        <v>1.8760592789038331E-2</v>
      </c>
      <c r="E70" s="17">
        <v>23919773.700000003</v>
      </c>
      <c r="F70" s="39">
        <f t="shared" si="7"/>
        <v>0.30207455578708092</v>
      </c>
      <c r="G70" s="17">
        <f t="shared" si="26"/>
        <v>-22434216.160000004</v>
      </c>
      <c r="H70" s="93">
        <f t="shared" si="27"/>
        <v>-93.789416410741381</v>
      </c>
      <c r="I70" s="17">
        <v>3266458.45</v>
      </c>
      <c r="J70" s="39">
        <f t="shared" si="4"/>
        <v>4.3790926066865236E-2</v>
      </c>
      <c r="K70" s="17">
        <f t="shared" si="28"/>
        <v>-1780900.9100000001</v>
      </c>
      <c r="L70" s="93">
        <f t="shared" si="29"/>
        <v>-54.520849943767082</v>
      </c>
      <c r="M70" s="80" t="s">
        <v>140</v>
      </c>
    </row>
    <row r="71" spans="1:13" s="2" customFormat="1" ht="15" customHeight="1">
      <c r="A71" s="81">
        <v>45</v>
      </c>
      <c r="B71" s="16" t="s">
        <v>44</v>
      </c>
      <c r="C71" s="17">
        <v>6675916.6200000001</v>
      </c>
      <c r="D71" s="39">
        <f t="shared" si="0"/>
        <v>8.4307843909831412E-2</v>
      </c>
      <c r="E71" s="17">
        <v>5628003.1999999993</v>
      </c>
      <c r="F71" s="39">
        <f t="shared" si="7"/>
        <v>7.1074107469849074E-2</v>
      </c>
      <c r="G71" s="17">
        <f t="shared" si="26"/>
        <v>1047913.4200000009</v>
      </c>
      <c r="H71" s="93">
        <f t="shared" si="27"/>
        <v>18.619630848823988</v>
      </c>
      <c r="I71" s="17">
        <v>6768057.4400000004</v>
      </c>
      <c r="J71" s="39">
        <f t="shared" si="4"/>
        <v>9.073420265650009E-2</v>
      </c>
      <c r="K71" s="17">
        <f t="shared" si="28"/>
        <v>-92140.820000000298</v>
      </c>
      <c r="L71" s="93">
        <f t="shared" si="29"/>
        <v>-1.3614071809650738</v>
      </c>
      <c r="M71" s="80" t="s">
        <v>107</v>
      </c>
    </row>
    <row r="72" spans="1:13" s="2" customFormat="1" ht="15" customHeight="1">
      <c r="A72" s="15"/>
      <c r="B72" s="16" t="s">
        <v>53</v>
      </c>
      <c r="C72" s="17">
        <f>+C64-C67-C70-C71</f>
        <v>-838251071.38999975</v>
      </c>
      <c r="D72" s="39">
        <f t="shared" si="0"/>
        <v>-10.585983095156907</v>
      </c>
      <c r="E72" s="17">
        <f>+E64-E67-E70-E71</f>
        <v>-986183409.05250347</v>
      </c>
      <c r="F72" s="39">
        <f t="shared" si="7"/>
        <v>-12.454169464576669</v>
      </c>
      <c r="G72" s="17">
        <f t="shared" si="26"/>
        <v>147932337.66250372</v>
      </c>
      <c r="H72" s="93">
        <f t="shared" si="27"/>
        <v>-15.000489392194581</v>
      </c>
      <c r="I72" s="17">
        <f>+I64-I67-I70-I71</f>
        <v>-316958105.82000041</v>
      </c>
      <c r="J72" s="39">
        <f t="shared" si="4"/>
        <v>-4.2492164497782863</v>
      </c>
      <c r="K72" s="17">
        <f t="shared" ref="K72:K78" si="30">+C72-I72</f>
        <v>-521292965.56999934</v>
      </c>
      <c r="L72" s="93">
        <f t="shared" ref="L72:L78" si="31">+C72/I72*100-100</f>
        <v>164.46746620389007</v>
      </c>
      <c r="M72" s="80" t="s">
        <v>141</v>
      </c>
    </row>
    <row r="73" spans="1:13" s="2" customFormat="1" ht="15" customHeight="1">
      <c r="A73" s="15"/>
      <c r="B73" s="16" t="s">
        <v>48</v>
      </c>
      <c r="C73" s="17">
        <f>SUM(C74:C78)+C63</f>
        <v>838251071.38999975</v>
      </c>
      <c r="D73" s="39">
        <f t="shared" ref="D73:D78" si="32">+C73/$C$2*100</f>
        <v>10.585983095156907</v>
      </c>
      <c r="E73" s="17">
        <f>SUM(E74:E78)+E63</f>
        <v>986183409.05250347</v>
      </c>
      <c r="F73" s="39">
        <f t="shared" si="7"/>
        <v>12.454169464576669</v>
      </c>
      <c r="G73" s="17">
        <f t="shared" si="26"/>
        <v>-147932337.66250372</v>
      </c>
      <c r="H73" s="93">
        <f t="shared" si="27"/>
        <v>-15.000489392194581</v>
      </c>
      <c r="I73" s="17">
        <f>SUM(I74:I78)+I63</f>
        <v>316958105.82000041</v>
      </c>
      <c r="J73" s="39">
        <f t="shared" ref="J73:J78" si="33">+I73/$I$2*100</f>
        <v>4.2492164497782863</v>
      </c>
      <c r="K73" s="17">
        <f t="shared" si="30"/>
        <v>521292965.56999934</v>
      </c>
      <c r="L73" s="93">
        <f t="shared" si="31"/>
        <v>164.46746620389007</v>
      </c>
      <c r="M73" s="80" t="s">
        <v>142</v>
      </c>
    </row>
    <row r="74" spans="1:13">
      <c r="A74" s="21">
        <v>7511</v>
      </c>
      <c r="B74" s="22" t="s">
        <v>54</v>
      </c>
      <c r="C74" s="23">
        <v>6127675</v>
      </c>
      <c r="D74" s="41">
        <f t="shared" si="32"/>
        <v>7.7384289953905408E-2</v>
      </c>
      <c r="E74" s="23">
        <v>115000000</v>
      </c>
      <c r="F74" s="41">
        <f t="shared" si="7"/>
        <v>1.4522952579402666</v>
      </c>
      <c r="G74" s="23">
        <f t="shared" si="26"/>
        <v>-108872325</v>
      </c>
      <c r="H74" s="94">
        <f>IFERROR(+C74/E74*100-100,0)</f>
        <v>-94.671586956521736</v>
      </c>
      <c r="I74" s="23">
        <v>0</v>
      </c>
      <c r="J74" s="41">
        <f t="shared" si="33"/>
        <v>0</v>
      </c>
      <c r="K74" s="23">
        <f t="shared" si="30"/>
        <v>6127675</v>
      </c>
      <c r="L74" s="94">
        <f>+IFERROR(C74/I74*100-100,0)</f>
        <v>0</v>
      </c>
      <c r="M74" s="72" t="s">
        <v>143</v>
      </c>
    </row>
    <row r="75" spans="1:13" ht="15" customHeight="1">
      <c r="A75" s="21">
        <v>7512</v>
      </c>
      <c r="B75" s="22" t="s">
        <v>49</v>
      </c>
      <c r="C75" s="23">
        <v>939936713.46000016</v>
      </c>
      <c r="D75" s="41">
        <f t="shared" si="32"/>
        <v>11.870135928016671</v>
      </c>
      <c r="E75" s="23">
        <v>770014118.59000003</v>
      </c>
      <c r="F75" s="41">
        <f t="shared" si="7"/>
        <v>9.7242421997853121</v>
      </c>
      <c r="G75" s="23">
        <f t="shared" si="26"/>
        <v>169922594.87000012</v>
      </c>
      <c r="H75" s="94">
        <f>+IFERROR(C75/E75*100-100,0)</f>
        <v>22.067464838326771</v>
      </c>
      <c r="I75" s="23">
        <v>717095163.42999995</v>
      </c>
      <c r="J75" s="41">
        <f t="shared" si="33"/>
        <v>9.6135498936684058</v>
      </c>
      <c r="K75" s="23">
        <f t="shared" si="30"/>
        <v>222841550.03000021</v>
      </c>
      <c r="L75" s="94">
        <f t="shared" si="31"/>
        <v>31.075589600145605</v>
      </c>
      <c r="M75" s="72" t="s">
        <v>144</v>
      </c>
    </row>
    <row r="76" spans="1:13" ht="15" customHeight="1">
      <c r="A76" s="18">
        <v>72</v>
      </c>
      <c r="B76" s="19" t="s">
        <v>168</v>
      </c>
      <c r="C76" s="20">
        <v>1406114.85</v>
      </c>
      <c r="D76" s="40">
        <f t="shared" si="32"/>
        <v>1.7757338511081647E-2</v>
      </c>
      <c r="E76" s="20">
        <v>4500000</v>
      </c>
      <c r="F76" s="40">
        <f t="shared" si="7"/>
        <v>5.6828944875923465E-2</v>
      </c>
      <c r="G76" s="20">
        <f t="shared" si="26"/>
        <v>-3093885.15</v>
      </c>
      <c r="H76" s="89">
        <f t="shared" si="27"/>
        <v>-68.753003333333325</v>
      </c>
      <c r="I76" s="20">
        <v>1568425.31</v>
      </c>
      <c r="J76" s="40">
        <f t="shared" si="33"/>
        <v>2.1026686193302162E-2</v>
      </c>
      <c r="K76" s="20">
        <f t="shared" si="30"/>
        <v>-162310.45999999996</v>
      </c>
      <c r="L76" s="89">
        <f t="shared" si="31"/>
        <v>-10.348625399318507</v>
      </c>
      <c r="M76" s="71" t="s">
        <v>145</v>
      </c>
    </row>
    <row r="77" spans="1:13" ht="15" customHeight="1">
      <c r="A77" s="28">
        <v>73</v>
      </c>
      <c r="B77" s="29" t="s">
        <v>183</v>
      </c>
      <c r="C77" s="30">
        <v>14410086.92</v>
      </c>
      <c r="D77" s="40">
        <f t="shared" si="32"/>
        <v>0.18198000782976573</v>
      </c>
      <c r="E77" s="30">
        <v>5629073.2928197626</v>
      </c>
      <c r="F77" s="40">
        <f t="shared" si="7"/>
        <v>7.1087621302263843E-2</v>
      </c>
      <c r="G77" s="20">
        <f t="shared" si="26"/>
        <v>8781013.6271802373</v>
      </c>
      <c r="H77" s="89">
        <f t="shared" si="27"/>
        <v>155.99394732310509</v>
      </c>
      <c r="I77" s="30">
        <v>14419675.67</v>
      </c>
      <c r="J77" s="40">
        <f>+I77/$I$2*100</f>
        <v>0.19331363335515422</v>
      </c>
      <c r="K77" s="20">
        <f t="shared" si="30"/>
        <v>-9588.75</v>
      </c>
      <c r="L77" s="89">
        <f t="shared" si="31"/>
        <v>-6.6497681497438066E-2</v>
      </c>
      <c r="M77" s="71" t="s">
        <v>107</v>
      </c>
    </row>
    <row r="78" spans="1:13" ht="15" customHeight="1" thickBot="1">
      <c r="A78" s="24"/>
      <c r="B78" s="25" t="s">
        <v>187</v>
      </c>
      <c r="C78" s="26">
        <f>+-C72-(SUM(C74:C77)+C63)</f>
        <v>-123629518.84000039</v>
      </c>
      <c r="D78" s="42">
        <f t="shared" si="32"/>
        <v>-1.5612744691545164</v>
      </c>
      <c r="E78" s="26">
        <f>+-E72-(SUM(E74:E77)+E63)</f>
        <v>91040217.169683695</v>
      </c>
      <c r="F78" s="42">
        <f t="shared" si="7"/>
        <v>1.1497154406729013</v>
      </c>
      <c r="G78" s="26">
        <f>+C78-E78</f>
        <v>-214669736.00968409</v>
      </c>
      <c r="H78" s="95">
        <f t="shared" si="27"/>
        <v>-235.79659922117244</v>
      </c>
      <c r="I78" s="26">
        <f t="shared" ref="I78" si="34">-I72-SUM(I74:I77)</f>
        <v>-416125158.58999944</v>
      </c>
      <c r="J78" s="42">
        <f t="shared" si="33"/>
        <v>-5.5786737634385748</v>
      </c>
      <c r="K78" s="26">
        <f t="shared" si="30"/>
        <v>292495639.74999905</v>
      </c>
      <c r="L78" s="95">
        <f t="shared" si="31"/>
        <v>-70.290304181821824</v>
      </c>
      <c r="M78" s="75" t="s">
        <v>146</v>
      </c>
    </row>
    <row r="79" spans="1:13" ht="13.5" customHeight="1"/>
    <row r="81" spans="2:9">
      <c r="B81" s="4" t="s">
        <v>188</v>
      </c>
    </row>
    <row r="82" spans="2:9">
      <c r="B82" s="4" t="s">
        <v>193</v>
      </c>
      <c r="I82" s="7"/>
    </row>
  </sheetData>
  <sheetProtection algorithmName="SHA-512" hashValue="BhgNP33naLS1BaEZkt9D6+tc0WBVzxwIbEj9AlAwUPPIpYRBtsveXVyPzxSTnmU0zQumGbtq7CZ6U4QZkvPTBA==" saltValue="o40hNjBohdStClB5BzxAqg==" spinCount="100000" sheet="1" sort="0" autoFilter="0"/>
  <mergeCells count="11">
    <mergeCell ref="A4:A5"/>
    <mergeCell ref="K4:L4"/>
    <mergeCell ref="C4:D4"/>
    <mergeCell ref="E4:F4"/>
    <mergeCell ref="G4:H4"/>
    <mergeCell ref="I4:J4"/>
    <mergeCell ref="C2:D2"/>
    <mergeCell ref="I2:J2"/>
    <mergeCell ref="E2:F2"/>
    <mergeCell ref="M4:M5"/>
    <mergeCell ref="B4:B5"/>
  </mergeCells>
  <printOptions horizontalCentered="1" verticalCentered="1"/>
  <pageMargins left="0" right="0" top="0.196850393700787" bottom="0.196850393700787" header="0" footer="0"/>
  <pageSetup paperSize="9" scale="4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B80"/>
  <sheetViews>
    <sheetView zoomScale="90" zoomScaleNormal="90" zoomScaleSheetLayoutView="90" workbookViewId="0">
      <pane ySplit="5" topLeftCell="A6" activePane="bottomLeft" state="frozen"/>
      <selection activeCell="G14" sqref="G14"/>
      <selection pane="bottomLeft" activeCell="B2" sqref="B2"/>
    </sheetView>
  </sheetViews>
  <sheetFormatPr defaultColWidth="9.140625" defaultRowHeight="13.5"/>
  <cols>
    <col min="1" max="1" width="13.140625" style="4" customWidth="1"/>
    <col min="2" max="2" width="63.7109375" style="4" customWidth="1"/>
    <col min="3" max="3" width="9.140625" style="6" customWidth="1"/>
    <col min="4" max="4" width="9.140625" style="4" customWidth="1"/>
    <col min="5" max="5" width="9.140625" style="6" customWidth="1"/>
    <col min="6" max="6" width="10" style="7" customWidth="1"/>
    <col min="7" max="7" width="11.42578125" style="6" customWidth="1"/>
    <col min="8" max="8" width="10.42578125" style="96" customWidth="1"/>
    <col min="9" max="9" width="9.140625" style="6" customWidth="1"/>
    <col min="10" max="10" width="10.42578125" style="7" customWidth="1"/>
    <col min="11" max="11" width="11.140625" style="6" customWidth="1"/>
    <col min="12" max="12" width="11.7109375" style="96" customWidth="1"/>
    <col min="13" max="13" width="54.42578125" style="4" customWidth="1"/>
    <col min="14" max="16384" width="9.140625" style="1"/>
  </cols>
  <sheetData>
    <row r="1" spans="1:16382" ht="18.75" customHeight="1" thickBot="1">
      <c r="B1" s="5"/>
      <c r="M1" s="5"/>
    </row>
    <row r="2" spans="1:16382" ht="15.75" customHeight="1" thickBot="1">
      <c r="A2" s="8" t="s">
        <v>57</v>
      </c>
      <c r="B2" s="8"/>
      <c r="C2" s="127">
        <f>+'Centralna država-ek klas'!C2:D2</f>
        <v>7918500000</v>
      </c>
      <c r="D2" s="128"/>
      <c r="E2" s="127">
        <f>+'Centralna država-ek klas'!E2:F2</f>
        <v>7918500000</v>
      </c>
      <c r="F2" s="128"/>
      <c r="G2" s="9"/>
      <c r="H2" s="97"/>
      <c r="I2" s="127">
        <f>+'Centralna država-ek klas'!I2:J2</f>
        <v>7459213000</v>
      </c>
      <c r="J2" s="128"/>
      <c r="K2" s="9"/>
      <c r="L2" s="97"/>
      <c r="M2" s="8" t="s">
        <v>77</v>
      </c>
    </row>
    <row r="3" spans="1:16382" ht="15" customHeight="1" thickBot="1">
      <c r="A3" s="8"/>
      <c r="B3" s="8"/>
      <c r="C3" s="11"/>
      <c r="D3" s="8"/>
      <c r="E3" s="11"/>
      <c r="F3" s="10"/>
      <c r="G3" s="11"/>
      <c r="H3" s="97"/>
      <c r="I3" s="11"/>
      <c r="J3" s="10"/>
      <c r="K3" s="11"/>
      <c r="L3" s="97"/>
      <c r="M3" s="8"/>
    </row>
    <row r="4" spans="1:16382" ht="15" customHeight="1">
      <c r="A4" s="119" t="s">
        <v>69</v>
      </c>
      <c r="B4" s="117" t="s">
        <v>70</v>
      </c>
      <c r="C4" s="123" t="s">
        <v>190</v>
      </c>
      <c r="D4" s="124"/>
      <c r="E4" s="125" t="s">
        <v>191</v>
      </c>
      <c r="F4" s="126"/>
      <c r="G4" s="121" t="s">
        <v>167</v>
      </c>
      <c r="H4" s="122"/>
      <c r="I4" s="121" t="s">
        <v>192</v>
      </c>
      <c r="J4" s="122"/>
      <c r="K4" s="121" t="s">
        <v>167</v>
      </c>
      <c r="L4" s="122"/>
      <c r="M4" s="115" t="s">
        <v>147</v>
      </c>
    </row>
    <row r="5" spans="1:16382" ht="23.25" customHeight="1">
      <c r="A5" s="120"/>
      <c r="B5" s="118"/>
      <c r="C5" s="12" t="s">
        <v>60</v>
      </c>
      <c r="D5" s="13" t="s">
        <v>55</v>
      </c>
      <c r="E5" s="12" t="s">
        <v>60</v>
      </c>
      <c r="F5" s="13" t="s">
        <v>55</v>
      </c>
      <c r="G5" s="12" t="s">
        <v>63</v>
      </c>
      <c r="H5" s="98" t="s">
        <v>61</v>
      </c>
      <c r="I5" s="12" t="s">
        <v>60</v>
      </c>
      <c r="J5" s="14" t="s">
        <v>55</v>
      </c>
      <c r="K5" s="12" t="s">
        <v>60</v>
      </c>
      <c r="L5" s="100" t="s">
        <v>61</v>
      </c>
      <c r="M5" s="116"/>
    </row>
    <row r="6" spans="1:16382" s="34" customFormat="1" ht="15" customHeight="1">
      <c r="A6" s="31"/>
      <c r="B6" s="32" t="s">
        <v>50</v>
      </c>
      <c r="C6" s="33">
        <f>+C7+C12+C19+C30+C35+C36</f>
        <v>321755612.17000008</v>
      </c>
      <c r="D6" s="43">
        <f>+C6/$C$2*100</f>
        <v>4.0633404327839875</v>
      </c>
      <c r="E6" s="33">
        <f>+E7+E12+E19+E30+E35+E36</f>
        <v>340329205.75237995</v>
      </c>
      <c r="F6" s="43">
        <f t="shared" ref="F6:F62" si="0">+E6/$E$2*100</f>
        <v>4.2978999274152923</v>
      </c>
      <c r="G6" s="33">
        <f>+C6-E6</f>
        <v>-18573593.582379878</v>
      </c>
      <c r="H6" s="99">
        <f>+C6/E6*100-100</f>
        <v>-5.457537369241777</v>
      </c>
      <c r="I6" s="33">
        <f>+I7+I12+I19+I30+I35+I36</f>
        <v>306202924.55000001</v>
      </c>
      <c r="J6" s="43">
        <f>+I6/$I$2*100</f>
        <v>4.1050299079809092</v>
      </c>
      <c r="K6" s="33">
        <f>+C6-I6</f>
        <v>15552687.620000064</v>
      </c>
      <c r="L6" s="99">
        <f>+C6/I6*100-100</f>
        <v>5.0792093651151475</v>
      </c>
      <c r="M6" s="70" t="s">
        <v>148</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row>
    <row r="7" spans="1:16382" ht="15" customHeight="1">
      <c r="A7" s="18">
        <v>711</v>
      </c>
      <c r="B7" s="19" t="s">
        <v>1</v>
      </c>
      <c r="C7" s="20">
        <f>+SUM(C8:C11)</f>
        <v>199401861.23000002</v>
      </c>
      <c r="D7" s="40">
        <f t="shared" ref="D7:D66" si="1">+C7/$C$2*100</f>
        <v>2.5181771955547139</v>
      </c>
      <c r="E7" s="20">
        <f>+SUM(E8:E11)</f>
        <v>210129695.85027999</v>
      </c>
      <c r="F7" s="40">
        <f t="shared" si="0"/>
        <v>2.6536553116155837</v>
      </c>
      <c r="G7" s="20">
        <f t="shared" ref="G7:G65" si="2">+C7-E7</f>
        <v>-10727834.620279968</v>
      </c>
      <c r="H7" s="89">
        <f t="shared" ref="H7:H62" si="3">+C7/E7*100-100</f>
        <v>-5.1053396222129805</v>
      </c>
      <c r="I7" s="20">
        <f>+SUM(I8:I11)</f>
        <v>172425521.43999997</v>
      </c>
      <c r="J7" s="40">
        <f t="shared" ref="J7:J66" si="4">+I7/$I$2*100</f>
        <v>2.3115779297360186</v>
      </c>
      <c r="K7" s="20">
        <f>+C7-I7</f>
        <v>26976339.790000051</v>
      </c>
      <c r="L7" s="89">
        <f t="shared" ref="L7:L62" si="5">+C7/I7*100-100</f>
        <v>15.645212822735857</v>
      </c>
      <c r="M7" s="71" t="s">
        <v>78</v>
      </c>
    </row>
    <row r="8" spans="1:16382" ht="15" customHeight="1">
      <c r="A8" s="21">
        <v>7111</v>
      </c>
      <c r="B8" s="22" t="s">
        <v>2</v>
      </c>
      <c r="C8" s="23">
        <v>83792682.600000009</v>
      </c>
      <c r="D8" s="41">
        <f t="shared" si="1"/>
        <v>1.0581888312180339</v>
      </c>
      <c r="E8" s="23">
        <v>87814731.364800006</v>
      </c>
      <c r="F8" s="41">
        <f t="shared" si="0"/>
        <v>1.1089818951164994</v>
      </c>
      <c r="G8" s="23">
        <f t="shared" si="2"/>
        <v>-4022048.7647999972</v>
      </c>
      <c r="H8" s="94">
        <f t="shared" si="3"/>
        <v>-4.5801526717557266</v>
      </c>
      <c r="I8" s="23">
        <v>72471434.639999986</v>
      </c>
      <c r="J8" s="41">
        <f t="shared" si="4"/>
        <v>0.97156944894856845</v>
      </c>
      <c r="K8" s="23">
        <f t="shared" ref="K8:K65" si="6">+C8-I8</f>
        <v>11321247.960000023</v>
      </c>
      <c r="L8" s="94">
        <f t="shared" si="5"/>
        <v>15.621669442916428</v>
      </c>
      <c r="M8" s="72" t="s">
        <v>79</v>
      </c>
    </row>
    <row r="9" spans="1:16382" ht="15" customHeight="1">
      <c r="A9" s="21">
        <v>71131</v>
      </c>
      <c r="B9" s="22" t="s">
        <v>65</v>
      </c>
      <c r="C9" s="23">
        <v>71942695.520000011</v>
      </c>
      <c r="D9" s="41">
        <f t="shared" si="1"/>
        <v>0.90853943954031702</v>
      </c>
      <c r="E9" s="23">
        <v>76331199.946720004</v>
      </c>
      <c r="F9" s="41">
        <f t="shared" si="0"/>
        <v>0.96396034535227626</v>
      </c>
      <c r="G9" s="23">
        <f t="shared" ref="G9" si="7">+C9-E9</f>
        <v>-4388504.4267199934</v>
      </c>
      <c r="H9" s="94">
        <f t="shared" ref="H9" si="8">+C9/E9*100-100</f>
        <v>-5.749293119698379</v>
      </c>
      <c r="I9" s="23">
        <v>62757715.889999993</v>
      </c>
      <c r="J9" s="41">
        <f t="shared" ref="J9" si="9">+I9/$I$2*100</f>
        <v>0.84134500368872689</v>
      </c>
      <c r="K9" s="23">
        <f t="shared" ref="K9" si="10">+C9-I9</f>
        <v>9184979.6300000176</v>
      </c>
      <c r="L9" s="94">
        <f t="shared" ref="L9" si="11">+C9/I9*100-100</f>
        <v>14.635618106463923</v>
      </c>
      <c r="M9" s="72" t="s">
        <v>149</v>
      </c>
    </row>
    <row r="10" spans="1:16382" ht="15" customHeight="1">
      <c r="A10" s="21">
        <v>71132</v>
      </c>
      <c r="B10" s="22" t="s">
        <v>4</v>
      </c>
      <c r="C10" s="23">
        <v>22326212.209999997</v>
      </c>
      <c r="D10" s="41">
        <f t="shared" si="1"/>
        <v>0.2819500184378354</v>
      </c>
      <c r="E10" s="23">
        <v>23576480.093759999</v>
      </c>
      <c r="F10" s="41">
        <f t="shared" si="0"/>
        <v>0.2977392194703542</v>
      </c>
      <c r="G10" s="23">
        <f t="shared" si="2"/>
        <v>-1250267.8837600015</v>
      </c>
      <c r="H10" s="94">
        <f t="shared" si="3"/>
        <v>-5.3030303030303116</v>
      </c>
      <c r="I10" s="23">
        <v>19163617.810000006</v>
      </c>
      <c r="J10" s="41">
        <f t="shared" si="4"/>
        <v>0.25691206042782272</v>
      </c>
      <c r="K10" s="23">
        <f t="shared" si="6"/>
        <v>3162594.3999999911</v>
      </c>
      <c r="L10" s="94">
        <f t="shared" si="5"/>
        <v>16.503117685584812</v>
      </c>
      <c r="M10" s="72" t="s">
        <v>81</v>
      </c>
    </row>
    <row r="11" spans="1:16382" ht="15" customHeight="1">
      <c r="A11" s="106" t="s">
        <v>185</v>
      </c>
      <c r="B11" s="22" t="s">
        <v>186</v>
      </c>
      <c r="C11" s="23">
        <v>21340270.900000002</v>
      </c>
      <c r="D11" s="41">
        <f t="shared" si="1"/>
        <v>0.26949890635852752</v>
      </c>
      <c r="E11" s="23">
        <v>22407284.445000004</v>
      </c>
      <c r="F11" s="41">
        <f t="shared" si="0"/>
        <v>0.28297385167645395</v>
      </c>
      <c r="G11" s="23">
        <f t="shared" si="2"/>
        <v>-1067013.5450000018</v>
      </c>
      <c r="H11" s="94">
        <f t="shared" si="3"/>
        <v>-4.7619047619047734</v>
      </c>
      <c r="I11" s="23">
        <v>18032753.100000001</v>
      </c>
      <c r="J11" s="41">
        <f t="shared" si="4"/>
        <v>0.2417514166709008</v>
      </c>
      <c r="K11" s="23">
        <f t="shared" si="6"/>
        <v>3307517.8000000007</v>
      </c>
      <c r="L11" s="94">
        <f t="shared" si="5"/>
        <v>18.341723982235408</v>
      </c>
      <c r="M11" s="72" t="s">
        <v>156</v>
      </c>
    </row>
    <row r="12" spans="1:16382" ht="15" customHeight="1">
      <c r="A12" s="18">
        <v>713</v>
      </c>
      <c r="B12" s="19" t="s">
        <v>13</v>
      </c>
      <c r="C12" s="69">
        <f>C13+C17+C18</f>
        <v>4168681.8299999996</v>
      </c>
      <c r="D12" s="40">
        <f t="shared" si="1"/>
        <v>5.2644842204963058E-2</v>
      </c>
      <c r="E12" s="20">
        <f>SUM(E13:E18)</f>
        <v>4388271.8355</v>
      </c>
      <c r="F12" s="40">
        <f t="shared" si="0"/>
        <v>5.5417968497821553E-2</v>
      </c>
      <c r="G12" s="20">
        <f t="shared" si="2"/>
        <v>-219590.00550000044</v>
      </c>
      <c r="H12" s="89">
        <f t="shared" si="3"/>
        <v>-5.0040201184341697</v>
      </c>
      <c r="I12" s="69">
        <f>SUM(I13:I18)</f>
        <v>4144228.55</v>
      </c>
      <c r="J12" s="40">
        <f t="shared" si="4"/>
        <v>5.5558522728872337E-2</v>
      </c>
      <c r="K12" s="20">
        <f t="shared" si="6"/>
        <v>24453.279999999795</v>
      </c>
      <c r="L12" s="89">
        <f t="shared" si="5"/>
        <v>0.59005626028998392</v>
      </c>
      <c r="M12" s="71" t="s">
        <v>91</v>
      </c>
    </row>
    <row r="13" spans="1:16382">
      <c r="A13" s="21">
        <v>7131</v>
      </c>
      <c r="B13" s="22" t="s">
        <v>14</v>
      </c>
      <c r="C13" s="23">
        <v>901906.61</v>
      </c>
      <c r="D13" s="41">
        <f t="shared" si="1"/>
        <v>1.1389866893982446E-2</v>
      </c>
      <c r="E13" s="107">
        <v>937982.87439999997</v>
      </c>
      <c r="F13" s="41">
        <f t="shared" si="0"/>
        <v>1.1845461569741743E-2</v>
      </c>
      <c r="G13" s="23">
        <f t="shared" si="2"/>
        <v>-36076.264399999985</v>
      </c>
      <c r="H13" s="94">
        <f t="shared" si="3"/>
        <v>-3.8461538461538396</v>
      </c>
      <c r="I13" s="23">
        <v>849994.92999999993</v>
      </c>
      <c r="J13" s="41">
        <f t="shared" si="4"/>
        <v>1.1395236065788709E-2</v>
      </c>
      <c r="K13" s="23">
        <f t="shared" si="6"/>
        <v>51911.680000000051</v>
      </c>
      <c r="L13" s="94">
        <f t="shared" si="5"/>
        <v>6.1072928987941282</v>
      </c>
      <c r="M13" s="72" t="s">
        <v>92</v>
      </c>
    </row>
    <row r="14" spans="1:16382" hidden="1">
      <c r="A14" s="21"/>
      <c r="B14" s="22"/>
      <c r="C14" s="23"/>
      <c r="D14" s="41"/>
      <c r="E14" s="107"/>
      <c r="F14" s="41"/>
      <c r="G14" s="23"/>
      <c r="H14" s="94"/>
      <c r="I14" s="23"/>
      <c r="J14" s="41"/>
      <c r="K14" s="23"/>
      <c r="L14" s="94"/>
      <c r="M14" s="72"/>
    </row>
    <row r="15" spans="1:16382" ht="14.25" hidden="1" customHeight="1">
      <c r="A15" s="21"/>
      <c r="B15" s="22"/>
      <c r="C15" s="23"/>
      <c r="D15" s="41"/>
      <c r="E15" s="107"/>
      <c r="F15" s="41"/>
      <c r="G15" s="23"/>
      <c r="H15" s="94"/>
      <c r="I15" s="23"/>
      <c r="J15" s="41"/>
      <c r="K15" s="23"/>
      <c r="L15" s="94"/>
      <c r="M15" s="72"/>
    </row>
    <row r="16" spans="1:16382" hidden="1">
      <c r="A16" s="21"/>
      <c r="B16" s="22"/>
      <c r="C16" s="23"/>
      <c r="D16" s="41"/>
      <c r="E16" s="107"/>
      <c r="F16" s="41"/>
      <c r="G16" s="23"/>
      <c r="H16" s="94"/>
      <c r="I16" s="23"/>
      <c r="J16" s="41"/>
      <c r="K16" s="23"/>
      <c r="L16" s="94"/>
      <c r="M16" s="72"/>
    </row>
    <row r="17" spans="1:13" ht="15" customHeight="1">
      <c r="A17" s="21">
        <v>7135</v>
      </c>
      <c r="B17" s="22" t="s">
        <v>17</v>
      </c>
      <c r="C17" s="23">
        <v>2017498.0099999995</v>
      </c>
      <c r="D17" s="41">
        <f t="shared" si="1"/>
        <v>2.5478285155016728E-2</v>
      </c>
      <c r="E17" s="107">
        <v>2138547.8905999996</v>
      </c>
      <c r="F17" s="41">
        <f t="shared" ref="F17" si="12">+E17/$E$2*100</f>
        <v>2.7006982264317733E-2</v>
      </c>
      <c r="G17" s="23">
        <f t="shared" ref="G17" si="13">+C17-E17</f>
        <v>-121049.88060000003</v>
      </c>
      <c r="H17" s="94">
        <f t="shared" ref="H17" si="14">+C17/E17*100-100</f>
        <v>-5.6603773584905639</v>
      </c>
      <c r="I17" s="23">
        <v>2194260.0799999996</v>
      </c>
      <c r="J17" s="41">
        <f t="shared" ref="J17" si="15">+I17/$I$2*100</f>
        <v>2.9416777346350072E-2</v>
      </c>
      <c r="K17" s="23">
        <f t="shared" ref="K17" si="16">+C17-I17</f>
        <v>-176762.07000000007</v>
      </c>
      <c r="L17" s="94">
        <f t="shared" ref="L17" si="17">+C17/I17*100-100</f>
        <v>-8.0556571944744206</v>
      </c>
      <c r="M17" s="72" t="s">
        <v>152</v>
      </c>
    </row>
    <row r="18" spans="1:13" ht="15" customHeight="1">
      <c r="A18" s="21">
        <v>7136</v>
      </c>
      <c r="B18" s="22" t="s">
        <v>18</v>
      </c>
      <c r="C18" s="23">
        <v>1249277.21</v>
      </c>
      <c r="D18" s="41">
        <f t="shared" si="1"/>
        <v>1.577669015596388E-2</v>
      </c>
      <c r="E18" s="107">
        <v>1311741.0704999999</v>
      </c>
      <c r="F18" s="41">
        <f t="shared" si="0"/>
        <v>1.6565524663762075E-2</v>
      </c>
      <c r="G18" s="23">
        <f t="shared" si="2"/>
        <v>-62463.860499999952</v>
      </c>
      <c r="H18" s="94">
        <f t="shared" si="3"/>
        <v>-4.7619047619047592</v>
      </c>
      <c r="I18" s="23">
        <v>1099973.5399999998</v>
      </c>
      <c r="J18" s="41">
        <f t="shared" si="4"/>
        <v>1.4746509316733544E-2</v>
      </c>
      <c r="K18" s="23">
        <f t="shared" si="6"/>
        <v>149303.67000000016</v>
      </c>
      <c r="L18" s="94">
        <f t="shared" si="5"/>
        <v>13.573387410755373</v>
      </c>
      <c r="M18" s="72" t="s">
        <v>95</v>
      </c>
    </row>
    <row r="19" spans="1:13" ht="15" customHeight="1">
      <c r="A19" s="18">
        <v>714</v>
      </c>
      <c r="B19" s="19" t="s">
        <v>19</v>
      </c>
      <c r="C19" s="20">
        <f>+SUM(C20:C29)</f>
        <v>60502059.879999995</v>
      </c>
      <c r="D19" s="40">
        <f t="shared" si="1"/>
        <v>0.76405960573340903</v>
      </c>
      <c r="E19" s="108">
        <f>+SUM(E20:E29)</f>
        <v>63882293.188900001</v>
      </c>
      <c r="F19" s="40">
        <f t="shared" si="0"/>
        <v>0.80674740403990663</v>
      </c>
      <c r="G19" s="20">
        <f t="shared" si="2"/>
        <v>-3380233.3089000061</v>
      </c>
      <c r="H19" s="89">
        <f t="shared" si="3"/>
        <v>-5.2913462246958716</v>
      </c>
      <c r="I19" s="20">
        <f>+SUM(I20:I29)</f>
        <v>60094787.040000014</v>
      </c>
      <c r="J19" s="40">
        <f t="shared" si="4"/>
        <v>0.8056451403117193</v>
      </c>
      <c r="K19" s="20">
        <f t="shared" si="6"/>
        <v>407272.83999998122</v>
      </c>
      <c r="L19" s="89">
        <f t="shared" si="5"/>
        <v>0.67771741953073672</v>
      </c>
      <c r="M19" s="71" t="s">
        <v>96</v>
      </c>
    </row>
    <row r="20" spans="1:13" ht="15" customHeight="1">
      <c r="A20" s="21">
        <v>7141</v>
      </c>
      <c r="B20" s="22" t="s">
        <v>20</v>
      </c>
      <c r="C20" s="23">
        <v>2610164.89</v>
      </c>
      <c r="D20" s="41">
        <f t="shared" si="1"/>
        <v>3.2962870366862414E-2</v>
      </c>
      <c r="E20" s="107">
        <v>2792876.4323000005</v>
      </c>
      <c r="F20" s="41">
        <f t="shared" si="0"/>
        <v>3.5270271292542787E-2</v>
      </c>
      <c r="G20" s="23">
        <f t="shared" si="2"/>
        <v>-182711.54230000032</v>
      </c>
      <c r="H20" s="94">
        <f t="shared" si="3"/>
        <v>-6.5420560747663643</v>
      </c>
      <c r="I20" s="23">
        <v>3222770.5100000007</v>
      </c>
      <c r="J20" s="41">
        <f t="shared" si="4"/>
        <v>4.3205235056298849E-2</v>
      </c>
      <c r="K20" s="23">
        <f t="shared" si="6"/>
        <v>-612605.62000000058</v>
      </c>
      <c r="L20" s="94">
        <f t="shared" si="5"/>
        <v>-19.00866407021951</v>
      </c>
      <c r="M20" s="72" t="s">
        <v>97</v>
      </c>
    </row>
    <row r="21" spans="1:13" ht="15" customHeight="1">
      <c r="A21" s="21">
        <v>7142</v>
      </c>
      <c r="B21" s="22" t="s">
        <v>21</v>
      </c>
      <c r="C21" s="23">
        <v>7009481.9100000011</v>
      </c>
      <c r="D21" s="41">
        <f t="shared" si="1"/>
        <v>8.852032468270507E-2</v>
      </c>
      <c r="E21" s="107">
        <v>7640335.2819000017</v>
      </c>
      <c r="F21" s="41">
        <f t="shared" si="0"/>
        <v>9.648715390414854E-2</v>
      </c>
      <c r="G21" s="23">
        <f t="shared" si="2"/>
        <v>-630853.37190000061</v>
      </c>
      <c r="H21" s="94">
        <f t="shared" si="3"/>
        <v>-8.2568807339449535</v>
      </c>
      <c r="I21" s="23">
        <v>5780590.2800000012</v>
      </c>
      <c r="J21" s="41">
        <f t="shared" si="4"/>
        <v>7.7495980876266718E-2</v>
      </c>
      <c r="K21" s="23">
        <f t="shared" si="6"/>
        <v>1228891.6299999999</v>
      </c>
      <c r="L21" s="94">
        <f t="shared" si="5"/>
        <v>21.258929806040499</v>
      </c>
      <c r="M21" s="72" t="s">
        <v>98</v>
      </c>
    </row>
    <row r="22" spans="1:13" hidden="1">
      <c r="A22" s="21">
        <v>7143</v>
      </c>
      <c r="B22" s="22" t="s">
        <v>22</v>
      </c>
      <c r="C22" s="23"/>
      <c r="D22" s="41">
        <f t="shared" si="1"/>
        <v>0</v>
      </c>
      <c r="E22" s="107">
        <v>0</v>
      </c>
      <c r="F22" s="41">
        <f t="shared" si="0"/>
        <v>0</v>
      </c>
      <c r="G22" s="23">
        <f t="shared" si="2"/>
        <v>0</v>
      </c>
      <c r="H22" s="94" t="e">
        <f t="shared" si="3"/>
        <v>#DIV/0!</v>
      </c>
      <c r="I22" s="23"/>
      <c r="J22" s="41">
        <f t="shared" si="4"/>
        <v>0</v>
      </c>
      <c r="K22" s="23">
        <f t="shared" si="6"/>
        <v>0</v>
      </c>
      <c r="L22" s="94" t="e">
        <f t="shared" si="5"/>
        <v>#DIV/0!</v>
      </c>
      <c r="M22" s="72" t="s">
        <v>99</v>
      </c>
    </row>
    <row r="23" spans="1:13" hidden="1">
      <c r="A23" s="21">
        <v>7144</v>
      </c>
      <c r="B23" s="22" t="s">
        <v>23</v>
      </c>
      <c r="C23" s="23"/>
      <c r="D23" s="41">
        <f>+C23/$C$2*100</f>
        <v>0</v>
      </c>
      <c r="E23" s="107">
        <v>0</v>
      </c>
      <c r="F23" s="41">
        <f>+E23/$E$2*100</f>
        <v>0</v>
      </c>
      <c r="G23" s="23">
        <f>+C23-E23</f>
        <v>0</v>
      </c>
      <c r="H23" s="94" t="e">
        <f>+C23/E23*100-100</f>
        <v>#DIV/0!</v>
      </c>
      <c r="I23" s="23"/>
      <c r="J23" s="41">
        <f>+I23/$I$2*100</f>
        <v>0</v>
      </c>
      <c r="K23" s="23">
        <f>+C23-I23</f>
        <v>0</v>
      </c>
      <c r="L23" s="94" t="e">
        <f>+C23/I23*100-100</f>
        <v>#DIV/0!</v>
      </c>
      <c r="M23" s="72" t="s">
        <v>100</v>
      </c>
    </row>
    <row r="24" spans="1:13" ht="15.75" hidden="1" customHeight="1">
      <c r="A24" s="21"/>
      <c r="B24" s="22" t="s">
        <v>24</v>
      </c>
      <c r="C24" s="23"/>
      <c r="D24" s="41"/>
      <c r="E24" s="107">
        <v>0</v>
      </c>
      <c r="F24" s="41">
        <f>+E24/$E$2*100</f>
        <v>0</v>
      </c>
      <c r="G24" s="23"/>
      <c r="H24" s="94"/>
      <c r="I24" s="23"/>
      <c r="J24" s="41">
        <f>+I24/$I$2*100</f>
        <v>0</v>
      </c>
      <c r="K24" s="23">
        <f>+C24-I24</f>
        <v>0</v>
      </c>
      <c r="L24" s="94" t="e">
        <f>+C24/I24*100-100</f>
        <v>#DIV/0!</v>
      </c>
      <c r="M24" s="72"/>
    </row>
    <row r="25" spans="1:13" ht="17.25" hidden="1" customHeight="1">
      <c r="A25" s="21">
        <v>7145</v>
      </c>
      <c r="B25" s="22" t="s">
        <v>66</v>
      </c>
      <c r="C25" s="23"/>
      <c r="D25" s="41">
        <f t="shared" ref="D25:D29" si="18">+C25/$C$2*100</f>
        <v>0</v>
      </c>
      <c r="E25" s="107">
        <v>0</v>
      </c>
      <c r="F25" s="41">
        <f t="shared" ref="F25:F29" si="19">+E25/$E$2*100</f>
        <v>0</v>
      </c>
      <c r="G25" s="23">
        <f t="shared" ref="G25:G27" si="20">+C25-E25</f>
        <v>0</v>
      </c>
      <c r="H25" s="94" t="e">
        <f t="shared" ref="H25:H27" si="21">+C25/E25*100-100</f>
        <v>#DIV/0!</v>
      </c>
      <c r="I25" s="23"/>
      <c r="J25" s="41">
        <f t="shared" ref="J25:J27" si="22">+I25/$I$2*100</f>
        <v>0</v>
      </c>
      <c r="K25" s="23">
        <f t="shared" ref="K25:K27" si="23">+C25-I25</f>
        <v>0</v>
      </c>
      <c r="L25" s="94" t="e">
        <f t="shared" ref="L25:L27" si="24">+C25/I25*100-100</f>
        <v>#DIV/0!</v>
      </c>
      <c r="M25" s="72" t="s">
        <v>153</v>
      </c>
    </row>
    <row r="26" spans="1:13" ht="15" customHeight="1">
      <c r="A26" s="21">
        <v>7146</v>
      </c>
      <c r="B26" s="22" t="s">
        <v>180</v>
      </c>
      <c r="C26" s="23">
        <v>43036251.859999999</v>
      </c>
      <c r="D26" s="41">
        <f t="shared" si="18"/>
        <v>0.54348995213739981</v>
      </c>
      <c r="E26" s="107">
        <v>45188064.453000002</v>
      </c>
      <c r="F26" s="41">
        <f t="shared" si="19"/>
        <v>0.57066444974426977</v>
      </c>
      <c r="G26" s="23">
        <f t="shared" si="20"/>
        <v>-2151812.5930000022</v>
      </c>
      <c r="H26" s="94">
        <f t="shared" si="21"/>
        <v>-4.7619047619047734</v>
      </c>
      <c r="I26" s="23">
        <v>43865042.730000004</v>
      </c>
      <c r="J26" s="41">
        <f t="shared" si="22"/>
        <v>0.5880652922768127</v>
      </c>
      <c r="K26" s="23">
        <f t="shared" si="23"/>
        <v>-828790.87000000477</v>
      </c>
      <c r="L26" s="94">
        <f t="shared" si="24"/>
        <v>-1.8894108347310095</v>
      </c>
      <c r="M26" s="72" t="s">
        <v>181</v>
      </c>
    </row>
    <row r="27" spans="1:13" ht="26.25" customHeight="1">
      <c r="A27" s="21">
        <v>7147</v>
      </c>
      <c r="B27" s="27" t="s">
        <v>67</v>
      </c>
      <c r="C27" s="23">
        <v>4479182.79</v>
      </c>
      <c r="D27" s="41">
        <f t="shared" si="18"/>
        <v>5.6566051524910017E-2</v>
      </c>
      <c r="E27" s="107">
        <v>4658350.1016000006</v>
      </c>
      <c r="F27" s="41">
        <f t="shared" si="19"/>
        <v>5.8828693585906436E-2</v>
      </c>
      <c r="G27" s="23">
        <f t="shared" si="20"/>
        <v>-179167.3116000006</v>
      </c>
      <c r="H27" s="94">
        <f t="shared" si="21"/>
        <v>-3.8461538461538538</v>
      </c>
      <c r="I27" s="23">
        <v>4267642.09</v>
      </c>
      <c r="J27" s="41">
        <f t="shared" si="22"/>
        <v>5.7213034270505475E-2</v>
      </c>
      <c r="K27" s="23">
        <f t="shared" si="23"/>
        <v>211540.70000000019</v>
      </c>
      <c r="L27" s="94">
        <f t="shared" si="24"/>
        <v>4.956851946316803</v>
      </c>
      <c r="M27" s="73" t="s">
        <v>154</v>
      </c>
    </row>
    <row r="28" spans="1:13" ht="15" hidden="1" customHeight="1">
      <c r="A28" s="21">
        <v>7148</v>
      </c>
      <c r="B28" s="22" t="s">
        <v>24</v>
      </c>
      <c r="C28" s="82"/>
      <c r="D28" s="41">
        <f t="shared" si="18"/>
        <v>0</v>
      </c>
      <c r="E28" s="109">
        <v>0</v>
      </c>
      <c r="F28" s="41">
        <f t="shared" si="19"/>
        <v>0</v>
      </c>
      <c r="G28" s="76">
        <f t="shared" si="2"/>
        <v>0</v>
      </c>
      <c r="H28" s="94" t="e">
        <f t="shared" si="3"/>
        <v>#DIV/0!</v>
      </c>
      <c r="I28" s="82"/>
      <c r="J28" s="41">
        <f t="shared" si="4"/>
        <v>0</v>
      </c>
      <c r="K28" s="76">
        <f t="shared" si="6"/>
        <v>0</v>
      </c>
      <c r="L28" s="94" t="e">
        <f t="shared" si="5"/>
        <v>#DIV/0!</v>
      </c>
      <c r="M28" s="72" t="s">
        <v>101</v>
      </c>
    </row>
    <row r="29" spans="1:13" ht="15" customHeight="1">
      <c r="A29" s="21">
        <v>7149</v>
      </c>
      <c r="B29" s="22" t="s">
        <v>25</v>
      </c>
      <c r="C29" s="82">
        <v>3366978.43</v>
      </c>
      <c r="D29" s="41">
        <f t="shared" si="18"/>
        <v>4.2520407021531856E-2</v>
      </c>
      <c r="E29" s="109">
        <v>3602666.9201000002</v>
      </c>
      <c r="F29" s="41">
        <f t="shared" si="19"/>
        <v>4.549683551303909E-2</v>
      </c>
      <c r="G29" s="76">
        <f t="shared" si="2"/>
        <v>-235688.49010000005</v>
      </c>
      <c r="H29" s="94">
        <f t="shared" si="3"/>
        <v>-6.5420560747663501</v>
      </c>
      <c r="I29" s="82">
        <v>2958741.4299999992</v>
      </c>
      <c r="J29" s="41">
        <f t="shared" si="4"/>
        <v>3.9665597831835597E-2</v>
      </c>
      <c r="K29" s="76">
        <f t="shared" si="6"/>
        <v>408237.00000000093</v>
      </c>
      <c r="L29" s="94">
        <f t="shared" si="5"/>
        <v>13.797657201832635</v>
      </c>
      <c r="M29" s="72" t="s">
        <v>102</v>
      </c>
    </row>
    <row r="30" spans="1:13" ht="15" customHeight="1">
      <c r="A30" s="18">
        <v>715</v>
      </c>
      <c r="B30" s="19" t="s">
        <v>26</v>
      </c>
      <c r="C30" s="20">
        <f>+SUM(C31:C34)</f>
        <v>11986663.25</v>
      </c>
      <c r="D30" s="40">
        <f t="shared" si="1"/>
        <v>0.15137542779566837</v>
      </c>
      <c r="E30" s="108">
        <f>+SUM(E31:E34)</f>
        <v>13490818.138900001</v>
      </c>
      <c r="F30" s="40">
        <f t="shared" si="0"/>
        <v>0.1703708800770348</v>
      </c>
      <c r="G30" s="20">
        <f t="shared" si="2"/>
        <v>-1504154.8889000006</v>
      </c>
      <c r="H30" s="89">
        <f t="shared" si="3"/>
        <v>-11.149471243429304</v>
      </c>
      <c r="I30" s="20">
        <f>+SUM(I31:I34)</f>
        <v>24232593.120000005</v>
      </c>
      <c r="J30" s="40">
        <f t="shared" si="4"/>
        <v>0.32486796019901837</v>
      </c>
      <c r="K30" s="20">
        <f t="shared" si="6"/>
        <v>-12245929.870000005</v>
      </c>
      <c r="L30" s="89">
        <f t="shared" si="5"/>
        <v>-50.534954345818697</v>
      </c>
      <c r="M30" s="71" t="s">
        <v>103</v>
      </c>
    </row>
    <row r="31" spans="1:13" ht="15" customHeight="1">
      <c r="A31" s="21">
        <v>7151</v>
      </c>
      <c r="B31" s="22" t="s">
        <v>27</v>
      </c>
      <c r="C31" s="82">
        <v>2302458.2300000004</v>
      </c>
      <c r="D31" s="41">
        <f t="shared" si="1"/>
        <v>2.9076949295952521E-2</v>
      </c>
      <c r="E31" s="109">
        <v>2532704.0530000008</v>
      </c>
      <c r="F31" s="41">
        <f t="shared" si="0"/>
        <v>3.1984644225547774E-2</v>
      </c>
      <c r="G31" s="76">
        <f t="shared" si="2"/>
        <v>-230245.82300000032</v>
      </c>
      <c r="H31" s="94">
        <f t="shared" si="3"/>
        <v>-9.0909090909091077</v>
      </c>
      <c r="I31" s="82">
        <v>1655233.8</v>
      </c>
      <c r="J31" s="41">
        <f t="shared" si="4"/>
        <v>2.2190461647897709E-2</v>
      </c>
      <c r="K31" s="76">
        <f t="shared" si="6"/>
        <v>647224.4300000004</v>
      </c>
      <c r="L31" s="94">
        <f t="shared" si="5"/>
        <v>39.101692461814196</v>
      </c>
      <c r="M31" s="72" t="s">
        <v>104</v>
      </c>
    </row>
    <row r="32" spans="1:13" ht="15" customHeight="1">
      <c r="A32" s="21">
        <v>7152</v>
      </c>
      <c r="B32" s="22" t="s">
        <v>28</v>
      </c>
      <c r="C32" s="82">
        <v>3173084.6100000003</v>
      </c>
      <c r="D32" s="41">
        <f t="shared" si="1"/>
        <v>4.0071788975184701E-2</v>
      </c>
      <c r="E32" s="109">
        <v>3458662.2249000007</v>
      </c>
      <c r="F32" s="41">
        <f t="shared" si="0"/>
        <v>4.3678249982951327E-2</v>
      </c>
      <c r="G32" s="76">
        <f t="shared" si="2"/>
        <v>-285577.61490000039</v>
      </c>
      <c r="H32" s="94">
        <f t="shared" si="3"/>
        <v>-8.2568807339449535</v>
      </c>
      <c r="I32" s="82">
        <v>13168871.460000001</v>
      </c>
      <c r="J32" s="41">
        <f t="shared" si="4"/>
        <v>0.17654505187075367</v>
      </c>
      <c r="K32" s="76">
        <f t="shared" si="6"/>
        <v>-9995786.8500000015</v>
      </c>
      <c r="L32" s="94">
        <f t="shared" si="5"/>
        <v>-75.904658044251278</v>
      </c>
      <c r="M32" s="72" t="s">
        <v>105</v>
      </c>
    </row>
    <row r="33" spans="1:16382">
      <c r="A33" s="21">
        <v>7153</v>
      </c>
      <c r="B33" s="22" t="s">
        <v>29</v>
      </c>
      <c r="C33" s="82">
        <v>2414558.6999999997</v>
      </c>
      <c r="D33" s="41">
        <f t="shared" si="1"/>
        <v>3.0492627391551425E-2</v>
      </c>
      <c r="E33" s="109">
        <v>2583577.8089999999</v>
      </c>
      <c r="F33" s="41">
        <f t="shared" si="0"/>
        <v>3.2627111308960031E-2</v>
      </c>
      <c r="G33" s="76">
        <f t="shared" si="2"/>
        <v>-169019.10900000017</v>
      </c>
      <c r="H33" s="94">
        <f t="shared" si="3"/>
        <v>-6.5420560747663643</v>
      </c>
      <c r="I33" s="82">
        <v>3182983.4399999995</v>
      </c>
      <c r="J33" s="41">
        <f t="shared" si="4"/>
        <v>4.267184004532381E-2</v>
      </c>
      <c r="K33" s="76">
        <f t="shared" si="6"/>
        <v>-768424.73999999976</v>
      </c>
      <c r="L33" s="94">
        <f t="shared" si="5"/>
        <v>-24.141650576730612</v>
      </c>
      <c r="M33" s="72" t="s">
        <v>106</v>
      </c>
    </row>
    <row r="34" spans="1:16382" s="3" customFormat="1" ht="15" customHeight="1">
      <c r="A34" s="21">
        <v>7155</v>
      </c>
      <c r="B34" s="22" t="s">
        <v>26</v>
      </c>
      <c r="C34" s="82">
        <v>4096561.71</v>
      </c>
      <c r="D34" s="41">
        <f t="shared" si="1"/>
        <v>5.1734062132979736E-2</v>
      </c>
      <c r="E34" s="109">
        <v>4915874.0520000001</v>
      </c>
      <c r="F34" s="41">
        <f t="shared" si="0"/>
        <v>6.2080874559575686E-2</v>
      </c>
      <c r="G34" s="76">
        <f t="shared" si="2"/>
        <v>-819312.34200000018</v>
      </c>
      <c r="H34" s="94">
        <f t="shared" si="3"/>
        <v>-16.666666666666671</v>
      </c>
      <c r="I34" s="82">
        <v>6225504.4199999999</v>
      </c>
      <c r="J34" s="41">
        <f t="shared" si="4"/>
        <v>8.3460606635043136E-2</v>
      </c>
      <c r="K34" s="76">
        <f t="shared" si="6"/>
        <v>-2128942.71</v>
      </c>
      <c r="L34" s="94">
        <f t="shared" si="5"/>
        <v>-34.197111854271242</v>
      </c>
      <c r="M34" s="72" t="s">
        <v>103</v>
      </c>
      <c r="N34" s="1"/>
      <c r="O34" s="1"/>
      <c r="P34" s="1"/>
    </row>
    <row r="35" spans="1:16382" ht="15" hidden="1" customHeight="1">
      <c r="A35" s="18">
        <v>73</v>
      </c>
      <c r="B35" s="102" t="s">
        <v>184</v>
      </c>
      <c r="C35" s="108">
        <v>0</v>
      </c>
      <c r="D35" s="110">
        <f t="shared" si="1"/>
        <v>0</v>
      </c>
      <c r="E35" s="108"/>
      <c r="F35" s="40">
        <f t="shared" si="0"/>
        <v>0</v>
      </c>
      <c r="G35" s="20">
        <f t="shared" si="2"/>
        <v>0</v>
      </c>
      <c r="H35" s="89">
        <v>0</v>
      </c>
      <c r="I35" s="82">
        <v>135037.69</v>
      </c>
      <c r="J35" s="40">
        <f t="shared" si="4"/>
        <v>1.8103476868136089E-3</v>
      </c>
      <c r="K35" s="20">
        <f t="shared" si="6"/>
        <v>-135037.69</v>
      </c>
      <c r="L35" s="89">
        <v>0</v>
      </c>
      <c r="M35" s="71" t="s">
        <v>107</v>
      </c>
    </row>
    <row r="36" spans="1:16382" ht="15" customHeight="1">
      <c r="A36" s="18">
        <v>74</v>
      </c>
      <c r="B36" s="19" t="s">
        <v>179</v>
      </c>
      <c r="C36" s="20">
        <v>45696345.979999997</v>
      </c>
      <c r="D36" s="40">
        <f t="shared" si="1"/>
        <v>0.57708336149523265</v>
      </c>
      <c r="E36" s="20">
        <v>48438126.738799997</v>
      </c>
      <c r="F36" s="40">
        <f t="shared" si="0"/>
        <v>0.61170836318494659</v>
      </c>
      <c r="G36" s="20">
        <f t="shared" si="2"/>
        <v>-2741780.7588</v>
      </c>
      <c r="H36" s="89">
        <f t="shared" si="3"/>
        <v>-5.6603773584905639</v>
      </c>
      <c r="I36" s="20">
        <v>45170756.710000001</v>
      </c>
      <c r="J36" s="40">
        <f t="shared" si="4"/>
        <v>0.60557000731846644</v>
      </c>
      <c r="K36" s="20">
        <f t="shared" si="6"/>
        <v>525589.26999999583</v>
      </c>
      <c r="L36" s="89">
        <f t="shared" si="5"/>
        <v>1.163560914806709</v>
      </c>
      <c r="M36" s="71" t="s">
        <v>108</v>
      </c>
    </row>
    <row r="37" spans="1:16382" s="34" customFormat="1" ht="15" customHeight="1">
      <c r="A37" s="31"/>
      <c r="B37" s="32" t="s">
        <v>71</v>
      </c>
      <c r="C37" s="33">
        <f>+C38+C48+C49++C50+C51+C52+C53+C54</f>
        <v>310016308.77000004</v>
      </c>
      <c r="D37" s="43">
        <f t="shared" si="1"/>
        <v>3.9150888270505786</v>
      </c>
      <c r="E37" s="33">
        <f>+E38+E48+E49++E50+E51+E52+E53+E54</f>
        <v>325708473.02058005</v>
      </c>
      <c r="F37" s="43">
        <f t="shared" si="0"/>
        <v>4.1132597464239442</v>
      </c>
      <c r="G37" s="33">
        <f t="shared" si="2"/>
        <v>-15692164.250580013</v>
      </c>
      <c r="H37" s="99">
        <f t="shared" si="3"/>
        <v>-4.8178557054573474</v>
      </c>
      <c r="I37" s="33">
        <f>+I38+I48+I49++I50+I51+I52+I53+I54</f>
        <v>275058765.17300004</v>
      </c>
      <c r="J37" s="43">
        <f t="shared" si="4"/>
        <v>3.687503831476592</v>
      </c>
      <c r="K37" s="33">
        <f t="shared" si="6"/>
        <v>34957543.597000003</v>
      </c>
      <c r="L37" s="99">
        <f t="shared" si="5"/>
        <v>12.709118204254736</v>
      </c>
      <c r="M37" s="70" t="s">
        <v>109</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row>
    <row r="38" spans="1:16382" ht="15" customHeight="1">
      <c r="A38" s="18">
        <v>41</v>
      </c>
      <c r="B38" s="19" t="s">
        <v>68</v>
      </c>
      <c r="C38" s="69">
        <f>SUM(C39:C47)</f>
        <v>95876102.100000009</v>
      </c>
      <c r="D38" s="40">
        <f t="shared" si="1"/>
        <v>1.2107861602576246</v>
      </c>
      <c r="E38" s="69">
        <f>SUM(E39:E47)</f>
        <v>99595759.042580009</v>
      </c>
      <c r="F38" s="40">
        <f t="shared" si="0"/>
        <v>1.2577604223347856</v>
      </c>
      <c r="G38" s="20">
        <f t="shared" si="2"/>
        <v>-3719656.9425799996</v>
      </c>
      <c r="H38" s="89">
        <f t="shared" si="3"/>
        <v>-3.7347543493189761</v>
      </c>
      <c r="I38" s="69">
        <f>SUM(I39:I47)</f>
        <v>91007670.560000017</v>
      </c>
      <c r="J38" s="40">
        <f t="shared" si="4"/>
        <v>1.2200706771612504</v>
      </c>
      <c r="K38" s="20">
        <f t="shared" si="6"/>
        <v>4868431.5399999917</v>
      </c>
      <c r="L38" s="89">
        <f t="shared" si="5"/>
        <v>5.3494738520862342</v>
      </c>
      <c r="M38" s="71" t="s">
        <v>110</v>
      </c>
    </row>
    <row r="39" spans="1:16382" ht="15" customHeight="1">
      <c r="A39" s="21">
        <v>411</v>
      </c>
      <c r="B39" s="22" t="s">
        <v>30</v>
      </c>
      <c r="C39" s="23">
        <v>55057435.289999999</v>
      </c>
      <c r="D39" s="41">
        <f t="shared" si="1"/>
        <v>0.69530132335669637</v>
      </c>
      <c r="E39" s="23">
        <v>56709158.348700002</v>
      </c>
      <c r="F39" s="41">
        <f>+E39/$E$2*100</f>
        <v>0.71616036305739728</v>
      </c>
      <c r="G39" s="23">
        <f>+C39-E39</f>
        <v>-1651723.0587000027</v>
      </c>
      <c r="H39" s="94">
        <f>+C39/E39*100-100</f>
        <v>-2.9126213592233086</v>
      </c>
      <c r="I39" s="23">
        <v>56353788.449999996</v>
      </c>
      <c r="J39" s="41">
        <f t="shared" si="4"/>
        <v>0.75549241521860278</v>
      </c>
      <c r="K39" s="23">
        <f t="shared" si="6"/>
        <v>-1296353.1599999964</v>
      </c>
      <c r="L39" s="94">
        <f t="shared" si="5"/>
        <v>-2.3003833382917804</v>
      </c>
      <c r="M39" s="72" t="s">
        <v>111</v>
      </c>
    </row>
    <row r="40" spans="1:16382" ht="15" customHeight="1">
      <c r="A40" s="21">
        <v>412</v>
      </c>
      <c r="B40" s="22" t="s">
        <v>31</v>
      </c>
      <c r="C40" s="23">
        <v>3880004.1099999994</v>
      </c>
      <c r="D40" s="41">
        <f t="shared" si="1"/>
        <v>4.8999231041232549E-2</v>
      </c>
      <c r="E40" s="23">
        <v>3988644.2250799993</v>
      </c>
      <c r="F40" s="41">
        <f t="shared" si="0"/>
        <v>5.0371209510387052E-2</v>
      </c>
      <c r="G40" s="23">
        <f t="shared" si="2"/>
        <v>-108640.1150799999</v>
      </c>
      <c r="H40" s="94">
        <f t="shared" si="3"/>
        <v>-2.7237354085603158</v>
      </c>
      <c r="I40" s="23">
        <v>3320107.3499999996</v>
      </c>
      <c r="J40" s="41">
        <f t="shared" si="4"/>
        <v>4.4510156098237164E-2</v>
      </c>
      <c r="K40" s="23">
        <f t="shared" si="6"/>
        <v>559896.75999999978</v>
      </c>
      <c r="L40" s="94">
        <f t="shared" si="5"/>
        <v>16.863814960681921</v>
      </c>
      <c r="M40" s="72" t="s">
        <v>112</v>
      </c>
    </row>
    <row r="41" spans="1:16382" ht="15" customHeight="1">
      <c r="A41" s="21">
        <v>413</v>
      </c>
      <c r="B41" s="22" t="s">
        <v>72</v>
      </c>
      <c r="C41" s="23">
        <v>6298503.6700000018</v>
      </c>
      <c r="D41" s="41">
        <f t="shared" si="1"/>
        <v>7.9541626191829279E-2</v>
      </c>
      <c r="E41" s="107">
        <v>6424473.7434000019</v>
      </c>
      <c r="F41" s="41">
        <f t="shared" si="0"/>
        <v>8.1132458715665864E-2</v>
      </c>
      <c r="G41" s="23">
        <f t="shared" si="2"/>
        <v>-125970.07340000011</v>
      </c>
      <c r="H41" s="94">
        <f t="shared" si="3"/>
        <v>-1.9607843137254974</v>
      </c>
      <c r="I41" s="23">
        <v>6321693.4500000002</v>
      </c>
      <c r="J41" s="41">
        <f t="shared" si="4"/>
        <v>8.4750139860599233E-2</v>
      </c>
      <c r="K41" s="23">
        <f t="shared" si="6"/>
        <v>-23189.779999998398</v>
      </c>
      <c r="L41" s="94">
        <f t="shared" si="5"/>
        <v>-0.36682860666074646</v>
      </c>
      <c r="M41" s="72" t="s">
        <v>113</v>
      </c>
    </row>
    <row r="42" spans="1:16382" ht="15" customHeight="1">
      <c r="A42" s="21">
        <v>414</v>
      </c>
      <c r="B42" s="22" t="s">
        <v>73</v>
      </c>
      <c r="C42" s="23">
        <v>8482480.540000001</v>
      </c>
      <c r="D42" s="41">
        <f t="shared" si="1"/>
        <v>0.1071223153375008</v>
      </c>
      <c r="E42" s="107">
        <v>8906604.5670000017</v>
      </c>
      <c r="F42" s="41">
        <f t="shared" si="0"/>
        <v>0.11247843110437585</v>
      </c>
      <c r="G42" s="23">
        <f t="shared" si="2"/>
        <v>-424124.0270000007</v>
      </c>
      <c r="H42" s="94">
        <f t="shared" si="3"/>
        <v>-4.7619047619047734</v>
      </c>
      <c r="I42" s="23">
        <v>8184860.9999999981</v>
      </c>
      <c r="J42" s="41">
        <f t="shared" si="4"/>
        <v>0.10972821127376305</v>
      </c>
      <c r="K42" s="23">
        <f t="shared" si="6"/>
        <v>297619.54000000283</v>
      </c>
      <c r="L42" s="94">
        <f t="shared" si="5"/>
        <v>3.6362198453950896</v>
      </c>
      <c r="M42" s="72" t="s">
        <v>114</v>
      </c>
    </row>
    <row r="43" spans="1:16382" ht="15.75" customHeight="1">
      <c r="A43" s="21">
        <v>415</v>
      </c>
      <c r="B43" s="22" t="s">
        <v>32</v>
      </c>
      <c r="C43" s="23">
        <v>5768667.3900000006</v>
      </c>
      <c r="D43" s="41">
        <f t="shared" si="1"/>
        <v>7.2850506914188304E-2</v>
      </c>
      <c r="E43" s="23">
        <v>5999414.0856000008</v>
      </c>
      <c r="F43" s="41">
        <f t="shared" si="0"/>
        <v>7.576452719075584E-2</v>
      </c>
      <c r="G43" s="23">
        <f t="shared" si="2"/>
        <v>-230746.69560000021</v>
      </c>
      <c r="H43" s="94">
        <f t="shared" si="3"/>
        <v>-3.8461538461538396</v>
      </c>
      <c r="I43" s="23">
        <v>4016301.6999999993</v>
      </c>
      <c r="J43" s="41">
        <f t="shared" si="4"/>
        <v>5.3843504669996677E-2</v>
      </c>
      <c r="K43" s="23">
        <f t="shared" si="6"/>
        <v>1752365.6900000013</v>
      </c>
      <c r="L43" s="94">
        <f t="shared" si="5"/>
        <v>43.631326053020416</v>
      </c>
      <c r="M43" s="72" t="s">
        <v>115</v>
      </c>
    </row>
    <row r="44" spans="1:16382" ht="15" customHeight="1">
      <c r="A44" s="21">
        <v>416</v>
      </c>
      <c r="B44" s="22" t="s">
        <v>33</v>
      </c>
      <c r="C44" s="23">
        <v>1567702.48</v>
      </c>
      <c r="D44" s="41">
        <f t="shared" si="1"/>
        <v>1.9797972848393002E-2</v>
      </c>
      <c r="E44" s="23">
        <v>1614733.5544</v>
      </c>
      <c r="F44" s="41">
        <f t="shared" si="0"/>
        <v>2.0391912033844793E-2</v>
      </c>
      <c r="G44" s="23">
        <f t="shared" si="2"/>
        <v>-47031.074400000041</v>
      </c>
      <c r="H44" s="94">
        <f t="shared" si="3"/>
        <v>-2.9126213592232943</v>
      </c>
      <c r="I44" s="23">
        <v>1868988.92</v>
      </c>
      <c r="J44" s="41">
        <f t="shared" si="4"/>
        <v>2.5056114096755247E-2</v>
      </c>
      <c r="K44" s="23">
        <f t="shared" si="6"/>
        <v>-301286.43999999994</v>
      </c>
      <c r="L44" s="94">
        <f t="shared" si="5"/>
        <v>-16.120290322534387</v>
      </c>
      <c r="M44" s="72" t="s">
        <v>116</v>
      </c>
    </row>
    <row r="45" spans="1:16382" ht="15" customHeight="1">
      <c r="A45" s="21">
        <v>417</v>
      </c>
      <c r="B45" s="22" t="s">
        <v>34</v>
      </c>
      <c r="C45" s="23">
        <v>473118.17</v>
      </c>
      <c r="D45" s="41">
        <f t="shared" si="1"/>
        <v>5.9748458672728415E-3</v>
      </c>
      <c r="E45" s="23">
        <v>506236.44190000003</v>
      </c>
      <c r="F45" s="41">
        <f t="shared" si="0"/>
        <v>6.3930850779819418E-3</v>
      </c>
      <c r="G45" s="23">
        <f t="shared" si="2"/>
        <v>-33118.271900000051</v>
      </c>
      <c r="H45" s="94">
        <f t="shared" si="3"/>
        <v>-6.5420560747663643</v>
      </c>
      <c r="I45" s="23">
        <v>457196.19999999995</v>
      </c>
      <c r="J45" s="41">
        <f t="shared" si="4"/>
        <v>6.1292820033427113E-3</v>
      </c>
      <c r="K45" s="23">
        <f t="shared" si="6"/>
        <v>15921.97000000003</v>
      </c>
      <c r="L45" s="94">
        <f t="shared" si="5"/>
        <v>3.4825245704141992</v>
      </c>
      <c r="M45" s="72" t="s">
        <v>117</v>
      </c>
    </row>
    <row r="46" spans="1:16382" ht="15" customHeight="1">
      <c r="A46" s="21">
        <v>418</v>
      </c>
      <c r="B46" s="22" t="s">
        <v>35</v>
      </c>
      <c r="C46" s="23">
        <v>3860670.2800000003</v>
      </c>
      <c r="D46" s="41">
        <f t="shared" si="1"/>
        <v>4.8755070783608009E-2</v>
      </c>
      <c r="E46" s="23">
        <v>4015097.0912000006</v>
      </c>
      <c r="F46" s="41">
        <f t="shared" si="0"/>
        <v>5.0705273614952334E-2</v>
      </c>
      <c r="G46" s="23">
        <f t="shared" si="2"/>
        <v>-154426.81120000035</v>
      </c>
      <c r="H46" s="94">
        <f t="shared" si="3"/>
        <v>-3.8461538461538538</v>
      </c>
      <c r="I46" s="23">
        <v>3220939.43</v>
      </c>
      <c r="J46" s="41">
        <f t="shared" si="4"/>
        <v>4.3180687158283319E-2</v>
      </c>
      <c r="K46" s="23">
        <f t="shared" si="6"/>
        <v>639730.85000000009</v>
      </c>
      <c r="L46" s="94">
        <f t="shared" si="5"/>
        <v>19.861623104163755</v>
      </c>
      <c r="M46" s="72" t="s">
        <v>118</v>
      </c>
    </row>
    <row r="47" spans="1:16382" ht="15" customHeight="1">
      <c r="A47" s="21">
        <v>419</v>
      </c>
      <c r="B47" s="22" t="s">
        <v>36</v>
      </c>
      <c r="C47" s="23">
        <v>10487520.17</v>
      </c>
      <c r="D47" s="41">
        <f t="shared" si="1"/>
        <v>0.13244326791690345</v>
      </c>
      <c r="E47" s="23">
        <v>11431396.985300001</v>
      </c>
      <c r="F47" s="41">
        <f t="shared" si="0"/>
        <v>0.14436316202942479</v>
      </c>
      <c r="G47" s="23">
        <f t="shared" si="2"/>
        <v>-943876.81530000083</v>
      </c>
      <c r="H47" s="94">
        <f t="shared" si="3"/>
        <v>-8.2568807339449535</v>
      </c>
      <c r="I47" s="23">
        <v>7263794.0599999996</v>
      </c>
      <c r="J47" s="41">
        <f t="shared" si="4"/>
        <v>9.7380166781669858E-2</v>
      </c>
      <c r="K47" s="23">
        <f t="shared" si="6"/>
        <v>3223726.1100000003</v>
      </c>
      <c r="L47" s="94">
        <f t="shared" si="5"/>
        <v>44.380747628189255</v>
      </c>
      <c r="M47" s="72" t="s">
        <v>119</v>
      </c>
    </row>
    <row r="48" spans="1:16382" ht="15" customHeight="1">
      <c r="A48" s="18">
        <v>42</v>
      </c>
      <c r="B48" s="19" t="s">
        <v>37</v>
      </c>
      <c r="C48" s="20">
        <v>3000816.29</v>
      </c>
      <c r="D48" s="40">
        <f t="shared" si="1"/>
        <v>3.7896271894929598E-2</v>
      </c>
      <c r="E48" s="20">
        <v>3150857.1045000004</v>
      </c>
      <c r="F48" s="40">
        <f t="shared" si="0"/>
        <v>3.9791085489676081E-2</v>
      </c>
      <c r="G48" s="20">
        <f t="shared" si="2"/>
        <v>-150040.81450000033</v>
      </c>
      <c r="H48" s="89">
        <f t="shared" si="3"/>
        <v>-4.7619047619047734</v>
      </c>
      <c r="I48" s="20">
        <v>1448235.17</v>
      </c>
      <c r="J48" s="40">
        <f t="shared" si="4"/>
        <v>1.9415388325819356E-2</v>
      </c>
      <c r="K48" s="20">
        <f t="shared" si="6"/>
        <v>1552581.12</v>
      </c>
      <c r="L48" s="89">
        <f t="shared" si="5"/>
        <v>107.20504184413642</v>
      </c>
      <c r="M48" s="71" t="s">
        <v>120</v>
      </c>
    </row>
    <row r="49" spans="1:16382" ht="15" customHeight="1">
      <c r="A49" s="18">
        <v>43</v>
      </c>
      <c r="B49" s="19" t="s">
        <v>169</v>
      </c>
      <c r="C49" s="20">
        <v>96885928.530000016</v>
      </c>
      <c r="D49" s="40">
        <f t="shared" si="1"/>
        <v>1.2235389092631181</v>
      </c>
      <c r="E49" s="20">
        <v>101730224.95650002</v>
      </c>
      <c r="F49" s="40">
        <f t="shared" si="0"/>
        <v>1.2847158547262743</v>
      </c>
      <c r="G49" s="20">
        <f t="shared" si="2"/>
        <v>-4844296.4265000075</v>
      </c>
      <c r="H49" s="89">
        <f t="shared" si="3"/>
        <v>-4.7619047619047734</v>
      </c>
      <c r="I49" s="20">
        <v>81037740.47299999</v>
      </c>
      <c r="J49" s="40">
        <f t="shared" si="4"/>
        <v>1.0864114012161872</v>
      </c>
      <c r="K49" s="20">
        <f t="shared" si="6"/>
        <v>15848188.057000026</v>
      </c>
      <c r="L49" s="89">
        <f t="shared" si="5"/>
        <v>19.556552248986137</v>
      </c>
      <c r="M49" s="71" t="s">
        <v>126</v>
      </c>
    </row>
    <row r="50" spans="1:16382" ht="15" customHeight="1">
      <c r="A50" s="18">
        <v>44</v>
      </c>
      <c r="B50" s="19" t="s">
        <v>64</v>
      </c>
      <c r="C50" s="20">
        <v>92061820.070000023</v>
      </c>
      <c r="D50" s="40">
        <f t="shared" si="1"/>
        <v>1.1626169106522704</v>
      </c>
      <c r="E50" s="20">
        <v>97585529.274200022</v>
      </c>
      <c r="F50" s="40">
        <f t="shared" si="0"/>
        <v>1.2323739252914065</v>
      </c>
      <c r="G50" s="20">
        <f t="shared" si="2"/>
        <v>-5523709.2041999996</v>
      </c>
      <c r="H50" s="89">
        <f t="shared" si="3"/>
        <v>-5.6603773584905639</v>
      </c>
      <c r="I50" s="20">
        <v>73762063.870000005</v>
      </c>
      <c r="J50" s="40">
        <f t="shared" si="4"/>
        <v>0.98887193421075392</v>
      </c>
      <c r="K50" s="20">
        <f t="shared" si="6"/>
        <v>18299756.200000018</v>
      </c>
      <c r="L50" s="89">
        <f t="shared" si="5"/>
        <v>24.809170513791386</v>
      </c>
      <c r="M50" s="71" t="s">
        <v>127</v>
      </c>
    </row>
    <row r="51" spans="1:16382" ht="15" customHeight="1">
      <c r="A51" s="18">
        <v>45</v>
      </c>
      <c r="B51" s="19" t="s">
        <v>44</v>
      </c>
      <c r="C51" s="20">
        <v>0</v>
      </c>
      <c r="D51" s="40">
        <f t="shared" si="1"/>
        <v>0</v>
      </c>
      <c r="E51" s="20">
        <v>0</v>
      </c>
      <c r="F51" s="40">
        <f t="shared" si="0"/>
        <v>0</v>
      </c>
      <c r="G51" s="20">
        <f t="shared" si="2"/>
        <v>0</v>
      </c>
      <c r="H51" s="89">
        <f>+IFERROR(C51/E51*100-100,0)</f>
        <v>0</v>
      </c>
      <c r="I51" s="20">
        <v>405191.74</v>
      </c>
      <c r="J51" s="40">
        <f t="shared" si="4"/>
        <v>5.4320977293449051E-3</v>
      </c>
      <c r="K51" s="20">
        <f t="shared" si="6"/>
        <v>-405191.74</v>
      </c>
      <c r="L51" s="89">
        <f>+IFERROR(C51/I51*100-100,0)</f>
        <v>-100</v>
      </c>
      <c r="M51" s="71" t="s">
        <v>128</v>
      </c>
    </row>
    <row r="52" spans="1:16382" ht="15" customHeight="1">
      <c r="A52" s="18">
        <v>462</v>
      </c>
      <c r="B52" s="19" t="s">
        <v>45</v>
      </c>
      <c r="C52" s="20">
        <v>0</v>
      </c>
      <c r="D52" s="40">
        <f t="shared" si="1"/>
        <v>0</v>
      </c>
      <c r="E52" s="20">
        <v>0</v>
      </c>
      <c r="F52" s="40">
        <f t="shared" si="0"/>
        <v>0</v>
      </c>
      <c r="G52" s="20">
        <f t="shared" si="2"/>
        <v>0</v>
      </c>
      <c r="H52" s="89">
        <v>0</v>
      </c>
      <c r="I52" s="20">
        <v>0</v>
      </c>
      <c r="J52" s="40">
        <f t="shared" si="4"/>
        <v>0</v>
      </c>
      <c r="K52" s="20">
        <f t="shared" si="6"/>
        <v>0</v>
      </c>
      <c r="L52" s="89">
        <f>+IFERROR(C52/I52*100-100,0)</f>
        <v>0</v>
      </c>
      <c r="M52" s="71" t="s">
        <v>129</v>
      </c>
    </row>
    <row r="53" spans="1:16382" ht="15" customHeight="1">
      <c r="A53" s="18">
        <v>463</v>
      </c>
      <c r="B53" s="19" t="s">
        <v>46</v>
      </c>
      <c r="C53" s="20">
        <v>19790812.359999999</v>
      </c>
      <c r="D53" s="40">
        <f>+C53/$C$2*100</f>
        <v>0.24993132992359662</v>
      </c>
      <c r="E53" s="20">
        <v>21077215.163399998</v>
      </c>
      <c r="F53" s="40">
        <f>+E53/$E$2*100</f>
        <v>0.26617686636863042</v>
      </c>
      <c r="G53" s="20">
        <f>+C53-E53</f>
        <v>-1286402.8033999987</v>
      </c>
      <c r="H53" s="89">
        <f>+C53/E53*100-100</f>
        <v>-6.1032863849765278</v>
      </c>
      <c r="I53" s="20">
        <v>25014444.98</v>
      </c>
      <c r="J53" s="40">
        <v>0</v>
      </c>
      <c r="K53" s="20">
        <f>+C53-I53</f>
        <v>-5223632.620000001</v>
      </c>
      <c r="L53" s="89">
        <f>+C53/I53*100-100</f>
        <v>-20.882464608655098</v>
      </c>
      <c r="M53" s="71" t="s">
        <v>130</v>
      </c>
    </row>
    <row r="54" spans="1:16382" ht="15" customHeight="1">
      <c r="A54" s="18">
        <v>47</v>
      </c>
      <c r="B54" s="19" t="s">
        <v>47</v>
      </c>
      <c r="C54" s="20">
        <v>2400829.4200000004</v>
      </c>
      <c r="D54" s="40">
        <f t="shared" si="1"/>
        <v>3.0319245059038963E-2</v>
      </c>
      <c r="E54" s="20">
        <v>2568887.4794000005</v>
      </c>
      <c r="F54" s="40">
        <f t="shared" si="0"/>
        <v>3.2441592213171694E-2</v>
      </c>
      <c r="G54" s="20">
        <f t="shared" si="2"/>
        <v>-168058.05940000014</v>
      </c>
      <c r="H54" s="89">
        <f t="shared" si="3"/>
        <v>-6.5420560747663501</v>
      </c>
      <c r="I54" s="20">
        <v>2383418.3800000004</v>
      </c>
      <c r="J54" s="40">
        <f t="shared" si="4"/>
        <v>3.1952678922025697E-2</v>
      </c>
      <c r="K54" s="20">
        <f t="shared" si="6"/>
        <v>17411.040000000037</v>
      </c>
      <c r="L54" s="89">
        <f t="shared" si="5"/>
        <v>0.73050707949981586</v>
      </c>
      <c r="M54" s="71" t="s">
        <v>131</v>
      </c>
    </row>
    <row r="55" spans="1:16382" s="34" customFormat="1" ht="15" customHeight="1">
      <c r="A55" s="31"/>
      <c r="B55" s="32" t="s">
        <v>76</v>
      </c>
      <c r="C55" s="33">
        <f>+C6-C37</f>
        <v>11739303.400000036</v>
      </c>
      <c r="D55" s="43">
        <f t="shared" si="1"/>
        <v>0.14825160573340956</v>
      </c>
      <c r="E55" s="33">
        <f>+E6-E37</f>
        <v>14620732.731799901</v>
      </c>
      <c r="F55" s="43">
        <f t="shared" si="0"/>
        <v>0.18464018099134813</v>
      </c>
      <c r="G55" s="33">
        <f t="shared" si="2"/>
        <v>-2881429.3317998648</v>
      </c>
      <c r="H55" s="99">
        <f t="shared" si="3"/>
        <v>-19.707831232923056</v>
      </c>
      <c r="I55" s="33">
        <f>+I6-I37</f>
        <v>31144159.376999974</v>
      </c>
      <c r="J55" s="43">
        <f t="shared" si="4"/>
        <v>0.41752607650431722</v>
      </c>
      <c r="K55" s="33">
        <f t="shared" si="6"/>
        <v>-19404855.976999938</v>
      </c>
      <c r="L55" s="99">
        <f t="shared" si="5"/>
        <v>-62.306565228183572</v>
      </c>
      <c r="M55" s="70" t="s">
        <v>133</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row>
    <row r="56" spans="1:16382" ht="15" hidden="1" customHeight="1">
      <c r="A56" s="18"/>
      <c r="B56" s="19" t="s">
        <v>178</v>
      </c>
      <c r="C56" s="20">
        <v>0</v>
      </c>
      <c r="D56" s="40">
        <f>+C56/$C$2*100</f>
        <v>0</v>
      </c>
      <c r="E56" s="20">
        <v>0</v>
      </c>
      <c r="F56" s="40">
        <f>+E56/$E$2*100</f>
        <v>0</v>
      </c>
      <c r="G56" s="20">
        <f>+C56-E56</f>
        <v>0</v>
      </c>
      <c r="H56" s="89" t="e">
        <f>+C56/E56*100-100</f>
        <v>#DIV/0!</v>
      </c>
      <c r="I56" s="20">
        <v>0</v>
      </c>
      <c r="J56" s="40">
        <f t="shared" si="4"/>
        <v>0</v>
      </c>
      <c r="K56" s="20">
        <f>+C56-I56</f>
        <v>0</v>
      </c>
      <c r="L56" s="89" t="e">
        <f>+C56/I56*100-100</f>
        <v>#DIV/0!</v>
      </c>
      <c r="M56" s="71" t="s">
        <v>132</v>
      </c>
    </row>
    <row r="57" spans="1:16382" s="34" customFormat="1" ht="15" customHeight="1">
      <c r="A57" s="31"/>
      <c r="B57" s="32" t="s">
        <v>58</v>
      </c>
      <c r="C57" s="33">
        <f>+C55-C56</f>
        <v>11739303.400000036</v>
      </c>
      <c r="D57" s="43">
        <f t="shared" si="1"/>
        <v>0.14825160573340956</v>
      </c>
      <c r="E57" s="33">
        <f>+E55-E56</f>
        <v>14620732.731799901</v>
      </c>
      <c r="F57" s="43">
        <f t="shared" si="0"/>
        <v>0.18464018099134813</v>
      </c>
      <c r="G57" s="33">
        <f t="shared" si="2"/>
        <v>-2881429.3317998648</v>
      </c>
      <c r="H57" s="99">
        <f t="shared" si="3"/>
        <v>-19.707831232923056</v>
      </c>
      <c r="I57" s="33">
        <f>+I55-I56</f>
        <v>31144159.376999974</v>
      </c>
      <c r="J57" s="43">
        <f t="shared" si="4"/>
        <v>0.41752607650431722</v>
      </c>
      <c r="K57" s="33">
        <f t="shared" si="6"/>
        <v>-19404855.976999938</v>
      </c>
      <c r="L57" s="99">
        <f t="shared" si="5"/>
        <v>-62.306565228183572</v>
      </c>
      <c r="M57" s="70" t="s">
        <v>136</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row>
    <row r="58" spans="1:16382" s="34" customFormat="1" ht="15" customHeight="1">
      <c r="A58" s="31"/>
      <c r="B58" s="32" t="s">
        <v>74</v>
      </c>
      <c r="C58" s="33">
        <f>+C57+C44</f>
        <v>13307005.880000036</v>
      </c>
      <c r="D58" s="43">
        <f t="shared" si="1"/>
        <v>0.16804957858180256</v>
      </c>
      <c r="E58" s="33">
        <f>+E57+E44</f>
        <v>16235466.286199901</v>
      </c>
      <c r="F58" s="43">
        <f t="shared" si="0"/>
        <v>0.20503209302519293</v>
      </c>
      <c r="G58" s="33">
        <f t="shared" si="2"/>
        <v>-2928460.406199865</v>
      </c>
      <c r="H58" s="99">
        <f t="shared" si="3"/>
        <v>-18.037427164559162</v>
      </c>
      <c r="I58" s="33">
        <f>+I57+I44</f>
        <v>33013148.296999976</v>
      </c>
      <c r="J58" s="43">
        <f t="shared" si="4"/>
        <v>0.44258219060107246</v>
      </c>
      <c r="K58" s="33">
        <f t="shared" si="6"/>
        <v>-19706142.41699994</v>
      </c>
      <c r="L58" s="99">
        <f t="shared" si="5"/>
        <v>-59.691799884443945</v>
      </c>
      <c r="M58" s="70" t="s">
        <v>135</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row>
    <row r="59" spans="1:16382" s="34" customFormat="1" ht="15" customHeight="1">
      <c r="A59" s="31"/>
      <c r="B59" s="32" t="s">
        <v>75</v>
      </c>
      <c r="C59" s="33">
        <f>+C6-(C37-C50)</f>
        <v>103801123.47000006</v>
      </c>
      <c r="D59" s="43">
        <f t="shared" si="1"/>
        <v>1.3108685163856797</v>
      </c>
      <c r="E59" s="33">
        <f>+E6-(E37-E50)</f>
        <v>112206262.00599992</v>
      </c>
      <c r="F59" s="43">
        <f t="shared" si="0"/>
        <v>1.4170141062827546</v>
      </c>
      <c r="G59" s="33">
        <f t="shared" si="2"/>
        <v>-8405138.5359998643</v>
      </c>
      <c r="H59" s="99">
        <f t="shared" si="3"/>
        <v>-7.4907927469773767</v>
      </c>
      <c r="I59" s="33">
        <f>+I6-(I37-I50)</f>
        <v>104906223.24699998</v>
      </c>
      <c r="J59" s="43">
        <f t="shared" si="4"/>
        <v>1.4063980107150713</v>
      </c>
      <c r="K59" s="33">
        <f t="shared" si="6"/>
        <v>-1105099.7769999206</v>
      </c>
      <c r="L59" s="99">
        <f t="shared" si="5"/>
        <v>-1.0534167972075181</v>
      </c>
      <c r="M59" s="70" t="s">
        <v>134</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row>
    <row r="60" spans="1:16382" s="34" customFormat="1" ht="15" customHeight="1">
      <c r="A60" s="31"/>
      <c r="B60" s="32" t="s">
        <v>0</v>
      </c>
      <c r="C60" s="33">
        <f>+C61+C62</f>
        <v>12157631.48</v>
      </c>
      <c r="D60" s="43">
        <f t="shared" si="1"/>
        <v>0.15353452648860266</v>
      </c>
      <c r="E60" s="33">
        <f>+E61+E62</f>
        <v>12400784.1096</v>
      </c>
      <c r="F60" s="43">
        <f t="shared" si="0"/>
        <v>0.15660521701837468</v>
      </c>
      <c r="G60" s="33">
        <f t="shared" si="2"/>
        <v>-243152.62959999964</v>
      </c>
      <c r="H60" s="99">
        <f t="shared" si="3"/>
        <v>-1.9607843137254832</v>
      </c>
      <c r="I60" s="33">
        <f>+I61+I62</f>
        <v>10624546.300000001</v>
      </c>
      <c r="J60" s="43">
        <f t="shared" si="4"/>
        <v>0.14243521803171463</v>
      </c>
      <c r="K60" s="33">
        <f t="shared" si="6"/>
        <v>1533085.1799999997</v>
      </c>
      <c r="L60" s="99">
        <f t="shared" si="5"/>
        <v>14.429653151400927</v>
      </c>
      <c r="M60" s="70" t="s">
        <v>137</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row>
    <row r="61" spans="1:16382">
      <c r="A61" s="21">
        <v>4611</v>
      </c>
      <c r="B61" s="22" t="s">
        <v>51</v>
      </c>
      <c r="C61" s="23">
        <v>10416482.34</v>
      </c>
      <c r="D61" s="41">
        <f t="shared" si="1"/>
        <v>0.13154615571130895</v>
      </c>
      <c r="E61" s="23">
        <v>10624811.9868</v>
      </c>
      <c r="F61" s="41">
        <f t="shared" si="0"/>
        <v>0.13417707882553515</v>
      </c>
      <c r="G61" s="23">
        <f t="shared" si="2"/>
        <v>-208329.64680000022</v>
      </c>
      <c r="H61" s="94">
        <f t="shared" si="3"/>
        <v>-1.9607843137254974</v>
      </c>
      <c r="I61" s="23">
        <v>8924013.75</v>
      </c>
      <c r="J61" s="41">
        <f t="shared" si="4"/>
        <v>0.11963747046772896</v>
      </c>
      <c r="K61" s="23">
        <f t="shared" si="6"/>
        <v>1492468.5899999999</v>
      </c>
      <c r="L61" s="94">
        <f t="shared" si="5"/>
        <v>16.724185235595357</v>
      </c>
      <c r="M61" s="72" t="s">
        <v>138</v>
      </c>
    </row>
    <row r="62" spans="1:16382" ht="15" customHeight="1">
      <c r="A62" s="21">
        <v>4612</v>
      </c>
      <c r="B62" s="22" t="s">
        <v>52</v>
      </c>
      <c r="C62" s="23">
        <v>1741149.14</v>
      </c>
      <c r="D62" s="41">
        <f t="shared" si="1"/>
        <v>2.1988370777293677E-2</v>
      </c>
      <c r="E62" s="23">
        <v>1775972.1228</v>
      </c>
      <c r="F62" s="41">
        <f t="shared" si="0"/>
        <v>2.2428138192839554E-2</v>
      </c>
      <c r="G62" s="23">
        <f t="shared" si="2"/>
        <v>-34822.982800000114</v>
      </c>
      <c r="H62" s="94">
        <f t="shared" si="3"/>
        <v>-1.9607843137254974</v>
      </c>
      <c r="I62" s="23">
        <v>1700532.55</v>
      </c>
      <c r="J62" s="41">
        <f t="shared" si="4"/>
        <v>2.279774756398564E-2</v>
      </c>
      <c r="K62" s="23">
        <f t="shared" si="6"/>
        <v>40616.589999999851</v>
      </c>
      <c r="L62" s="94">
        <f t="shared" si="5"/>
        <v>2.3884629553253802</v>
      </c>
      <c r="M62" s="72" t="s">
        <v>139</v>
      </c>
    </row>
    <row r="63" spans="1:16382" ht="15" hidden="1" customHeight="1">
      <c r="A63" s="21">
        <v>463</v>
      </c>
      <c r="B63" s="22" t="s">
        <v>46</v>
      </c>
      <c r="C63" s="23"/>
      <c r="D63" s="41"/>
      <c r="E63" s="23"/>
      <c r="F63" s="41"/>
      <c r="G63" s="23"/>
      <c r="H63" s="94"/>
      <c r="I63" s="23"/>
      <c r="J63" s="41">
        <f t="shared" si="4"/>
        <v>0</v>
      </c>
      <c r="K63" s="23"/>
      <c r="L63" s="94"/>
      <c r="M63" s="72"/>
    </row>
    <row r="64" spans="1:16382" s="34" customFormat="1" ht="15" customHeight="1">
      <c r="A64" s="31">
        <v>4418</v>
      </c>
      <c r="B64" s="32" t="s">
        <v>62</v>
      </c>
      <c r="C64" s="33">
        <v>0</v>
      </c>
      <c r="D64" s="43">
        <f t="shared" si="1"/>
        <v>0</v>
      </c>
      <c r="E64" s="33">
        <v>0</v>
      </c>
      <c r="F64" s="43">
        <f t="shared" ref="F64:F73" si="25">+E64/$E$2*100</f>
        <v>0</v>
      </c>
      <c r="G64" s="33">
        <f t="shared" si="2"/>
        <v>0</v>
      </c>
      <c r="H64" s="99">
        <f>+IFERROR(C64/E64*100-100,0)</f>
        <v>0</v>
      </c>
      <c r="I64" s="33">
        <v>0</v>
      </c>
      <c r="J64" s="43">
        <f t="shared" si="4"/>
        <v>0</v>
      </c>
      <c r="K64" s="33">
        <f t="shared" si="6"/>
        <v>0</v>
      </c>
      <c r="L64" s="99">
        <f>+IFERROR(C64/I64*100-100,0)</f>
        <v>0</v>
      </c>
      <c r="M64" s="70" t="s">
        <v>140</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row>
    <row r="65" spans="1:16382" s="34" customFormat="1" ht="15" customHeight="1">
      <c r="A65" s="31">
        <v>45</v>
      </c>
      <c r="B65" s="32" t="s">
        <v>44</v>
      </c>
      <c r="C65" s="33">
        <v>95583.6</v>
      </c>
      <c r="D65" s="43">
        <f t="shared" si="1"/>
        <v>1.2070922523205153E-3</v>
      </c>
      <c r="E65" s="33">
        <v>0</v>
      </c>
      <c r="F65" s="43">
        <f t="shared" si="25"/>
        <v>0</v>
      </c>
      <c r="G65" s="33">
        <f t="shared" si="2"/>
        <v>95583.6</v>
      </c>
      <c r="H65" s="99">
        <f>+IFERROR(C65/E65*100-100,0)</f>
        <v>0</v>
      </c>
      <c r="I65" s="33">
        <v>0</v>
      </c>
      <c r="J65" s="43">
        <f t="shared" si="4"/>
        <v>0</v>
      </c>
      <c r="K65" s="33">
        <f t="shared" si="6"/>
        <v>95583.6</v>
      </c>
      <c r="L65" s="99">
        <f>+IFERROR(C65/I65*100-100,0)</f>
        <v>0</v>
      </c>
      <c r="M65" s="70" t="s">
        <v>128</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row>
    <row r="66" spans="1:16382" s="34" customFormat="1" ht="15" customHeight="1">
      <c r="A66" s="31"/>
      <c r="B66" s="32" t="s">
        <v>53</v>
      </c>
      <c r="C66" s="33">
        <f>+C57-C60-C64-C65</f>
        <v>-513911.67999996466</v>
      </c>
      <c r="D66" s="43">
        <f t="shared" si="1"/>
        <v>-6.4900130075136028E-3</v>
      </c>
      <c r="E66" s="33">
        <f>+E57-E60-E64-E65</f>
        <v>2219948.6221999004</v>
      </c>
      <c r="F66" s="43">
        <f t="shared" si="25"/>
        <v>2.8034963972973424E-2</v>
      </c>
      <c r="G66" s="33">
        <f t="shared" ref="G66:G73" si="26">+C66-E66</f>
        <v>-2733860.3021998652</v>
      </c>
      <c r="H66" s="99">
        <f t="shared" ref="H66:H73" si="27">+C66/E66*100-100</f>
        <v>-123.14971053207051</v>
      </c>
      <c r="I66" s="33">
        <f>+I57-I60-I64-I65</f>
        <v>20519613.076999974</v>
      </c>
      <c r="J66" s="43">
        <f t="shared" si="4"/>
        <v>0.27509085847260256</v>
      </c>
      <c r="K66" s="33">
        <f t="shared" ref="K66:K73" si="28">+C66-I66</f>
        <v>-21033524.75699994</v>
      </c>
      <c r="L66" s="99">
        <f t="shared" ref="L66:L73" si="29">+C66/I66*100-100</f>
        <v>-102.50449010939684</v>
      </c>
      <c r="M66" s="70" t="s">
        <v>141</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row>
    <row r="67" spans="1:16382" s="34" customFormat="1" ht="15" customHeight="1">
      <c r="A67" s="31"/>
      <c r="B67" s="32" t="s">
        <v>48</v>
      </c>
      <c r="C67" s="33">
        <f>+SUM(C68:C73)+C56</f>
        <v>513911.67999996617</v>
      </c>
      <c r="D67" s="43">
        <f t="shared" ref="D67:D73" si="30">+C67/$C$2*100</f>
        <v>6.4900130075136227E-3</v>
      </c>
      <c r="E67" s="33">
        <f>+SUM(E68:E73)+E56</f>
        <v>-2219948.6221999004</v>
      </c>
      <c r="F67" s="43">
        <f t="shared" si="25"/>
        <v>-2.8034963972973424E-2</v>
      </c>
      <c r="G67" s="33">
        <f t="shared" si="26"/>
        <v>2733860.3021998666</v>
      </c>
      <c r="H67" s="99">
        <f t="shared" si="27"/>
        <v>-123.14971053207059</v>
      </c>
      <c r="I67" s="33">
        <f>+SUM(I68:I73)+I56</f>
        <v>-20519613.07699997</v>
      </c>
      <c r="J67" s="43">
        <f t="shared" ref="J67:J73" si="31">+I67/$I$2*100</f>
        <v>-0.27509085847260251</v>
      </c>
      <c r="K67" s="33">
        <f t="shared" si="28"/>
        <v>21033524.756999936</v>
      </c>
      <c r="L67" s="99">
        <f t="shared" si="29"/>
        <v>-102.50449010939684</v>
      </c>
      <c r="M67" s="70" t="s">
        <v>142</v>
      </c>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c r="WVU67" s="1"/>
      <c r="WVV67" s="1"/>
      <c r="WVW67" s="1"/>
      <c r="WVX67" s="1"/>
      <c r="WVY67" s="1"/>
      <c r="WVZ67" s="1"/>
      <c r="WWA67" s="1"/>
      <c r="WWB67" s="1"/>
      <c r="WWC67" s="1"/>
      <c r="WWD67" s="1"/>
      <c r="WWE67" s="1"/>
      <c r="WWF67" s="1"/>
      <c r="WWG67" s="1"/>
      <c r="WWH67" s="1"/>
      <c r="WWI67" s="1"/>
      <c r="WWJ67" s="1"/>
      <c r="WWK67" s="1"/>
      <c r="WWL67" s="1"/>
      <c r="WWM67" s="1"/>
      <c r="WWN67" s="1"/>
      <c r="WWO67" s="1"/>
      <c r="WWP67" s="1"/>
      <c r="WWQ67" s="1"/>
      <c r="WWR67" s="1"/>
      <c r="WWS67" s="1"/>
      <c r="WWT67" s="1"/>
      <c r="WWU67" s="1"/>
      <c r="WWV67" s="1"/>
      <c r="WWW67" s="1"/>
      <c r="WWX67" s="1"/>
      <c r="WWY67" s="1"/>
      <c r="WWZ67" s="1"/>
      <c r="WXA67" s="1"/>
      <c r="WXB67" s="1"/>
      <c r="WXC67" s="1"/>
      <c r="WXD67" s="1"/>
      <c r="WXE67" s="1"/>
      <c r="WXF67" s="1"/>
      <c r="WXG67" s="1"/>
      <c r="WXH67" s="1"/>
      <c r="WXI67" s="1"/>
      <c r="WXJ67" s="1"/>
      <c r="WXK67" s="1"/>
      <c r="WXL67" s="1"/>
      <c r="WXM67" s="1"/>
      <c r="WXN67" s="1"/>
      <c r="WXO67" s="1"/>
      <c r="WXP67" s="1"/>
      <c r="WXQ67" s="1"/>
      <c r="WXR67" s="1"/>
      <c r="WXS67" s="1"/>
      <c r="WXT67" s="1"/>
      <c r="WXU67" s="1"/>
      <c r="WXV67" s="1"/>
      <c r="WXW67" s="1"/>
      <c r="WXX67" s="1"/>
      <c r="WXY67" s="1"/>
      <c r="WXZ67" s="1"/>
      <c r="WYA67" s="1"/>
      <c r="WYB67" s="1"/>
      <c r="WYC67" s="1"/>
      <c r="WYD67" s="1"/>
      <c r="WYE67" s="1"/>
      <c r="WYF67" s="1"/>
      <c r="WYG67" s="1"/>
      <c r="WYH67" s="1"/>
      <c r="WYI67" s="1"/>
      <c r="WYJ67" s="1"/>
      <c r="WYK67" s="1"/>
      <c r="WYL67" s="1"/>
      <c r="WYM67" s="1"/>
      <c r="WYN67" s="1"/>
      <c r="WYO67" s="1"/>
      <c r="WYP67" s="1"/>
      <c r="WYQ67" s="1"/>
      <c r="WYR67" s="1"/>
      <c r="WYS67" s="1"/>
      <c r="WYT67" s="1"/>
      <c r="WYU67" s="1"/>
      <c r="WYV67" s="1"/>
      <c r="WYW67" s="1"/>
      <c r="WYX67" s="1"/>
      <c r="WYY67" s="1"/>
      <c r="WYZ67" s="1"/>
      <c r="WZA67" s="1"/>
      <c r="WZB67" s="1"/>
      <c r="WZC67" s="1"/>
      <c r="WZD67" s="1"/>
      <c r="WZE67" s="1"/>
      <c r="WZF67" s="1"/>
      <c r="WZG67" s="1"/>
      <c r="WZH67" s="1"/>
      <c r="WZI67" s="1"/>
      <c r="WZJ67" s="1"/>
      <c r="WZK67" s="1"/>
      <c r="WZL67" s="1"/>
      <c r="WZM67" s="1"/>
      <c r="WZN67" s="1"/>
      <c r="WZO67" s="1"/>
      <c r="WZP67" s="1"/>
      <c r="WZQ67" s="1"/>
      <c r="WZR67" s="1"/>
      <c r="WZS67" s="1"/>
      <c r="WZT67" s="1"/>
      <c r="WZU67" s="1"/>
      <c r="WZV67" s="1"/>
      <c r="WZW67" s="1"/>
      <c r="WZX67" s="1"/>
      <c r="WZY67" s="1"/>
      <c r="WZZ67" s="1"/>
      <c r="XAA67" s="1"/>
      <c r="XAB67" s="1"/>
      <c r="XAC67" s="1"/>
      <c r="XAD67" s="1"/>
      <c r="XAE67" s="1"/>
      <c r="XAF67" s="1"/>
      <c r="XAG67" s="1"/>
      <c r="XAH67" s="1"/>
      <c r="XAI67" s="1"/>
      <c r="XAJ67" s="1"/>
      <c r="XAK67" s="1"/>
      <c r="XAL67" s="1"/>
      <c r="XAM67" s="1"/>
      <c r="XAN67" s="1"/>
      <c r="XAO67" s="1"/>
      <c r="XAP67" s="1"/>
      <c r="XAQ67" s="1"/>
      <c r="XAR67" s="1"/>
      <c r="XAS67" s="1"/>
      <c r="XAT67" s="1"/>
      <c r="XAU67" s="1"/>
      <c r="XAV67" s="1"/>
      <c r="XAW67" s="1"/>
      <c r="XAX67" s="1"/>
      <c r="XAY67" s="1"/>
      <c r="XAZ67" s="1"/>
      <c r="XBA67" s="1"/>
      <c r="XBB67" s="1"/>
      <c r="XBC67" s="1"/>
      <c r="XBD67" s="1"/>
      <c r="XBE67" s="1"/>
      <c r="XBF67" s="1"/>
      <c r="XBG67" s="1"/>
      <c r="XBH67" s="1"/>
      <c r="XBI67" s="1"/>
      <c r="XBJ67" s="1"/>
      <c r="XBK67" s="1"/>
      <c r="XBL67" s="1"/>
      <c r="XBM67" s="1"/>
      <c r="XBN67" s="1"/>
      <c r="XBO67" s="1"/>
      <c r="XBP67" s="1"/>
      <c r="XBQ67" s="1"/>
      <c r="XBR67" s="1"/>
      <c r="XBS67" s="1"/>
      <c r="XBT67" s="1"/>
      <c r="XBU67" s="1"/>
      <c r="XBV67" s="1"/>
      <c r="XBW67" s="1"/>
      <c r="XBX67" s="1"/>
      <c r="XBY67" s="1"/>
      <c r="XBZ67" s="1"/>
      <c r="XCA67" s="1"/>
      <c r="XCB67" s="1"/>
      <c r="XCC67" s="1"/>
      <c r="XCD67" s="1"/>
      <c r="XCE67" s="1"/>
      <c r="XCF67" s="1"/>
      <c r="XCG67" s="1"/>
      <c r="XCH67" s="1"/>
      <c r="XCI67" s="1"/>
      <c r="XCJ67" s="1"/>
      <c r="XCK67" s="1"/>
      <c r="XCL67" s="1"/>
      <c r="XCM67" s="1"/>
      <c r="XCN67" s="1"/>
      <c r="XCO67" s="1"/>
      <c r="XCP67" s="1"/>
      <c r="XCQ67" s="1"/>
      <c r="XCR67" s="1"/>
      <c r="XCS67" s="1"/>
      <c r="XCT67" s="1"/>
      <c r="XCU67" s="1"/>
      <c r="XCV67" s="1"/>
      <c r="XCW67" s="1"/>
      <c r="XCX67" s="1"/>
      <c r="XCY67" s="1"/>
      <c r="XCZ67" s="1"/>
      <c r="XDA67" s="1"/>
      <c r="XDB67" s="1"/>
      <c r="XDC67" s="1"/>
      <c r="XDD67" s="1"/>
      <c r="XDE67" s="1"/>
      <c r="XDF67" s="1"/>
      <c r="XDG67" s="1"/>
      <c r="XDH67" s="1"/>
      <c r="XDI67" s="1"/>
      <c r="XDJ67" s="1"/>
      <c r="XDK67" s="1"/>
      <c r="XDL67" s="1"/>
      <c r="XDM67" s="1"/>
      <c r="XDN67" s="1"/>
      <c r="XDO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1"/>
      <c r="XEN67" s="1"/>
      <c r="XEO67" s="1"/>
      <c r="XEP67" s="1"/>
      <c r="XEQ67" s="1"/>
      <c r="XER67" s="1"/>
      <c r="XES67" s="1"/>
      <c r="XET67" s="1"/>
      <c r="XEU67" s="1"/>
      <c r="XEV67" s="1"/>
      <c r="XEW67" s="1"/>
      <c r="XEX67" s="1"/>
      <c r="XEY67" s="1"/>
      <c r="XEZ67" s="1"/>
      <c r="XFA67" s="1"/>
      <c r="XFB67" s="1"/>
    </row>
    <row r="68" spans="1:16382">
      <c r="A68" s="21">
        <v>7511</v>
      </c>
      <c r="B68" s="22" t="s">
        <v>54</v>
      </c>
      <c r="C68" s="23">
        <v>2722436.54</v>
      </c>
      <c r="D68" s="41">
        <f t="shared" si="30"/>
        <v>3.43807102355244E-2</v>
      </c>
      <c r="E68" s="23">
        <v>3130802.0209999997</v>
      </c>
      <c r="F68" s="41">
        <f t="shared" si="25"/>
        <v>3.9537816770853058E-2</v>
      </c>
      <c r="G68" s="23">
        <f t="shared" si="26"/>
        <v>-408365.48099999968</v>
      </c>
      <c r="H68" s="94">
        <f t="shared" si="27"/>
        <v>-13.043478260869563</v>
      </c>
      <c r="I68" s="23">
        <v>1207821.6000000001</v>
      </c>
      <c r="J68" s="41">
        <f t="shared" si="31"/>
        <v>1.6192346297122767E-2</v>
      </c>
      <c r="K68" s="23">
        <f t="shared" si="28"/>
        <v>1514614.94</v>
      </c>
      <c r="L68" s="94">
        <f t="shared" si="29"/>
        <v>125.40055087605651</v>
      </c>
      <c r="M68" s="72" t="s">
        <v>143</v>
      </c>
    </row>
    <row r="69" spans="1:16382" ht="15" customHeight="1">
      <c r="A69" s="21">
        <v>7512</v>
      </c>
      <c r="B69" s="22" t="s">
        <v>49</v>
      </c>
      <c r="C69" s="23">
        <v>278756.42</v>
      </c>
      <c r="D69" s="41">
        <f t="shared" si="30"/>
        <v>3.5203184946643934E-3</v>
      </c>
      <c r="E69" s="23">
        <v>306632.06200000003</v>
      </c>
      <c r="F69" s="41">
        <f t="shared" si="25"/>
        <v>3.8723503441308329E-3</v>
      </c>
      <c r="G69" s="23">
        <f t="shared" si="26"/>
        <v>-27875.642000000051</v>
      </c>
      <c r="H69" s="94">
        <f t="shared" si="27"/>
        <v>-9.0909090909091077</v>
      </c>
      <c r="I69" s="23">
        <v>749434.96</v>
      </c>
      <c r="J69" s="41">
        <f t="shared" si="31"/>
        <v>1.0047104969384839E-2</v>
      </c>
      <c r="K69" s="23">
        <f t="shared" si="28"/>
        <v>-470678.54</v>
      </c>
      <c r="L69" s="94">
        <f t="shared" si="29"/>
        <v>-62.804454705449025</v>
      </c>
      <c r="M69" s="72" t="s">
        <v>144</v>
      </c>
    </row>
    <row r="70" spans="1:16382" ht="15" customHeight="1">
      <c r="A70" s="18">
        <v>72</v>
      </c>
      <c r="B70" s="19" t="s">
        <v>168</v>
      </c>
      <c r="C70" s="20">
        <v>5106308.3500000006</v>
      </c>
      <c r="D70" s="40">
        <f t="shared" si="30"/>
        <v>6.448580349813729E-2</v>
      </c>
      <c r="E70" s="20">
        <v>6893516.2725000009</v>
      </c>
      <c r="F70" s="40">
        <f t="shared" si="25"/>
        <v>8.705583472248532E-2</v>
      </c>
      <c r="G70" s="20">
        <f t="shared" si="26"/>
        <v>-1787207.9225000003</v>
      </c>
      <c r="H70" s="89">
        <f t="shared" si="27"/>
        <v>-25.925925925925924</v>
      </c>
      <c r="I70" s="20">
        <v>5527163.7100000009</v>
      </c>
      <c r="J70" s="40">
        <f t="shared" si="31"/>
        <v>7.4098483445907776E-2</v>
      </c>
      <c r="K70" s="20">
        <f t="shared" si="28"/>
        <v>-420855.36000000034</v>
      </c>
      <c r="L70" s="89">
        <f t="shared" si="29"/>
        <v>-7.6143096546709756</v>
      </c>
      <c r="M70" s="71" t="s">
        <v>145</v>
      </c>
    </row>
    <row r="71" spans="1:16382" ht="15" customHeight="1">
      <c r="A71" s="28">
        <v>73</v>
      </c>
      <c r="B71" s="19" t="s">
        <v>184</v>
      </c>
      <c r="C71" s="30">
        <v>213303.13</v>
      </c>
      <c r="D71" s="40">
        <f t="shared" si="30"/>
        <v>2.6937315148070971E-3</v>
      </c>
      <c r="E71" s="30">
        <v>255963.75599999999</v>
      </c>
      <c r="F71" s="40">
        <f t="shared" si="25"/>
        <v>3.2324778177685171E-3</v>
      </c>
      <c r="G71" s="20">
        <f t="shared" si="26"/>
        <v>-42660.625999999989</v>
      </c>
      <c r="H71" s="89">
        <f t="shared" si="27"/>
        <v>-16.666666666666657</v>
      </c>
      <c r="I71" s="30">
        <v>135037.69</v>
      </c>
      <c r="J71" s="40">
        <f t="shared" si="31"/>
        <v>1.8103476868136089E-3</v>
      </c>
      <c r="K71" s="20">
        <f t="shared" si="28"/>
        <v>78265.440000000002</v>
      </c>
      <c r="L71" s="89">
        <f t="shared" si="29"/>
        <v>57.958218923916718</v>
      </c>
      <c r="M71" s="74" t="s">
        <v>107</v>
      </c>
    </row>
    <row r="72" spans="1:16382" ht="15" customHeight="1">
      <c r="A72" s="28"/>
      <c r="B72" s="29" t="s">
        <v>150</v>
      </c>
      <c r="C72" s="30">
        <v>19577294.379999999</v>
      </c>
      <c r="D72" s="40">
        <f t="shared" si="30"/>
        <v>0.24723488514238806</v>
      </c>
      <c r="E72" s="30">
        <v>20360386.155200001</v>
      </c>
      <c r="F72" s="40">
        <f t="shared" ref="F72" si="32">+E72/$E$2*100</f>
        <v>0.25712428054808362</v>
      </c>
      <c r="G72" s="20">
        <f t="shared" ref="G72" si="33">+C72-E72</f>
        <v>-783091.7752000019</v>
      </c>
      <c r="H72" s="89">
        <f t="shared" ref="H72" si="34">+C72/E72*100-100</f>
        <v>-3.8461538461538538</v>
      </c>
      <c r="I72" s="30">
        <v>15856423.719999999</v>
      </c>
      <c r="J72" s="40">
        <f t="shared" ref="J72" si="35">+I72/$I$2*100</f>
        <v>0.21257502259286598</v>
      </c>
      <c r="K72" s="20">
        <f t="shared" ref="K72" si="36">+C72-I72</f>
        <v>3720870.66</v>
      </c>
      <c r="L72" s="89">
        <f t="shared" ref="L72" si="37">+C72/I72*100-100</f>
        <v>23.466014315111906</v>
      </c>
      <c r="M72" s="74" t="s">
        <v>151</v>
      </c>
    </row>
    <row r="73" spans="1:16382" ht="15" customHeight="1" thickBot="1">
      <c r="A73" s="24"/>
      <c r="B73" s="25" t="s">
        <v>189</v>
      </c>
      <c r="C73" s="26">
        <f>+-C66-SUM(C68:C72)</f>
        <v>-27384187.140000034</v>
      </c>
      <c r="D73" s="42">
        <f t="shared" si="30"/>
        <v>-0.34582543587800763</v>
      </c>
      <c r="E73" s="26">
        <f>+-E66-SUM(E68:E72)</f>
        <v>-33167248.8888999</v>
      </c>
      <c r="F73" s="42">
        <f t="shared" si="25"/>
        <v>-0.4188577241762948</v>
      </c>
      <c r="G73" s="26">
        <f t="shared" si="26"/>
        <v>5783061.7488998659</v>
      </c>
      <c r="H73" s="95">
        <f t="shared" si="27"/>
        <v>-17.436061001837516</v>
      </c>
      <c r="I73" s="26">
        <f>+-I66-(SUM(I68:I72)+I56)</f>
        <v>-43995494.756999969</v>
      </c>
      <c r="J73" s="42">
        <f t="shared" si="31"/>
        <v>-0.58981416346469751</v>
      </c>
      <c r="K73" s="26">
        <f t="shared" si="28"/>
        <v>16611307.616999935</v>
      </c>
      <c r="L73" s="95">
        <f t="shared" si="29"/>
        <v>-37.75683785066871</v>
      </c>
      <c r="M73" s="75" t="s">
        <v>146</v>
      </c>
    </row>
    <row r="74" spans="1:16382" ht="13.5" customHeight="1"/>
    <row r="76" spans="1:16382">
      <c r="B76" s="4" t="s">
        <v>188</v>
      </c>
    </row>
    <row r="77" spans="1:16382">
      <c r="B77" s="4" t="s">
        <v>193</v>
      </c>
    </row>
    <row r="78" spans="1:16382">
      <c r="G78" s="84"/>
    </row>
    <row r="80" spans="1:16382">
      <c r="J80" s="85"/>
    </row>
  </sheetData>
  <sheetProtection algorithmName="SHA-512" hashValue="JeNBqON4xJd6diWuqOr5f3VE+B2JPvvQtKyfd6+a4WmnECQjGUJ7qQWubb3zYzXO/uPgwlSJRYL4MjufaZAyCQ==" saltValue="nZTzVNeadkDWGEqlqhdmGQ==" spinCount="100000" sheet="1"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C67"/>
  <sheetViews>
    <sheetView zoomScale="90" zoomScaleNormal="90" zoomScaleSheetLayoutView="90" workbookViewId="0">
      <pane ySplit="5" topLeftCell="A6" activePane="bottomLeft" state="frozen"/>
      <selection activeCell="G14" sqref="G14"/>
      <selection pane="bottomLeft" activeCell="B1" sqref="B1"/>
    </sheetView>
  </sheetViews>
  <sheetFormatPr defaultColWidth="9.140625" defaultRowHeight="13.5"/>
  <cols>
    <col min="1" max="1" width="12.7109375" style="4" customWidth="1"/>
    <col min="2" max="2" width="65.7109375" style="4" bestFit="1" customWidth="1"/>
    <col min="3" max="3" width="9.140625" style="6"/>
    <col min="4" max="4" width="9.140625" style="4"/>
    <col min="5" max="5" width="9.140625" style="6"/>
    <col min="6" max="6" width="10" style="7" customWidth="1"/>
    <col min="7" max="7" width="10.42578125" style="6" customWidth="1"/>
    <col min="8" max="8" width="11.5703125" style="96" customWidth="1"/>
    <col min="9" max="9" width="9.140625" style="6"/>
    <col min="10" max="10" width="9.5703125" style="7" customWidth="1"/>
    <col min="11" max="11" width="11.28515625" style="6" customWidth="1"/>
    <col min="12" max="12" width="11.7109375" style="96" customWidth="1"/>
    <col min="13" max="13" width="53.85546875" style="4" customWidth="1"/>
    <col min="14" max="14" width="9.140625" style="1"/>
    <col min="15" max="15" width="12.140625" style="1" bestFit="1" customWidth="1"/>
    <col min="16" max="17" width="23.85546875" style="1" bestFit="1" customWidth="1"/>
    <col min="18" max="18" width="10.42578125" style="1" bestFit="1" customWidth="1"/>
    <col min="19" max="16384" width="9.140625" style="1"/>
  </cols>
  <sheetData>
    <row r="1" spans="1:16357" ht="18.75" customHeight="1" thickBot="1">
      <c r="B1" s="105"/>
      <c r="M1" s="5"/>
    </row>
    <row r="2" spans="1:16357" ht="15.75" customHeight="1" thickBot="1">
      <c r="A2" s="8" t="s">
        <v>57</v>
      </c>
      <c r="B2" s="8"/>
      <c r="C2" s="113">
        <f>'Centralna država-ek klas'!C2:D2</f>
        <v>7918500000</v>
      </c>
      <c r="D2" s="114"/>
      <c r="E2" s="113">
        <f>'Centralna država-ek klas'!E2:F2</f>
        <v>7918500000</v>
      </c>
      <c r="F2" s="114"/>
      <c r="G2" s="9"/>
      <c r="H2" s="97"/>
      <c r="I2" s="127">
        <f>+'Centralna država-ek klas'!I2:J2</f>
        <v>7459213000</v>
      </c>
      <c r="J2" s="128"/>
      <c r="K2" s="9"/>
      <c r="L2" s="97"/>
      <c r="M2" s="8" t="s">
        <v>77</v>
      </c>
    </row>
    <row r="3" spans="1:16357" ht="15" customHeight="1" thickBot="1">
      <c r="A3" s="8"/>
      <c r="B3" s="8"/>
      <c r="C3" s="11"/>
      <c r="D3" s="8"/>
      <c r="E3" s="11"/>
      <c r="F3" s="10"/>
      <c r="G3" s="11"/>
      <c r="H3" s="97"/>
      <c r="I3" s="11"/>
      <c r="J3" s="10"/>
      <c r="K3" s="11"/>
      <c r="L3" s="97"/>
      <c r="M3" s="8"/>
    </row>
    <row r="4" spans="1:16357" ht="15" customHeight="1">
      <c r="A4" s="119" t="s">
        <v>69</v>
      </c>
      <c r="B4" s="117" t="s">
        <v>70</v>
      </c>
      <c r="C4" s="123" t="s">
        <v>190</v>
      </c>
      <c r="D4" s="124"/>
      <c r="E4" s="125" t="s">
        <v>191</v>
      </c>
      <c r="F4" s="126"/>
      <c r="G4" s="121" t="s">
        <v>167</v>
      </c>
      <c r="H4" s="122"/>
      <c r="I4" s="121" t="s">
        <v>192</v>
      </c>
      <c r="J4" s="122"/>
      <c r="K4" s="121" t="s">
        <v>167</v>
      </c>
      <c r="L4" s="122"/>
      <c r="M4" s="115" t="s">
        <v>147</v>
      </c>
    </row>
    <row r="5" spans="1:16357" ht="24" customHeight="1">
      <c r="A5" s="120"/>
      <c r="B5" s="118"/>
      <c r="C5" s="12" t="s">
        <v>60</v>
      </c>
      <c r="D5" s="13" t="s">
        <v>55</v>
      </c>
      <c r="E5" s="12" t="s">
        <v>60</v>
      </c>
      <c r="F5" s="13" t="s">
        <v>55</v>
      </c>
      <c r="G5" s="12" t="s">
        <v>63</v>
      </c>
      <c r="H5" s="98" t="s">
        <v>61</v>
      </c>
      <c r="I5" s="12" t="s">
        <v>60</v>
      </c>
      <c r="J5" s="14" t="s">
        <v>55</v>
      </c>
      <c r="K5" s="12" t="s">
        <v>60</v>
      </c>
      <c r="L5" s="100" t="s">
        <v>61</v>
      </c>
      <c r="M5" s="116"/>
    </row>
    <row r="6" spans="1:16357" s="38" customFormat="1" ht="15" customHeight="1">
      <c r="A6" s="35"/>
      <c r="B6" s="36" t="s">
        <v>50</v>
      </c>
      <c r="C6" s="37">
        <f>+C7+C17+C22+C23+C24+C25+C26</f>
        <v>2421605853.1399999</v>
      </c>
      <c r="D6" s="44">
        <f>+C6/$C$2*100</f>
        <v>30.581623453179262</v>
      </c>
      <c r="E6" s="37">
        <f>+E7+E17+E22+E23+E24+E25+E26</f>
        <v>2460457543.7398772</v>
      </c>
      <c r="F6" s="44">
        <f t="shared" ref="F6:F52" si="0">+E6/$E$2*100</f>
        <v>31.072268027276344</v>
      </c>
      <c r="G6" s="37">
        <f>+C6-E6</f>
        <v>-38851690.599877357</v>
      </c>
      <c r="H6" s="101">
        <f>+C6/E6*100-100</f>
        <v>-1.5790433246339717</v>
      </c>
      <c r="I6" s="37">
        <f>+I7+I17+I22+I23+I24+I25+I26</f>
        <v>2382021872.6899996</v>
      </c>
      <c r="J6" s="44">
        <f>+I6/$I$2*100</f>
        <v>31.933957009807866</v>
      </c>
      <c r="K6" s="37">
        <f>+C6-I6</f>
        <v>39583980.450000286</v>
      </c>
      <c r="L6" s="101">
        <f>+C6/I6*100-100</f>
        <v>1.6617807293809079</v>
      </c>
      <c r="M6" s="79" t="s">
        <v>148</v>
      </c>
      <c r="N6" s="1"/>
      <c r="O6" s="1"/>
      <c r="P6" s="83"/>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row>
    <row r="7" spans="1:16357" ht="15" customHeight="1">
      <c r="A7" s="18">
        <v>711</v>
      </c>
      <c r="B7" s="19" t="s">
        <v>1</v>
      </c>
      <c r="C7" s="20">
        <f>+SUM(C8:C16)</f>
        <v>1892932818.9100001</v>
      </c>
      <c r="D7" s="40">
        <f t="shared" ref="D7:D56" si="1">+C7/$C$2*100</f>
        <v>23.905194404369514</v>
      </c>
      <c r="E7" s="20">
        <f>+SUM(E8:E16)</f>
        <v>1865730756.1843071</v>
      </c>
      <c r="F7" s="40">
        <f t="shared" si="0"/>
        <v>23.561668954780668</v>
      </c>
      <c r="G7" s="20">
        <f t="shared" ref="G7:G55" si="2">+C7-E7</f>
        <v>27202062.725692987</v>
      </c>
      <c r="H7" s="89">
        <f t="shared" ref="H7:H55" si="3">+C7/E7*100-100</f>
        <v>1.4579843654035614</v>
      </c>
      <c r="I7" s="20">
        <f>+SUM(I8:I16)</f>
        <v>1670465687.8799999</v>
      </c>
      <c r="J7" s="40">
        <f t="shared" ref="J7:J56" si="4">+I7/$I$2*100</f>
        <v>22.394663993104903</v>
      </c>
      <c r="K7" s="20">
        <f t="shared" ref="K7:K55" si="5">+C7-I7</f>
        <v>222467131.03000021</v>
      </c>
      <c r="L7" s="89">
        <f t="shared" ref="L7:L55" si="6">+C7/I7*100-100</f>
        <v>13.317671392121497</v>
      </c>
      <c r="M7" s="71" t="s">
        <v>78</v>
      </c>
      <c r="Q7" s="83"/>
    </row>
    <row r="8" spans="1:16357" ht="15" customHeight="1">
      <c r="A8" s="21">
        <v>7111</v>
      </c>
      <c r="B8" s="22" t="s">
        <v>2</v>
      </c>
      <c r="C8" s="23">
        <f>+'Centralna država-ek klas'!C8+'Lokalna država-ek klas '!C8</f>
        <v>161721251.88</v>
      </c>
      <c r="D8" s="41">
        <f t="shared" si="1"/>
        <v>2.0423218018564122</v>
      </c>
      <c r="E8" s="23">
        <f>+'Centralna država-ek klas'!E8+'Lokalna država-ek klas '!E8</f>
        <v>162160949.15062207</v>
      </c>
      <c r="F8" s="41">
        <f t="shared" si="0"/>
        <v>2.0478745867351402</v>
      </c>
      <c r="G8" s="23">
        <f t="shared" si="2"/>
        <v>-439697.2706220746</v>
      </c>
      <c r="H8" s="94">
        <f t="shared" si="3"/>
        <v>-0.27114867847355129</v>
      </c>
      <c r="I8" s="23">
        <f>+'Centralna država-ek klas'!I8+'Lokalna država-ek klas '!I8</f>
        <v>131980974.34999999</v>
      </c>
      <c r="J8" s="41">
        <f t="shared" si="4"/>
        <v>1.769368623070557</v>
      </c>
      <c r="K8" s="23">
        <f t="shared" si="5"/>
        <v>29740277.530000001</v>
      </c>
      <c r="L8" s="94">
        <f t="shared" si="6"/>
        <v>22.533761154946347</v>
      </c>
      <c r="M8" s="72" t="s">
        <v>79</v>
      </c>
      <c r="P8" s="86"/>
      <c r="Q8" s="86"/>
      <c r="R8" s="86"/>
    </row>
    <row r="9" spans="1:16357" ht="15" customHeight="1">
      <c r="A9" s="21">
        <v>7112</v>
      </c>
      <c r="B9" s="22" t="s">
        <v>3</v>
      </c>
      <c r="C9" s="23">
        <f>+'Centralna država-ek klas'!C9</f>
        <v>222547125.46000001</v>
      </c>
      <c r="D9" s="41">
        <f t="shared" si="1"/>
        <v>2.8104707389025698</v>
      </c>
      <c r="E9" s="23">
        <f>+'Centralna država-ek klas'!E9</f>
        <v>208716683.99093395</v>
      </c>
      <c r="F9" s="41">
        <f t="shared" si="0"/>
        <v>2.6358108731569607</v>
      </c>
      <c r="G9" s="23">
        <f t="shared" si="2"/>
        <v>13830441.469066054</v>
      </c>
      <c r="H9" s="94">
        <f t="shared" si="3"/>
        <v>6.6264187436337494</v>
      </c>
      <c r="I9" s="23">
        <f>+'Centralna država-ek klas'!I9</f>
        <v>204339140.29999998</v>
      </c>
      <c r="J9" s="41">
        <f t="shared" si="4"/>
        <v>2.7394195647717794</v>
      </c>
      <c r="K9" s="23">
        <f t="shared" si="5"/>
        <v>18207985.160000026</v>
      </c>
      <c r="L9" s="94">
        <f t="shared" si="6"/>
        <v>8.9106693574554612</v>
      </c>
      <c r="M9" s="72" t="s">
        <v>80</v>
      </c>
    </row>
    <row r="10" spans="1:16357" ht="15" customHeight="1">
      <c r="A10" s="21">
        <v>71131</v>
      </c>
      <c r="B10" s="22" t="s">
        <v>65</v>
      </c>
      <c r="C10" s="23">
        <f>+'Lokalna država-ek klas '!C9</f>
        <v>71942695.520000011</v>
      </c>
      <c r="D10" s="41">
        <f t="shared" si="1"/>
        <v>0.90853943954031702</v>
      </c>
      <c r="E10" s="23">
        <f>+'Lokalna država-ek klas '!E9</f>
        <v>76331199.946720004</v>
      </c>
      <c r="F10" s="41">
        <f t="shared" si="0"/>
        <v>0.96396034535227626</v>
      </c>
      <c r="G10" s="23">
        <f t="shared" si="2"/>
        <v>-4388504.4267199934</v>
      </c>
      <c r="H10" s="94">
        <f t="shared" si="3"/>
        <v>-5.749293119698379</v>
      </c>
      <c r="I10" s="23">
        <f>+'Lokalna država-ek klas '!I9</f>
        <v>62757715.889999993</v>
      </c>
      <c r="J10" s="41">
        <f t="shared" si="4"/>
        <v>0.84134500368872689</v>
      </c>
      <c r="K10" s="23">
        <f t="shared" si="5"/>
        <v>9184979.6300000176</v>
      </c>
      <c r="L10" s="94">
        <f t="shared" si="6"/>
        <v>14.635618106463923</v>
      </c>
      <c r="M10" s="72" t="s">
        <v>149</v>
      </c>
    </row>
    <row r="11" spans="1:16357" ht="15" customHeight="1">
      <c r="A11" s="21">
        <v>71132</v>
      </c>
      <c r="B11" s="22" t="s">
        <v>4</v>
      </c>
      <c r="C11" s="23">
        <f>+'Centralna država-ek klas'!C10+'Lokalna država-ek klas '!C10</f>
        <v>22326212.209999997</v>
      </c>
      <c r="D11" s="41">
        <f t="shared" si="1"/>
        <v>0.2819500184378354</v>
      </c>
      <c r="E11" s="23">
        <f>+'Centralna država-ek klas'!E10+'Lokalna država-ek klas '!E10</f>
        <v>23576480.093759999</v>
      </c>
      <c r="F11" s="41">
        <f t="shared" si="0"/>
        <v>0.2977392194703542</v>
      </c>
      <c r="G11" s="23">
        <f t="shared" si="2"/>
        <v>-1250267.8837600015</v>
      </c>
      <c r="H11" s="94">
        <f t="shared" si="3"/>
        <v>-5.3030303030303116</v>
      </c>
      <c r="I11" s="23">
        <f>+'Centralna država-ek klas'!I10+'Lokalna država-ek klas '!I10</f>
        <v>19163617.810000006</v>
      </c>
      <c r="J11" s="41">
        <f t="shared" si="4"/>
        <v>0.25691206042782272</v>
      </c>
      <c r="K11" s="23">
        <f t="shared" si="5"/>
        <v>3162594.3999999911</v>
      </c>
      <c r="L11" s="94">
        <f t="shared" si="6"/>
        <v>16.503117685584812</v>
      </c>
      <c r="M11" s="72" t="s">
        <v>81</v>
      </c>
    </row>
    <row r="12" spans="1:16357" ht="15" customHeight="1">
      <c r="A12" s="21">
        <v>7114</v>
      </c>
      <c r="B12" s="22" t="s">
        <v>5</v>
      </c>
      <c r="C12" s="23">
        <f>+'Centralna država-ek klas'!C11</f>
        <v>1030179987.1600001</v>
      </c>
      <c r="D12" s="41">
        <f t="shared" si="1"/>
        <v>13.009787045021154</v>
      </c>
      <c r="E12" s="23">
        <f>+'Centralna država-ek klas'!E11</f>
        <v>1011277285.8796604</v>
      </c>
      <c r="F12" s="41">
        <f t="shared" si="0"/>
        <v>12.771071363006381</v>
      </c>
      <c r="G12" s="23">
        <f t="shared" si="2"/>
        <v>18902701.280339718</v>
      </c>
      <c r="H12" s="94">
        <f t="shared" si="3"/>
        <v>1.8691907298102848</v>
      </c>
      <c r="I12" s="23">
        <f>+'Centralna država-ek klas'!I11</f>
        <v>901559862.32000005</v>
      </c>
      <c r="J12" s="41">
        <f t="shared" si="4"/>
        <v>12.086527926203477</v>
      </c>
      <c r="K12" s="23">
        <f t="shared" si="5"/>
        <v>128620124.84000003</v>
      </c>
      <c r="L12" s="94">
        <f t="shared" si="6"/>
        <v>14.266398740181231</v>
      </c>
      <c r="M12" s="72" t="s">
        <v>82</v>
      </c>
    </row>
    <row r="13" spans="1:16357" ht="15" customHeight="1">
      <c r="A13" s="21">
        <v>7115</v>
      </c>
      <c r="B13" s="22" t="s">
        <v>6</v>
      </c>
      <c r="C13" s="23">
        <f>+'Centralna država-ek klas'!C12</f>
        <v>298651176.82999998</v>
      </c>
      <c r="D13" s="41">
        <f t="shared" si="1"/>
        <v>3.7715625033781648</v>
      </c>
      <c r="E13" s="23">
        <f>+'Centralna država-ek klas'!E12</f>
        <v>302651764.85000002</v>
      </c>
      <c r="F13" s="41">
        <f t="shared" si="0"/>
        <v>3.822084546947023</v>
      </c>
      <c r="G13" s="23">
        <f t="shared" si="2"/>
        <v>-4000588.0200000405</v>
      </c>
      <c r="H13" s="94">
        <f t="shared" si="3"/>
        <v>-1.3218452639728753</v>
      </c>
      <c r="I13" s="23">
        <f>+'Centralna država-ek klas'!I12</f>
        <v>276915291.29000002</v>
      </c>
      <c r="J13" s="41">
        <f t="shared" si="4"/>
        <v>3.7123928662447367</v>
      </c>
      <c r="K13" s="23">
        <f t="shared" si="5"/>
        <v>21735885.539999962</v>
      </c>
      <c r="L13" s="94">
        <f t="shared" si="6"/>
        <v>7.8492904594557018</v>
      </c>
      <c r="M13" s="72" t="s">
        <v>83</v>
      </c>
    </row>
    <row r="14" spans="1:16357" ht="15" customHeight="1">
      <c r="A14" s="21">
        <v>7116</v>
      </c>
      <c r="B14" s="22" t="s">
        <v>7</v>
      </c>
      <c r="C14" s="23">
        <f>+'Centralna država-ek klas'!C13</f>
        <v>52309548.440000005</v>
      </c>
      <c r="D14" s="41">
        <f t="shared" si="1"/>
        <v>0.66059920995137966</v>
      </c>
      <c r="E14" s="23">
        <f>+'Centralna država-ek klas'!E13</f>
        <v>46874480.851110503</v>
      </c>
      <c r="F14" s="41">
        <f t="shared" si="0"/>
        <v>0.59196161963895311</v>
      </c>
      <c r="G14" s="23">
        <f t="shared" si="2"/>
        <v>5435067.588889502</v>
      </c>
      <c r="H14" s="94">
        <f t="shared" si="3"/>
        <v>11.59493927229434</v>
      </c>
      <c r="I14" s="23">
        <f>+'Centralna država-ek klas'!I13</f>
        <v>44689346.829999998</v>
      </c>
      <c r="J14" s="41">
        <f t="shared" si="4"/>
        <v>0.59911611090875139</v>
      </c>
      <c r="K14" s="23">
        <f t="shared" si="5"/>
        <v>7620201.6100000069</v>
      </c>
      <c r="L14" s="94">
        <f t="shared" si="6"/>
        <v>17.051494708543274</v>
      </c>
      <c r="M14" s="72" t="s">
        <v>84</v>
      </c>
    </row>
    <row r="15" spans="1:16357" ht="15" customHeight="1">
      <c r="A15" s="21"/>
      <c r="B15" s="22" t="s">
        <v>155</v>
      </c>
      <c r="C15" s="23">
        <f>+'Lokalna država-ek klas '!C11</f>
        <v>21340270.900000002</v>
      </c>
      <c r="D15" s="41">
        <f t="shared" si="1"/>
        <v>0.26949890635852752</v>
      </c>
      <c r="E15" s="23">
        <f>+'Lokalna država-ek klas '!E11</f>
        <v>22407284.445000004</v>
      </c>
      <c r="F15" s="41">
        <f t="shared" si="0"/>
        <v>0.28297385167645395</v>
      </c>
      <c r="G15" s="23">
        <f t="shared" si="2"/>
        <v>-1067013.5450000018</v>
      </c>
      <c r="H15" s="94">
        <f t="shared" si="3"/>
        <v>-4.7619047619047734</v>
      </c>
      <c r="I15" s="23">
        <f>+'Lokalna država-ek klas '!I11</f>
        <v>18032753.100000001</v>
      </c>
      <c r="J15" s="41">
        <f t="shared" si="4"/>
        <v>0.2417514166709008</v>
      </c>
      <c r="K15" s="23">
        <f t="shared" si="5"/>
        <v>3307517.8000000007</v>
      </c>
      <c r="L15" s="94">
        <f t="shared" si="6"/>
        <v>18.341723982235408</v>
      </c>
      <c r="M15" s="72" t="s">
        <v>156</v>
      </c>
    </row>
    <row r="16" spans="1:16357" ht="15" customHeight="1">
      <c r="A16" s="21">
        <v>7118</v>
      </c>
      <c r="B16" s="22" t="s">
        <v>59</v>
      </c>
      <c r="C16" s="23">
        <f>+'Centralna država-ek klas'!C14</f>
        <v>11914550.51</v>
      </c>
      <c r="D16" s="41">
        <f t="shared" si="1"/>
        <v>0.15046474092315465</v>
      </c>
      <c r="E16" s="23">
        <f>+'Centralna država-ek klas'!E14</f>
        <v>11734626.976500258</v>
      </c>
      <c r="F16" s="41">
        <f t="shared" si="0"/>
        <v>0.14819254879712393</v>
      </c>
      <c r="G16" s="23">
        <f t="shared" si="2"/>
        <v>179923.53349974193</v>
      </c>
      <c r="H16" s="94">
        <f t="shared" si="3"/>
        <v>1.5332701572879728</v>
      </c>
      <c r="I16" s="23">
        <f>+'Centralna država-ek klas'!I14</f>
        <v>11026985.989999998</v>
      </c>
      <c r="J16" s="41">
        <f t="shared" si="4"/>
        <v>0.14783042111815278</v>
      </c>
      <c r="K16" s="23">
        <f t="shared" si="5"/>
        <v>887564.52000000142</v>
      </c>
      <c r="L16" s="94">
        <f t="shared" si="6"/>
        <v>8.0490219249838901</v>
      </c>
      <c r="M16" s="72" t="s">
        <v>85</v>
      </c>
    </row>
    <row r="17" spans="1:16357" ht="15" customHeight="1">
      <c r="A17" s="18">
        <v>712</v>
      </c>
      <c r="B17" s="19" t="s">
        <v>8</v>
      </c>
      <c r="C17" s="20">
        <f>+SUM(C18:C21)</f>
        <v>290652989.25999999</v>
      </c>
      <c r="D17" s="40">
        <f t="shared" si="1"/>
        <v>3.6705561565953144</v>
      </c>
      <c r="E17" s="20">
        <f>+SUM(E18:E21)</f>
        <v>312814709.33659464</v>
      </c>
      <c r="F17" s="40">
        <f t="shared" si="0"/>
        <v>3.9504288607260802</v>
      </c>
      <c r="G17" s="20">
        <f t="shared" si="2"/>
        <v>-22161720.076594651</v>
      </c>
      <c r="H17" s="89">
        <f t="shared" si="3"/>
        <v>-7.0846157214263883</v>
      </c>
      <c r="I17" s="20">
        <f>+SUM(I18:I21)</f>
        <v>430168424.79000002</v>
      </c>
      <c r="J17" s="40">
        <f t="shared" si="4"/>
        <v>5.766941161084957</v>
      </c>
      <c r="K17" s="20">
        <f t="shared" si="5"/>
        <v>-139515435.53000003</v>
      </c>
      <c r="L17" s="89">
        <f t="shared" si="6"/>
        <v>-32.432746684768603</v>
      </c>
      <c r="M17" s="71" t="s">
        <v>86</v>
      </c>
    </row>
    <row r="18" spans="1:16357" ht="15" customHeight="1">
      <c r="A18" s="21">
        <v>7121</v>
      </c>
      <c r="B18" s="22" t="s">
        <v>9</v>
      </c>
      <c r="C18" s="23">
        <f>+'Centralna država-ek klas'!C16</f>
        <v>244892354.74000001</v>
      </c>
      <c r="D18" s="41">
        <f t="shared" si="1"/>
        <v>3.0926609173454569</v>
      </c>
      <c r="E18" s="23">
        <f>+'Centralna država-ek klas'!E16</f>
        <v>278233728.9084453</v>
      </c>
      <c r="F18" s="41">
        <f t="shared" si="0"/>
        <v>3.5137176095023719</v>
      </c>
      <c r="G18" s="23">
        <f t="shared" si="2"/>
        <v>-33341374.168445289</v>
      </c>
      <c r="H18" s="94">
        <f t="shared" si="3"/>
        <v>-11.983225146443871</v>
      </c>
      <c r="I18" s="23">
        <f>+'Centralna država-ek klas'!I16</f>
        <v>394493209.23000002</v>
      </c>
      <c r="J18" s="41">
        <f t="shared" si="4"/>
        <v>5.2886706577490141</v>
      </c>
      <c r="K18" s="23">
        <f t="shared" si="5"/>
        <v>-149600854.49000001</v>
      </c>
      <c r="L18" s="94">
        <f t="shared" si="6"/>
        <v>-37.922288898711756</v>
      </c>
      <c r="M18" s="72" t="s">
        <v>87</v>
      </c>
    </row>
    <row r="19" spans="1:16357" ht="15" customHeight="1">
      <c r="A19" s="21">
        <v>7122</v>
      </c>
      <c r="B19" s="22" t="s">
        <v>10</v>
      </c>
      <c r="C19" s="23">
        <f>+'Centralna država-ek klas'!C17</f>
        <v>5177992.8500000006</v>
      </c>
      <c r="D19" s="41">
        <f t="shared" si="1"/>
        <v>6.5391082275683535E-2</v>
      </c>
      <c r="E19" s="23">
        <f>+'Centralna država-ek klas'!E17</f>
        <v>4399928.3982469719</v>
      </c>
      <c r="F19" s="41">
        <f t="shared" si="0"/>
        <v>5.5565175200441651E-2</v>
      </c>
      <c r="G19" s="23">
        <f t="shared" si="2"/>
        <v>778064.45175302867</v>
      </c>
      <c r="H19" s="94">
        <f t="shared" si="3"/>
        <v>17.68357076135662</v>
      </c>
      <c r="I19" s="23">
        <f>+'Centralna država-ek klas'!I17</f>
        <v>3671378.62</v>
      </c>
      <c r="J19" s="41">
        <f t="shared" si="4"/>
        <v>4.9219383063602018E-2</v>
      </c>
      <c r="K19" s="23">
        <f t="shared" si="5"/>
        <v>1506614.2300000004</v>
      </c>
      <c r="L19" s="94">
        <f t="shared" si="6"/>
        <v>41.0367435761774</v>
      </c>
      <c r="M19" s="72" t="s">
        <v>88</v>
      </c>
    </row>
    <row r="20" spans="1:16357" ht="15" customHeight="1">
      <c r="A20" s="21">
        <v>7123</v>
      </c>
      <c r="B20" s="22" t="s">
        <v>11</v>
      </c>
      <c r="C20" s="23">
        <f>+'Centralna država-ek klas'!C18</f>
        <v>23745875.050000001</v>
      </c>
      <c r="D20" s="41">
        <f t="shared" si="1"/>
        <v>0.29987844983267031</v>
      </c>
      <c r="E20" s="23">
        <f>+'Centralna država-ek klas'!E18</f>
        <v>16960772.2269505</v>
      </c>
      <c r="F20" s="41">
        <f t="shared" si="0"/>
        <v>0.21419173109743639</v>
      </c>
      <c r="G20" s="23">
        <f t="shared" si="2"/>
        <v>6785102.8230495006</v>
      </c>
      <c r="H20" s="94">
        <f t="shared" si="3"/>
        <v>40.004680991281987</v>
      </c>
      <c r="I20" s="23">
        <f>+'Centralna država-ek klas'!I18</f>
        <v>18537804.940000001</v>
      </c>
      <c r="J20" s="41">
        <f t="shared" si="4"/>
        <v>0.24852226287143164</v>
      </c>
      <c r="K20" s="23">
        <f t="shared" si="5"/>
        <v>5208070.1099999994</v>
      </c>
      <c r="L20" s="94">
        <f t="shared" si="6"/>
        <v>28.094319294310139</v>
      </c>
      <c r="M20" s="72" t="s">
        <v>89</v>
      </c>
    </row>
    <row r="21" spans="1:16357" ht="15" customHeight="1">
      <c r="A21" s="21">
        <v>7124</v>
      </c>
      <c r="B21" s="22" t="s">
        <v>12</v>
      </c>
      <c r="C21" s="23">
        <f>+'Centralna država-ek klas'!C19</f>
        <v>16836766.620000001</v>
      </c>
      <c r="D21" s="41">
        <f t="shared" si="1"/>
        <v>0.21262570714150408</v>
      </c>
      <c r="E21" s="23">
        <f>+'Centralna država-ek klas'!E19</f>
        <v>13220279.80295188</v>
      </c>
      <c r="F21" s="41">
        <f t="shared" si="0"/>
        <v>0.16695434492583039</v>
      </c>
      <c r="G21" s="23">
        <f t="shared" si="2"/>
        <v>3616486.8170481212</v>
      </c>
      <c r="H21" s="94">
        <f t="shared" si="3"/>
        <v>27.355599661669913</v>
      </c>
      <c r="I21" s="23">
        <f>+'Centralna država-ek klas'!I19</f>
        <v>13466032</v>
      </c>
      <c r="J21" s="41">
        <f t="shared" si="4"/>
        <v>0.1805288574009081</v>
      </c>
      <c r="K21" s="23">
        <f t="shared" si="5"/>
        <v>3370734.620000001</v>
      </c>
      <c r="L21" s="94">
        <f t="shared" si="6"/>
        <v>25.031387271320909</v>
      </c>
      <c r="M21" s="72" t="s">
        <v>90</v>
      </c>
    </row>
    <row r="22" spans="1:16357" ht="15" customHeight="1">
      <c r="A22" s="18">
        <v>713</v>
      </c>
      <c r="B22" s="19" t="s">
        <v>13</v>
      </c>
      <c r="C22" s="20">
        <f>+'Centralna država-ek klas'!C20+'Lokalna država-ek klas '!C12</f>
        <v>16514779.229999999</v>
      </c>
      <c r="D22" s="40">
        <f t="shared" si="1"/>
        <v>0.20855943966660351</v>
      </c>
      <c r="E22" s="20">
        <f>+'Centralna država-ek klas'!E20+'Lokalna država-ek klas '!E12</f>
        <v>17814848.60397052</v>
      </c>
      <c r="F22" s="40">
        <f t="shared" si="0"/>
        <v>0.2249775665084362</v>
      </c>
      <c r="G22" s="20">
        <f t="shared" si="2"/>
        <v>-1300069.3739705216</v>
      </c>
      <c r="H22" s="89">
        <f t="shared" si="3"/>
        <v>-7.297672873182691</v>
      </c>
      <c r="I22" s="20">
        <f>+'Centralna država-ek klas'!I20+'Lokalna država-ek klas '!I12</f>
        <v>16163997.149999999</v>
      </c>
      <c r="J22" s="40">
        <f t="shared" si="4"/>
        <v>0.21669842582588802</v>
      </c>
      <c r="K22" s="20">
        <f t="shared" si="5"/>
        <v>350782.08000000007</v>
      </c>
      <c r="L22" s="89">
        <f t="shared" si="6"/>
        <v>2.1701444063914437</v>
      </c>
      <c r="M22" s="71" t="s">
        <v>91</v>
      </c>
    </row>
    <row r="23" spans="1:16357" ht="15" customHeight="1">
      <c r="A23" s="18">
        <v>714</v>
      </c>
      <c r="B23" s="19" t="s">
        <v>19</v>
      </c>
      <c r="C23" s="20">
        <f>+'Centralna država-ek klas'!C25+'Lokalna država-ek klas '!C19</f>
        <v>112899009.81999999</v>
      </c>
      <c r="D23" s="40">
        <f t="shared" si="1"/>
        <v>1.4257625790238049</v>
      </c>
      <c r="E23" s="20">
        <f>+'Centralna država-ek klas'!E25+'Lokalna država-ek klas '!E19</f>
        <v>118784136.13243985</v>
      </c>
      <c r="F23" s="40">
        <f t="shared" si="0"/>
        <v>1.5000838054232475</v>
      </c>
      <c r="G23" s="20">
        <f t="shared" si="2"/>
        <v>-5885126.3124398589</v>
      </c>
      <c r="H23" s="89">
        <f t="shared" si="3"/>
        <v>-4.9544716189021756</v>
      </c>
      <c r="I23" s="20">
        <f>+'Centralna država-ek klas'!I25+'Lokalna država-ek klas '!I19</f>
        <v>97905289.630000025</v>
      </c>
      <c r="J23" s="40">
        <f t="shared" si="4"/>
        <v>1.3125418141297216</v>
      </c>
      <c r="K23" s="20">
        <f t="shared" si="5"/>
        <v>14993720.189999968</v>
      </c>
      <c r="L23" s="89">
        <f t="shared" si="6"/>
        <v>15.314514922190298</v>
      </c>
      <c r="M23" s="71" t="s">
        <v>96</v>
      </c>
    </row>
    <row r="24" spans="1:16357" ht="15" customHeight="1">
      <c r="A24" s="18">
        <v>715</v>
      </c>
      <c r="B24" s="19" t="s">
        <v>26</v>
      </c>
      <c r="C24" s="20">
        <f>+'Centralna država-ek klas'!C32+'Lokalna država-ek klas '!C30</f>
        <v>51750183.219999999</v>
      </c>
      <c r="D24" s="40">
        <f t="shared" si="1"/>
        <v>0.65353517989518217</v>
      </c>
      <c r="E24" s="20">
        <f>+'Centralna država-ek klas'!E32+'Lokalna država-ek klas '!E30</f>
        <v>47152710.357098341</v>
      </c>
      <c r="F24" s="40">
        <f t="shared" si="0"/>
        <v>0.59547528391865046</v>
      </c>
      <c r="G24" s="20">
        <f t="shared" si="2"/>
        <v>4597472.8629016578</v>
      </c>
      <c r="H24" s="89">
        <f t="shared" si="3"/>
        <v>9.7501773028187273</v>
      </c>
      <c r="I24" s="20">
        <f>+'Centralna država-ek klas'!I32+'Lokalna država-ek klas '!I30</f>
        <v>98599528.370000005</v>
      </c>
      <c r="J24" s="40">
        <f t="shared" si="4"/>
        <v>1.3218489453243929</v>
      </c>
      <c r="K24" s="20">
        <f t="shared" si="5"/>
        <v>-46849345.150000006</v>
      </c>
      <c r="L24" s="89">
        <f t="shared" si="6"/>
        <v>-47.514776109471171</v>
      </c>
      <c r="M24" s="71" t="s">
        <v>103</v>
      </c>
    </row>
    <row r="25" spans="1:16357" ht="15" customHeight="1">
      <c r="A25" s="18">
        <v>73</v>
      </c>
      <c r="B25" s="19" t="s">
        <v>183</v>
      </c>
      <c r="C25" s="20">
        <f>+'Centralna država-ek klas'!C37+'Lokalna država-ek klas '!C35</f>
        <v>0</v>
      </c>
      <c r="D25" s="40">
        <f t="shared" si="1"/>
        <v>0</v>
      </c>
      <c r="E25" s="20">
        <f>+'Centralna država-ek klas'!E37+'Lokalna država-ek klas '!E35</f>
        <v>0</v>
      </c>
      <c r="F25" s="40">
        <f t="shared" si="0"/>
        <v>0</v>
      </c>
      <c r="G25" s="20">
        <f t="shared" si="2"/>
        <v>0</v>
      </c>
      <c r="H25" s="89">
        <f>+IFERROR(C25/E25*100-100,0)</f>
        <v>0</v>
      </c>
      <c r="I25" s="20">
        <f>+'Centralna država-ek klas'!I37+'Lokalna država-ek klas '!I35</f>
        <v>135037.69</v>
      </c>
      <c r="J25" s="40">
        <f t="shared" si="4"/>
        <v>1.8103476868136089E-3</v>
      </c>
      <c r="K25" s="20">
        <f t="shared" si="5"/>
        <v>-135037.69</v>
      </c>
      <c r="L25" s="89">
        <f>+IFERROR(C25/I25*100-100,0)</f>
        <v>-100</v>
      </c>
      <c r="M25" s="71" t="s">
        <v>107</v>
      </c>
    </row>
    <row r="26" spans="1:16357" ht="15" customHeight="1">
      <c r="A26" s="18">
        <v>74</v>
      </c>
      <c r="B26" s="19" t="s">
        <v>179</v>
      </c>
      <c r="C26" s="20">
        <f>+'Centralna država-ek klas'!C38+'Lokalna država-ek klas '!C36</f>
        <v>56856072.699999996</v>
      </c>
      <c r="D26" s="40">
        <f t="shared" si="1"/>
        <v>0.71801569362884388</v>
      </c>
      <c r="E26" s="20">
        <f>+'Centralna država-ek klas'!E38+'Lokalna država-ek klas '!E36</f>
        <v>98160383.1254666</v>
      </c>
      <c r="F26" s="40">
        <f t="shared" si="0"/>
        <v>1.2396335559192599</v>
      </c>
      <c r="G26" s="20">
        <f t="shared" si="2"/>
        <v>-41304310.425466605</v>
      </c>
      <c r="H26" s="89">
        <f t="shared" si="3"/>
        <v>-42.078391618207398</v>
      </c>
      <c r="I26" s="20">
        <f>+'Centralna država-ek klas'!I38+'Lokalna država-ek klas '!I36</f>
        <v>68583907.180000007</v>
      </c>
      <c r="J26" s="40">
        <f t="shared" si="4"/>
        <v>0.9194523226511967</v>
      </c>
      <c r="K26" s="20">
        <f t="shared" si="5"/>
        <v>-11727834.480000012</v>
      </c>
      <c r="L26" s="89">
        <f t="shared" si="6"/>
        <v>-17.099980100608803</v>
      </c>
      <c r="M26" s="71" t="s">
        <v>108</v>
      </c>
    </row>
    <row r="27" spans="1:16357" s="38" customFormat="1" ht="15" customHeight="1">
      <c r="A27" s="35"/>
      <c r="B27" s="36" t="s">
        <v>71</v>
      </c>
      <c r="C27" s="37">
        <f>+C28+C38+C39+C40+C41+C42+C43+C44</f>
        <v>2498176653.6499996</v>
      </c>
      <c r="D27" s="44">
        <f t="shared" si="1"/>
        <v>31.548609631243284</v>
      </c>
      <c r="E27" s="37">
        <f>+E28+E38+E39+E40+E41+E42+E43+E44</f>
        <v>2632318229.2005801</v>
      </c>
      <c r="F27" s="44">
        <f t="shared" si="0"/>
        <v>33.242637231806277</v>
      </c>
      <c r="G27" s="37">
        <f>+C27-E27</f>
        <v>-134141575.5505805</v>
      </c>
      <c r="H27" s="101">
        <f t="shared" si="3"/>
        <v>-5.0959482809689973</v>
      </c>
      <c r="I27" s="37">
        <f>+I28+I38+I39+I40+I41+I42+I43+I44</f>
        <v>2262756773.8629999</v>
      </c>
      <c r="J27" s="44">
        <f t="shared" si="4"/>
        <v>30.335060466338742</v>
      </c>
      <c r="K27" s="37">
        <f t="shared" si="5"/>
        <v>235419879.7869997</v>
      </c>
      <c r="L27" s="101">
        <f t="shared" si="6"/>
        <v>10.404117778204181</v>
      </c>
      <c r="M27" s="79" t="s">
        <v>109</v>
      </c>
      <c r="N27" s="1"/>
      <c r="O27" s="1"/>
      <c r="P27" s="83"/>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row>
    <row r="28" spans="1:16357" ht="15" customHeight="1">
      <c r="A28" s="18">
        <v>41</v>
      </c>
      <c r="B28" s="19" t="s">
        <v>68</v>
      </c>
      <c r="C28" s="20">
        <f>+SUM(C29:C37)</f>
        <v>933053242.3599999</v>
      </c>
      <c r="D28" s="40">
        <f t="shared" si="1"/>
        <v>11.783206950306244</v>
      </c>
      <c r="E28" s="20">
        <f>+SUM(E29:E37)</f>
        <v>1010933038.4525801</v>
      </c>
      <c r="F28" s="40">
        <f t="shared" si="0"/>
        <v>12.766723981215888</v>
      </c>
      <c r="G28" s="20">
        <f t="shared" si="2"/>
        <v>-77879796.092580199</v>
      </c>
      <c r="H28" s="89">
        <f t="shared" si="3"/>
        <v>-7.7037541687023747</v>
      </c>
      <c r="I28" s="20">
        <f>+SUM(I29:I37)</f>
        <v>881324953.82000029</v>
      </c>
      <c r="J28" s="40">
        <f t="shared" si="4"/>
        <v>11.815253885631103</v>
      </c>
      <c r="K28" s="20">
        <f t="shared" si="5"/>
        <v>51728288.539999604</v>
      </c>
      <c r="L28" s="89">
        <f t="shared" si="6"/>
        <v>5.8693774998415051</v>
      </c>
      <c r="M28" s="71" t="s">
        <v>110</v>
      </c>
    </row>
    <row r="29" spans="1:16357" ht="15" customHeight="1">
      <c r="A29" s="21">
        <v>411</v>
      </c>
      <c r="B29" s="22" t="s">
        <v>30</v>
      </c>
      <c r="C29" s="23">
        <f>+'Centralna država-ek klas'!C41+'Lokalna država-ek klas '!C39</f>
        <v>566108630.18000007</v>
      </c>
      <c r="D29" s="41">
        <f t="shared" si="1"/>
        <v>7.1491902529519491</v>
      </c>
      <c r="E29" s="23">
        <f>+'Centralna država-ek klas'!E41+'Lokalna država-ek klas '!E39</f>
        <v>580874928.62870014</v>
      </c>
      <c r="F29" s="41">
        <f t="shared" si="0"/>
        <v>7.3356687330769734</v>
      </c>
      <c r="G29" s="23">
        <f t="shared" si="2"/>
        <v>-14766298.44870007</v>
      </c>
      <c r="H29" s="94">
        <f t="shared" si="3"/>
        <v>-2.5420788057697052</v>
      </c>
      <c r="I29" s="23">
        <f>+'Centralna država-ek klas'!I41+'Lokalna država-ek klas '!I39</f>
        <v>560330886.68000007</v>
      </c>
      <c r="J29" s="41">
        <f t="shared" si="4"/>
        <v>7.5119303695979731</v>
      </c>
      <c r="K29" s="23">
        <f t="shared" si="5"/>
        <v>5777743.5</v>
      </c>
      <c r="L29" s="94">
        <f t="shared" si="6"/>
        <v>1.0311306475060604</v>
      </c>
      <c r="M29" s="72" t="s">
        <v>111</v>
      </c>
    </row>
    <row r="30" spans="1:16357" ht="15" customHeight="1">
      <c r="A30" s="21">
        <v>412</v>
      </c>
      <c r="B30" s="22" t="s">
        <v>31</v>
      </c>
      <c r="C30" s="23">
        <f>+'Centralna država-ek klas'!C42+'Lokalna država-ek klas '!C40</f>
        <v>20765187.800000001</v>
      </c>
      <c r="D30" s="41">
        <f t="shared" si="1"/>
        <v>0.26223638062764415</v>
      </c>
      <c r="E30" s="23">
        <f>+'Centralna država-ek klas'!E42+'Lokalna država-ek klas '!E40</f>
        <v>22931461.845079999</v>
      </c>
      <c r="F30" s="41">
        <f t="shared" si="0"/>
        <v>0.28959350691519858</v>
      </c>
      <c r="G30" s="23">
        <f t="shared" si="2"/>
        <v>-2166274.0450799987</v>
      </c>
      <c r="H30" s="94">
        <f t="shared" si="3"/>
        <v>-9.4467333121406654</v>
      </c>
      <c r="I30" s="23">
        <f>+'Centralna država-ek klas'!I42+'Lokalna država-ek klas '!I40</f>
        <v>16851036.199999999</v>
      </c>
      <c r="J30" s="41">
        <f t="shared" si="4"/>
        <v>0.225909036248194</v>
      </c>
      <c r="K30" s="23">
        <f t="shared" si="5"/>
        <v>3914151.6000000015</v>
      </c>
      <c r="L30" s="94">
        <f t="shared" si="6"/>
        <v>23.22795793412395</v>
      </c>
      <c r="M30" s="72" t="s">
        <v>112</v>
      </c>
    </row>
    <row r="31" spans="1:16357" ht="15" customHeight="1">
      <c r="A31" s="21">
        <v>413</v>
      </c>
      <c r="B31" s="22" t="s">
        <v>72</v>
      </c>
      <c r="C31" s="23">
        <f>+'Centralna država-ek klas'!C43+'Lokalna država-ek klas '!C41</f>
        <v>34128167.600000001</v>
      </c>
      <c r="D31" s="41">
        <f t="shared" si="1"/>
        <v>0.4309928345014839</v>
      </c>
      <c r="E31" s="23">
        <f>+'Centralna država-ek klas'!E43+'Lokalna država-ek klas '!E41</f>
        <v>42180206.203400001</v>
      </c>
      <c r="F31" s="41">
        <f t="shared" si="0"/>
        <v>0.53267924737513428</v>
      </c>
      <c r="G31" s="23">
        <f t="shared" si="2"/>
        <v>-8052038.6033999994</v>
      </c>
      <c r="H31" s="94">
        <f t="shared" si="3"/>
        <v>-19.089614129840243</v>
      </c>
      <c r="I31" s="23">
        <f>+'Centralna država-ek klas'!I43+'Lokalna država-ek klas '!I41</f>
        <v>30649645.280000001</v>
      </c>
      <c r="J31" s="41">
        <f t="shared" si="4"/>
        <v>0.41089650181594228</v>
      </c>
      <c r="K31" s="23">
        <f t="shared" si="5"/>
        <v>3478522.3200000003</v>
      </c>
      <c r="L31" s="94">
        <f t="shared" si="6"/>
        <v>11.349306943757227</v>
      </c>
      <c r="M31" s="72" t="s">
        <v>113</v>
      </c>
    </row>
    <row r="32" spans="1:16357" ht="15" customHeight="1">
      <c r="A32" s="21">
        <v>414</v>
      </c>
      <c r="B32" s="22" t="s">
        <v>73</v>
      </c>
      <c r="C32" s="23">
        <f>+'Centralna država-ek klas'!C44+'Lokalna država-ek klas '!C42</f>
        <v>62713735.439999998</v>
      </c>
      <c r="D32" s="41">
        <f t="shared" si="1"/>
        <v>0.79199009206289073</v>
      </c>
      <c r="E32" s="23">
        <f>+'Centralna država-ek klas'!E44+'Lokalna država-ek klas '!E42</f>
        <v>74876153.697000027</v>
      </c>
      <c r="F32" s="41">
        <f t="shared" si="0"/>
        <v>0.94558506910399731</v>
      </c>
      <c r="G32" s="23">
        <f t="shared" si="2"/>
        <v>-12162418.257000029</v>
      </c>
      <c r="H32" s="94">
        <f t="shared" si="3"/>
        <v>-16.24338011033187</v>
      </c>
      <c r="I32" s="23">
        <f>+'Centralna država-ek klas'!I44+'Lokalna država-ek klas '!I42</f>
        <v>49912441.609999999</v>
      </c>
      <c r="J32" s="41">
        <f t="shared" si="4"/>
        <v>0.66913817328986314</v>
      </c>
      <c r="K32" s="23">
        <f t="shared" si="5"/>
        <v>12801293.829999998</v>
      </c>
      <c r="L32" s="94">
        <f t="shared" si="6"/>
        <v>25.647500737441888</v>
      </c>
      <c r="M32" s="72" t="s">
        <v>114</v>
      </c>
    </row>
    <row r="33" spans="1:16357" ht="15.75" customHeight="1">
      <c r="A33" s="21">
        <v>415</v>
      </c>
      <c r="B33" s="22" t="s">
        <v>32</v>
      </c>
      <c r="C33" s="23">
        <f>+'Centralna država-ek klas'!C45+'Lokalna država-ek klas '!C43</f>
        <v>25305282.360000003</v>
      </c>
      <c r="D33" s="41">
        <f t="shared" si="1"/>
        <v>0.31957166584580415</v>
      </c>
      <c r="E33" s="23">
        <f>+'Centralna država-ek klas'!E45+'Lokalna država-ek klas '!E43</f>
        <v>32721813.2456</v>
      </c>
      <c r="F33" s="41">
        <f t="shared" si="0"/>
        <v>0.41323247137210334</v>
      </c>
      <c r="G33" s="23">
        <f t="shared" si="2"/>
        <v>-7416530.8855999969</v>
      </c>
      <c r="H33" s="94">
        <f t="shared" si="3"/>
        <v>-22.665403136231376</v>
      </c>
      <c r="I33" s="23">
        <f>+'Centralna država-ek klas'!I45+'Lokalna država-ek klas '!I43</f>
        <v>24810053.73</v>
      </c>
      <c r="J33" s="41">
        <f t="shared" si="4"/>
        <v>0.33260953575129171</v>
      </c>
      <c r="K33" s="23">
        <f t="shared" si="5"/>
        <v>495228.63000000268</v>
      </c>
      <c r="L33" s="94">
        <f t="shared" si="6"/>
        <v>1.9960804413783961</v>
      </c>
      <c r="M33" s="72" t="s">
        <v>115</v>
      </c>
    </row>
    <row r="34" spans="1:16357" ht="15" customHeight="1">
      <c r="A34" s="21">
        <v>416</v>
      </c>
      <c r="B34" s="22" t="s">
        <v>33</v>
      </c>
      <c r="C34" s="23">
        <f>+'Centralna država-ek klas'!C46+'Lokalna država-ek klas '!C44</f>
        <v>113102256.85000001</v>
      </c>
      <c r="D34" s="41">
        <f t="shared" si="1"/>
        <v>1.4283293155269308</v>
      </c>
      <c r="E34" s="23">
        <f>+'Centralna država-ek klas'!E46+'Lokalna država-ek klas '!E44</f>
        <v>116151808.7044</v>
      </c>
      <c r="F34" s="41">
        <f t="shared" si="0"/>
        <v>1.4668410520224791</v>
      </c>
      <c r="G34" s="23">
        <f t="shared" si="2"/>
        <v>-3049551.854399994</v>
      </c>
      <c r="H34" s="94">
        <f t="shared" si="3"/>
        <v>-2.6254880474233033</v>
      </c>
      <c r="I34" s="23">
        <f>+'Centralna država-ek klas'!I46+'Lokalna država-ek klas '!I44</f>
        <v>95981524.060000017</v>
      </c>
      <c r="J34" s="41">
        <f t="shared" si="4"/>
        <v>1.2867513511143873</v>
      </c>
      <c r="K34" s="23">
        <f t="shared" si="5"/>
        <v>17120732.789999992</v>
      </c>
      <c r="L34" s="94">
        <f t="shared" si="6"/>
        <v>17.837529626324184</v>
      </c>
      <c r="M34" s="72" t="s">
        <v>116</v>
      </c>
    </row>
    <row r="35" spans="1:16357" ht="15" customHeight="1">
      <c r="A35" s="21">
        <v>417</v>
      </c>
      <c r="B35" s="22" t="s">
        <v>34</v>
      </c>
      <c r="C35" s="23">
        <f>+'Centralna država-ek klas'!C47+'Lokalna država-ek klas '!C45</f>
        <v>9071964.6699999981</v>
      </c>
      <c r="D35" s="41">
        <f t="shared" si="1"/>
        <v>0.11456670669950114</v>
      </c>
      <c r="E35" s="23">
        <f>+'Centralna država-ek klas'!E47+'Lokalna država-ek klas '!E45</f>
        <v>10573639.3619</v>
      </c>
      <c r="F35" s="41">
        <f t="shared" si="0"/>
        <v>0.13353083743006883</v>
      </c>
      <c r="G35" s="23">
        <f t="shared" si="2"/>
        <v>-1501674.6919000018</v>
      </c>
      <c r="H35" s="94">
        <f t="shared" si="3"/>
        <v>-14.202060808986801</v>
      </c>
      <c r="I35" s="23">
        <f>+'Centralna država-ek klas'!I47+'Lokalna država-ek klas '!I45</f>
        <v>8394577.9600000009</v>
      </c>
      <c r="J35" s="41">
        <f t="shared" si="4"/>
        <v>0.11253972718033392</v>
      </c>
      <c r="K35" s="23">
        <f t="shared" si="5"/>
        <v>677386.70999999717</v>
      </c>
      <c r="L35" s="94">
        <f t="shared" si="6"/>
        <v>8.0693361027526436</v>
      </c>
      <c r="M35" s="72" t="s">
        <v>117</v>
      </c>
    </row>
    <row r="36" spans="1:16357" ht="15" customHeight="1">
      <c r="A36" s="21">
        <v>418</v>
      </c>
      <c r="B36" s="22" t="s">
        <v>35</v>
      </c>
      <c r="C36" s="23">
        <f>+'Centralna država-ek klas'!C48+'Lokalna država-ek klas '!C46</f>
        <v>43689976.429999985</v>
      </c>
      <c r="D36" s="41">
        <f t="shared" si="1"/>
        <v>0.55174561381574772</v>
      </c>
      <c r="E36" s="23">
        <f>+'Centralna država-ek klas'!E48+'Lokalna država-ek klas '!E46</f>
        <v>54536363.9212</v>
      </c>
      <c r="F36" s="41">
        <f t="shared" si="0"/>
        <v>0.68872089311359475</v>
      </c>
      <c r="G36" s="23">
        <f t="shared" si="2"/>
        <v>-10846387.491200015</v>
      </c>
      <c r="H36" s="94">
        <f t="shared" si="3"/>
        <v>-19.888358356402421</v>
      </c>
      <c r="I36" s="23">
        <f>+'Centralna država-ek klas'!I48+'Lokalna država-ek klas '!I46</f>
        <v>48110087.229999982</v>
      </c>
      <c r="J36" s="41">
        <f t="shared" si="4"/>
        <v>0.64497537783141434</v>
      </c>
      <c r="K36" s="23">
        <f t="shared" si="5"/>
        <v>-4420110.799999997</v>
      </c>
      <c r="L36" s="94">
        <f t="shared" si="6"/>
        <v>-9.1874927993141284</v>
      </c>
      <c r="M36" s="72" t="s">
        <v>118</v>
      </c>
    </row>
    <row r="37" spans="1:16357" ht="15" customHeight="1">
      <c r="A37" s="21">
        <v>419</v>
      </c>
      <c r="B37" s="22" t="s">
        <v>36</v>
      </c>
      <c r="C37" s="23">
        <f>+'Centralna država-ek klas'!C49+'Lokalna država-ek klas '!C47</f>
        <v>58168041.029999994</v>
      </c>
      <c r="D37" s="41">
        <f t="shared" si="1"/>
        <v>0.73458408827429433</v>
      </c>
      <c r="E37" s="23">
        <f>+'Centralna država-ek klas'!E49+'Lokalna država-ek klas '!E47</f>
        <v>76086662.845299974</v>
      </c>
      <c r="F37" s="41">
        <f t="shared" si="0"/>
        <v>0.96087217080633935</v>
      </c>
      <c r="G37" s="23">
        <f t="shared" si="2"/>
        <v>-17918621.81529998</v>
      </c>
      <c r="H37" s="94">
        <f t="shared" si="3"/>
        <v>-23.550279569669485</v>
      </c>
      <c r="I37" s="23">
        <f>+'Centralna država-ek klas'!I49+'Lokalna država-ek klas '!I47</f>
        <v>46284701.070000008</v>
      </c>
      <c r="J37" s="41">
        <f t="shared" si="4"/>
        <v>0.62050381280169919</v>
      </c>
      <c r="K37" s="23">
        <f t="shared" si="5"/>
        <v>11883339.959999986</v>
      </c>
      <c r="L37" s="94">
        <f t="shared" si="6"/>
        <v>25.674444655109426</v>
      </c>
      <c r="M37" s="72" t="s">
        <v>119</v>
      </c>
    </row>
    <row r="38" spans="1:16357" ht="15" customHeight="1">
      <c r="A38" s="18">
        <v>42</v>
      </c>
      <c r="B38" s="19" t="s">
        <v>37</v>
      </c>
      <c r="C38" s="20">
        <f>+'Centralna država-ek klas'!C50+'Lokalna država-ek klas '!C48</f>
        <v>826843666.13</v>
      </c>
      <c r="D38" s="40">
        <f t="shared" si="1"/>
        <v>10.441922916335164</v>
      </c>
      <c r="E38" s="20">
        <f>+'Centralna država-ek klas'!E50+'Lokalna država-ek klas '!E48</f>
        <v>821116383.63450003</v>
      </c>
      <c r="F38" s="40">
        <f t="shared" si="0"/>
        <v>10.369595044951696</v>
      </c>
      <c r="G38" s="20">
        <f t="shared" si="2"/>
        <v>5727282.4954999685</v>
      </c>
      <c r="H38" s="89">
        <f t="shared" si="3"/>
        <v>0.69749947871571294</v>
      </c>
      <c r="I38" s="20">
        <f>+'Centralna država-ek klas'!I50+'Lokalna država-ek klas '!I48</f>
        <v>741430008.51999986</v>
      </c>
      <c r="J38" s="40">
        <f t="shared" si="4"/>
        <v>9.9397886683219774</v>
      </c>
      <c r="K38" s="20">
        <f t="shared" si="5"/>
        <v>85413657.610000134</v>
      </c>
      <c r="L38" s="89">
        <f t="shared" si="6"/>
        <v>11.520124169306015</v>
      </c>
      <c r="M38" s="71" t="s">
        <v>120</v>
      </c>
    </row>
    <row r="39" spans="1:16357" ht="15" customHeight="1">
      <c r="A39" s="18">
        <v>43</v>
      </c>
      <c r="B39" s="19" t="s">
        <v>43</v>
      </c>
      <c r="C39" s="20">
        <f>+'Centralna država-ek klas'!C56+'Lokalna država-ek klas '!C49</f>
        <v>406207245.37000006</v>
      </c>
      <c r="D39" s="40">
        <f t="shared" si="1"/>
        <v>5.1298509234072114</v>
      </c>
      <c r="E39" s="20">
        <f>+'Centralna država-ek klas'!E56+'Lokalna država-ek klas '!E49</f>
        <v>452238170.4065001</v>
      </c>
      <c r="F39" s="40">
        <f t="shared" si="0"/>
        <v>5.711159568182107</v>
      </c>
      <c r="G39" s="20">
        <f t="shared" si="2"/>
        <v>-46030925.036500037</v>
      </c>
      <c r="H39" s="89">
        <f t="shared" si="3"/>
        <v>-10.178469675641168</v>
      </c>
      <c r="I39" s="20">
        <f>+'Centralna država-ek klas'!I56+'Lokalna država-ek klas '!I49</f>
        <v>358664140.09299999</v>
      </c>
      <c r="J39" s="40">
        <f t="shared" si="4"/>
        <v>4.8083375564285404</v>
      </c>
      <c r="K39" s="20">
        <f t="shared" si="5"/>
        <v>47543105.27700007</v>
      </c>
      <c r="L39" s="89">
        <f t="shared" si="6"/>
        <v>13.255606000831961</v>
      </c>
      <c r="M39" s="71" t="s">
        <v>126</v>
      </c>
    </row>
    <row r="40" spans="1:16357" ht="15" customHeight="1">
      <c r="A40" s="18">
        <v>44</v>
      </c>
      <c r="B40" s="19" t="s">
        <v>64</v>
      </c>
      <c r="C40" s="20">
        <f>+'Centralna država-ek klas'!C57+'Lokalna država-ek klas '!C50</f>
        <v>280225988.01000005</v>
      </c>
      <c r="D40" s="40">
        <f t="shared" si="1"/>
        <v>3.5388771612047747</v>
      </c>
      <c r="E40" s="20">
        <f>+'Centralna država-ek klas'!E57+'Lokalna država-ek klas '!E50</f>
        <v>295069343.24419999</v>
      </c>
      <c r="F40" s="40">
        <f t="shared" si="0"/>
        <v>3.7263287648443519</v>
      </c>
      <c r="G40" s="20">
        <f t="shared" si="2"/>
        <v>-14843355.234199941</v>
      </c>
      <c r="H40" s="89">
        <f t="shared" si="3"/>
        <v>-5.030463372101508</v>
      </c>
      <c r="I40" s="20">
        <f>+'Centralna država-ek klas'!I57+'Lokalna država-ek klas '!I50</f>
        <v>210903860.56999999</v>
      </c>
      <c r="J40" s="40">
        <f t="shared" si="4"/>
        <v>2.8274277805178643</v>
      </c>
      <c r="K40" s="20">
        <f t="shared" si="5"/>
        <v>69322127.440000057</v>
      </c>
      <c r="L40" s="89">
        <f t="shared" si="6"/>
        <v>32.869065199966656</v>
      </c>
      <c r="M40" s="71" t="s">
        <v>127</v>
      </c>
      <c r="O40" s="87"/>
    </row>
    <row r="41" spans="1:16357" ht="15" customHeight="1">
      <c r="A41" s="18">
        <v>45</v>
      </c>
      <c r="B41" s="19" t="s">
        <v>44</v>
      </c>
      <c r="C41" s="20">
        <f>+'Centralna država-ek klas'!C58+'Lokalna država-ek klas '!C51</f>
        <v>0</v>
      </c>
      <c r="D41" s="40">
        <f t="shared" si="1"/>
        <v>0</v>
      </c>
      <c r="E41" s="20">
        <f>+'Centralna država-ek klas'!E58+'Lokalna država-ek klas '!E51</f>
        <v>0</v>
      </c>
      <c r="F41" s="40">
        <f t="shared" si="0"/>
        <v>0</v>
      </c>
      <c r="G41" s="20">
        <f t="shared" si="2"/>
        <v>0</v>
      </c>
      <c r="H41" s="89">
        <f>+IFERROR(C41/E41*100-100,0)</f>
        <v>0</v>
      </c>
      <c r="I41" s="20">
        <f>+'Centralna država-ek klas'!I58+'Lokalna država-ek klas '!I51</f>
        <v>405191.74</v>
      </c>
      <c r="J41" s="40">
        <f t="shared" si="4"/>
        <v>5.4320977293449051E-3</v>
      </c>
      <c r="K41" s="20">
        <f t="shared" si="5"/>
        <v>-405191.74</v>
      </c>
      <c r="L41" s="89">
        <f>+IFERROR(C41/I41*100-100,0)</f>
        <v>-100</v>
      </c>
      <c r="M41" s="71" t="s">
        <v>128</v>
      </c>
    </row>
    <row r="42" spans="1:16357" ht="15" customHeight="1">
      <c r="A42" s="18">
        <v>462</v>
      </c>
      <c r="B42" s="19" t="s">
        <v>45</v>
      </c>
      <c r="C42" s="20">
        <f>+'Centralna država-ek klas'!C59+'Lokalna država-ek klas '!C52</f>
        <v>4062322.96</v>
      </c>
      <c r="D42" s="40">
        <f t="shared" si="1"/>
        <v>5.1301672791564057E-2</v>
      </c>
      <c r="E42" s="20">
        <f>+'Centralna država-ek klas'!E59+'Lokalna država-ek klas '!E52</f>
        <v>4100002.7999999993</v>
      </c>
      <c r="F42" s="40">
        <f t="shared" si="0"/>
        <v>5.1777518469407077E-2</v>
      </c>
      <c r="G42" s="20">
        <f t="shared" si="2"/>
        <v>-37679.839999999385</v>
      </c>
      <c r="H42" s="104">
        <f t="shared" si="3"/>
        <v>-0.91901986018154957</v>
      </c>
      <c r="I42" s="20">
        <f>+'Centralna država-ek klas'!I59+'Lokalna država-ek klas '!I52</f>
        <v>5849367.6699999999</v>
      </c>
      <c r="J42" s="40">
        <f t="shared" si="4"/>
        <v>7.8418027076046767E-2</v>
      </c>
      <c r="K42" s="20">
        <f t="shared" si="5"/>
        <v>-1787044.71</v>
      </c>
      <c r="L42" s="89">
        <f t="shared" si="6"/>
        <v>-30.551075104499276</v>
      </c>
      <c r="M42" s="71" t="s">
        <v>129</v>
      </c>
    </row>
    <row r="43" spans="1:16357" ht="15" customHeight="1">
      <c r="A43" s="18">
        <v>463</v>
      </c>
      <c r="B43" s="19" t="s">
        <v>46</v>
      </c>
      <c r="C43" s="20">
        <f>+'Centralna država-ek klas'!C60+'Lokalna država-ek klas '!C53</f>
        <v>40712279.489999995</v>
      </c>
      <c r="D43" s="40">
        <f t="shared" si="1"/>
        <v>0.51414130820231096</v>
      </c>
      <c r="E43" s="20">
        <f>+'Centralna država-ek klas'!E60+'Lokalna država-ek klas '!E53</f>
        <v>39988981.703400001</v>
      </c>
      <c r="F43" s="40">
        <f t="shared" si="0"/>
        <v>0.50500703041485129</v>
      </c>
      <c r="G43" s="20">
        <f t="shared" si="2"/>
        <v>723297.78659999371</v>
      </c>
      <c r="H43" s="89">
        <f t="shared" si="3"/>
        <v>1.8087426980879968</v>
      </c>
      <c r="I43" s="20">
        <f>+'Centralna država-ek klas'!I60+'Lokalna država-ek klas '!I53</f>
        <v>41327840.079999998</v>
      </c>
      <c r="J43" s="40">
        <f t="shared" si="4"/>
        <v>0.5540509445165327</v>
      </c>
      <c r="K43" s="20">
        <f t="shared" si="5"/>
        <v>-615560.59000000358</v>
      </c>
      <c r="L43" s="89">
        <f t="shared" si="6"/>
        <v>-1.4894574427515153</v>
      </c>
      <c r="M43" s="71" t="s">
        <v>130</v>
      </c>
    </row>
    <row r="44" spans="1:16357" ht="15" customHeight="1">
      <c r="A44" s="18">
        <v>47</v>
      </c>
      <c r="B44" s="19" t="s">
        <v>47</v>
      </c>
      <c r="C44" s="20">
        <f>+'Centralna država-ek klas'!C61+'Lokalna država-ek klas '!C54</f>
        <v>7071909.3300000001</v>
      </c>
      <c r="D44" s="40">
        <f t="shared" si="1"/>
        <v>8.9308698996021979E-2</v>
      </c>
      <c r="E44" s="20">
        <f>+'Centralna država-ek klas'!E61+'Lokalna država-ek klas '!E54</f>
        <v>8872308.9594000019</v>
      </c>
      <c r="F44" s="40">
        <f t="shared" si="0"/>
        <v>0.1120453237279788</v>
      </c>
      <c r="G44" s="20">
        <f t="shared" si="2"/>
        <v>-1800399.6294000018</v>
      </c>
      <c r="H44" s="89">
        <f t="shared" si="3"/>
        <v>-20.292345968097976</v>
      </c>
      <c r="I44" s="20">
        <f>+'Centralna država-ek klas'!I61+'Lokalna država-ek klas '!I54</f>
        <v>22851411.369999997</v>
      </c>
      <c r="J44" s="40">
        <f t="shared" si="4"/>
        <v>0.30635150611733436</v>
      </c>
      <c r="K44" s="20">
        <f t="shared" si="5"/>
        <v>-15779502.039999997</v>
      </c>
      <c r="L44" s="89">
        <f t="shared" si="6"/>
        <v>-69.052636550562426</v>
      </c>
      <c r="M44" s="71" t="s">
        <v>131</v>
      </c>
      <c r="Q44" s="103"/>
    </row>
    <row r="45" spans="1:16357" s="38" customFormat="1" ht="15" customHeight="1">
      <c r="A45" s="35"/>
      <c r="B45" s="36" t="s">
        <v>76</v>
      </c>
      <c r="C45" s="37">
        <f>+C6-C27</f>
        <v>-76570800.509999752</v>
      </c>
      <c r="D45" s="44">
        <f t="shared" si="1"/>
        <v>-0.9669861780640242</v>
      </c>
      <c r="E45" s="37">
        <f>+E6-E27</f>
        <v>-171860685.4607029</v>
      </c>
      <c r="F45" s="44">
        <f t="shared" si="0"/>
        <v>-2.1703692045299348</v>
      </c>
      <c r="G45" s="37">
        <f>C45-E45</f>
        <v>95289884.950703144</v>
      </c>
      <c r="H45" s="101">
        <f t="shared" si="3"/>
        <v>-55.446005405635262</v>
      </c>
      <c r="I45" s="37">
        <f>+I6-I27</f>
        <v>119265098.82699966</v>
      </c>
      <c r="J45" s="44">
        <f t="shared" si="4"/>
        <v>1.5988965434691256</v>
      </c>
      <c r="K45" s="37">
        <f t="shared" si="5"/>
        <v>-195835899.33699942</v>
      </c>
      <c r="L45" s="101">
        <f t="shared" si="6"/>
        <v>-164.202185939635</v>
      </c>
      <c r="M45" s="79" t="s">
        <v>133</v>
      </c>
      <c r="N45" s="1"/>
      <c r="O45" s="1"/>
      <c r="P45" s="103"/>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row>
    <row r="46" spans="1:16357" ht="15" hidden="1" customHeight="1">
      <c r="A46" s="18"/>
      <c r="B46" s="19" t="s">
        <v>56</v>
      </c>
      <c r="C46" s="20">
        <f>+'Centralna država-ek klas'!C63+'Lokalna država-ek klas '!C56</f>
        <v>0</v>
      </c>
      <c r="D46" s="40">
        <f t="shared" si="1"/>
        <v>0</v>
      </c>
      <c r="E46" s="20">
        <f>+'Centralna država-ek klas'!E63+'Lokalna država-ek klas '!E56</f>
        <v>0</v>
      </c>
      <c r="F46" s="40">
        <f t="shared" si="0"/>
        <v>0</v>
      </c>
      <c r="G46" s="20">
        <f t="shared" si="2"/>
        <v>0</v>
      </c>
      <c r="H46" s="89" t="e">
        <f t="shared" si="3"/>
        <v>#DIV/0!</v>
      </c>
      <c r="I46" s="20">
        <f>+'Centralna država-ek klas'!I63+'Lokalna država-ek klas '!I56</f>
        <v>0</v>
      </c>
      <c r="J46" s="40">
        <f t="shared" si="4"/>
        <v>0</v>
      </c>
      <c r="K46" s="20">
        <f t="shared" si="5"/>
        <v>0</v>
      </c>
      <c r="L46" s="89" t="e">
        <f t="shared" si="6"/>
        <v>#DIV/0!</v>
      </c>
      <c r="M46" s="71" t="s">
        <v>132</v>
      </c>
    </row>
    <row r="47" spans="1:16357" s="38" customFormat="1" ht="15" hidden="1" customHeight="1">
      <c r="A47" s="35"/>
      <c r="B47" s="36" t="s">
        <v>58</v>
      </c>
      <c r="C47" s="37">
        <f>+C45-C46</f>
        <v>-76570800.509999752</v>
      </c>
      <c r="D47" s="44">
        <f t="shared" si="1"/>
        <v>-0.9669861780640242</v>
      </c>
      <c r="E47" s="37">
        <f>+E45-E46</f>
        <v>-171860685.4607029</v>
      </c>
      <c r="F47" s="44">
        <f t="shared" si="0"/>
        <v>-2.1703692045299348</v>
      </c>
      <c r="G47" s="37">
        <f t="shared" si="2"/>
        <v>95289884.950703144</v>
      </c>
      <c r="H47" s="101">
        <f t="shared" si="3"/>
        <v>-55.446005405635262</v>
      </c>
      <c r="I47" s="37">
        <f>+I45-I46</f>
        <v>119265098.82699966</v>
      </c>
      <c r="J47" s="44">
        <f t="shared" si="4"/>
        <v>1.5988965434691256</v>
      </c>
      <c r="K47" s="37">
        <f t="shared" si="5"/>
        <v>-195835899.33699942</v>
      </c>
      <c r="L47" s="101">
        <f t="shared" si="6"/>
        <v>-164.202185939635</v>
      </c>
      <c r="M47" s="79" t="s">
        <v>136</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row>
    <row r="48" spans="1:16357" s="38" customFormat="1" ht="15" customHeight="1">
      <c r="A48" s="35"/>
      <c r="B48" s="36" t="s">
        <v>74</v>
      </c>
      <c r="C48" s="37">
        <f>+C47+C34</f>
        <v>36531456.340000257</v>
      </c>
      <c r="D48" s="44">
        <f t="shared" si="1"/>
        <v>0.46134313746290662</v>
      </c>
      <c r="E48" s="37">
        <f>+E47+E34</f>
        <v>-55708876.756302893</v>
      </c>
      <c r="F48" s="44">
        <f t="shared" si="0"/>
        <v>-0.70352815250745582</v>
      </c>
      <c r="G48" s="37">
        <f>+C48-E48</f>
        <v>92240333.09630315</v>
      </c>
      <c r="H48" s="101">
        <f t="shared" si="3"/>
        <v>-165.57564694726517</v>
      </c>
      <c r="I48" s="37">
        <f>+I47+I34</f>
        <v>215246622.88699967</v>
      </c>
      <c r="J48" s="44">
        <f t="shared" si="4"/>
        <v>2.8856478945835127</v>
      </c>
      <c r="K48" s="37">
        <f t="shared" si="5"/>
        <v>-178715166.54699939</v>
      </c>
      <c r="L48" s="101">
        <f t="shared" si="6"/>
        <v>-83.028093147283158</v>
      </c>
      <c r="M48" s="79" t="s">
        <v>135</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row>
    <row r="49" spans="1:16357" s="38" customFormat="1" ht="15" customHeight="1">
      <c r="A49" s="35"/>
      <c r="B49" s="36" t="s">
        <v>75</v>
      </c>
      <c r="C49" s="37">
        <f>+C6-(C27-C40)</f>
        <v>203655187.50000048</v>
      </c>
      <c r="D49" s="44">
        <f t="shared" si="1"/>
        <v>2.5718909831407526</v>
      </c>
      <c r="E49" s="37">
        <f>+E6-(E27-E40)</f>
        <v>123208657.78349733</v>
      </c>
      <c r="F49" s="44">
        <f t="shared" si="0"/>
        <v>1.5559595603144198</v>
      </c>
      <c r="G49" s="37">
        <f t="shared" si="2"/>
        <v>80446529.716503143</v>
      </c>
      <c r="H49" s="101">
        <f t="shared" si="3"/>
        <v>65.292919477999703</v>
      </c>
      <c r="I49" s="37">
        <f>+I6-(I27-I40)</f>
        <v>330168959.3969996</v>
      </c>
      <c r="J49" s="44">
        <f t="shared" si="4"/>
        <v>4.4263243239869885</v>
      </c>
      <c r="K49" s="37">
        <f t="shared" si="5"/>
        <v>-126513771.89699912</v>
      </c>
      <c r="L49" s="101">
        <f t="shared" si="6"/>
        <v>-38.317887946842774</v>
      </c>
      <c r="M49" s="79" t="s">
        <v>134</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row>
    <row r="50" spans="1:16357" s="38" customFormat="1" ht="15" customHeight="1">
      <c r="A50" s="35"/>
      <c r="B50" s="36" t="s">
        <v>0</v>
      </c>
      <c r="C50" s="37">
        <f>+C51+C52+C53</f>
        <v>753937124.79999995</v>
      </c>
      <c r="D50" s="44">
        <f t="shared" si="1"/>
        <v>9.5212114011492073</v>
      </c>
      <c r="E50" s="37">
        <f>+E51+E52+E53</f>
        <v>782554998.06959987</v>
      </c>
      <c r="F50" s="44">
        <f t="shared" si="0"/>
        <v>9.8826166328168199</v>
      </c>
      <c r="G50" s="37">
        <f t="shared" si="2"/>
        <v>-28617873.269599915</v>
      </c>
      <c r="H50" s="101">
        <f t="shared" si="3"/>
        <v>-3.6569791695400653</v>
      </c>
      <c r="I50" s="37">
        <f>+I51+I52+I53</f>
        <v>405669075.68000001</v>
      </c>
      <c r="J50" s="44">
        <f t="shared" si="4"/>
        <v>5.4384970060514428</v>
      </c>
      <c r="K50" s="37">
        <f t="shared" si="5"/>
        <v>348268049.11999995</v>
      </c>
      <c r="L50" s="101">
        <f t="shared" si="6"/>
        <v>85.850282902688093</v>
      </c>
      <c r="M50" s="79" t="s">
        <v>137</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row>
    <row r="51" spans="1:16357">
      <c r="A51" s="21">
        <v>4611</v>
      </c>
      <c r="B51" s="22" t="s">
        <v>51</v>
      </c>
      <c r="C51" s="23">
        <f>+'Centralna država-ek klas'!C68+'Lokalna država-ek klas '!C61</f>
        <v>46839996.370000005</v>
      </c>
      <c r="D51" s="41">
        <f t="shared" si="1"/>
        <v>0.59152612704426355</v>
      </c>
      <c r="E51" s="23">
        <f>+'Centralna država-ek klas'!E68+'Lokalna država-ek klas '!E61</f>
        <v>47066319.376800001</v>
      </c>
      <c r="F51" s="41">
        <f t="shared" si="0"/>
        <v>0.59438428208372796</v>
      </c>
      <c r="G51" s="23">
        <f t="shared" si="2"/>
        <v>-226323.0067999959</v>
      </c>
      <c r="H51" s="94">
        <f t="shared" si="3"/>
        <v>-0.48085979485269092</v>
      </c>
      <c r="I51" s="23">
        <f>+'Centralna država-ek klas'!I68+'Lokalna država-ek klas '!I61</f>
        <v>189826453.30000001</v>
      </c>
      <c r="J51" s="41">
        <f t="shared" si="4"/>
        <v>2.5448589992000499</v>
      </c>
      <c r="K51" s="23">
        <f t="shared" si="5"/>
        <v>-142986456.93000001</v>
      </c>
      <c r="L51" s="94">
        <f t="shared" si="6"/>
        <v>-75.324831942166412</v>
      </c>
      <c r="M51" s="72" t="s">
        <v>138</v>
      </c>
    </row>
    <row r="52" spans="1:16357" ht="15" customHeight="1">
      <c r="A52" s="21">
        <v>4612</v>
      </c>
      <c r="B52" s="22" t="s">
        <v>52</v>
      </c>
      <c r="C52" s="23">
        <f>+'Centralna država-ek klas'!C69+'Lokalna država-ek klas '!C62</f>
        <v>707097128.42999995</v>
      </c>
      <c r="D52" s="41">
        <f t="shared" si="1"/>
        <v>8.9296852741049442</v>
      </c>
      <c r="E52" s="23">
        <f>+'Centralna država-ek klas'!E69+'Lokalna država-ek klas '!E62</f>
        <v>735488678.69279993</v>
      </c>
      <c r="F52" s="41">
        <f t="shared" si="0"/>
        <v>9.2882323507330931</v>
      </c>
      <c r="G52" s="23">
        <f t="shared" si="2"/>
        <v>-28391550.262799978</v>
      </c>
      <c r="H52" s="94">
        <f t="shared" si="3"/>
        <v>-3.8602294073731969</v>
      </c>
      <c r="I52" s="23">
        <f>+'Centralna država-ek klas'!I69+'Lokalna država-ek klas '!I62</f>
        <v>215842622.38</v>
      </c>
      <c r="J52" s="41">
        <f t="shared" si="4"/>
        <v>2.8936380068513929</v>
      </c>
      <c r="K52" s="23">
        <f t="shared" si="5"/>
        <v>491254506.04999995</v>
      </c>
      <c r="L52" s="94">
        <f t="shared" si="6"/>
        <v>227.59846995609877</v>
      </c>
      <c r="M52" s="72" t="s">
        <v>139</v>
      </c>
    </row>
    <row r="53" spans="1:16357" ht="15" hidden="1" customHeight="1">
      <c r="A53" s="18">
        <v>463</v>
      </c>
      <c r="B53" s="19" t="s">
        <v>46</v>
      </c>
      <c r="C53" s="20">
        <v>0</v>
      </c>
      <c r="D53" s="40">
        <f t="shared" ref="D53" si="7">+C53/$C$2*100</f>
        <v>0</v>
      </c>
      <c r="E53" s="20">
        <v>0</v>
      </c>
      <c r="F53" s="40">
        <f t="shared" ref="F53" si="8">+E53/$E$2*100</f>
        <v>0</v>
      </c>
      <c r="G53" s="20">
        <f t="shared" ref="G53" si="9">+C53-E53</f>
        <v>0</v>
      </c>
      <c r="H53" s="89" t="e">
        <f t="shared" ref="H53" si="10">+C53/E53*100-100</f>
        <v>#DIV/0!</v>
      </c>
      <c r="I53" s="20">
        <f>+'Lokalna država-ek klas '!I63</f>
        <v>0</v>
      </c>
      <c r="J53" s="40">
        <f t="shared" ref="J53" si="11">+I53/$I$2*100</f>
        <v>0</v>
      </c>
      <c r="K53" s="20">
        <f t="shared" ref="K53" si="12">+C53-I53</f>
        <v>0</v>
      </c>
      <c r="L53" s="89" t="e">
        <f t="shared" ref="L53" si="13">+C53/I53*100-100</f>
        <v>#DIV/0!</v>
      </c>
      <c r="M53" s="71" t="s">
        <v>130</v>
      </c>
    </row>
    <row r="54" spans="1:16357" s="38" customFormat="1" ht="15" customHeight="1">
      <c r="A54" s="35">
        <v>4418</v>
      </c>
      <c r="B54" s="36" t="s">
        <v>62</v>
      </c>
      <c r="C54" s="37">
        <f>+'Centralna država-ek klas'!C70+'Lokalna država-ek klas '!C64</f>
        <v>1485557.54</v>
      </c>
      <c r="D54" s="44">
        <f t="shared" si="1"/>
        <v>1.8760592789038331E-2</v>
      </c>
      <c r="E54" s="37">
        <f>+'Centralna država-ek klas'!E70+'Lokalna država-ek klas '!E64</f>
        <v>23919773.700000003</v>
      </c>
      <c r="F54" s="44">
        <f t="shared" ref="F54:F63" si="14">+E54/$E$2*100</f>
        <v>0.30207455578708092</v>
      </c>
      <c r="G54" s="37">
        <f t="shared" si="2"/>
        <v>-22434216.160000004</v>
      </c>
      <c r="H54" s="101">
        <f t="shared" si="3"/>
        <v>-93.789416410741381</v>
      </c>
      <c r="I54" s="37">
        <f>+'Centralna država-ek klas'!I70+'Lokalna država-ek klas '!I64</f>
        <v>3266458.45</v>
      </c>
      <c r="J54" s="44">
        <f t="shared" si="4"/>
        <v>4.3790926066865236E-2</v>
      </c>
      <c r="K54" s="37">
        <f t="shared" si="5"/>
        <v>-1780900.9100000001</v>
      </c>
      <c r="L54" s="101">
        <f t="shared" si="6"/>
        <v>-54.520849943767082</v>
      </c>
      <c r="M54" s="79" t="s">
        <v>140</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row>
    <row r="55" spans="1:16357" s="38" customFormat="1" ht="15" customHeight="1">
      <c r="A55" s="35">
        <v>45</v>
      </c>
      <c r="B55" s="36" t="s">
        <v>44</v>
      </c>
      <c r="C55" s="37">
        <f>+'Centralna država-ek klas'!C71+'Lokalna država-ek klas '!C65</f>
        <v>6771500.2199999997</v>
      </c>
      <c r="D55" s="44">
        <f t="shared" si="1"/>
        <v>8.5514936162151917E-2</v>
      </c>
      <c r="E55" s="37">
        <f>+'Centralna država-ek klas'!E71+'Lokalna država-ek klas '!E65</f>
        <v>5628003.1999999993</v>
      </c>
      <c r="F55" s="44">
        <f t="shared" si="14"/>
        <v>7.1074107469849074E-2</v>
      </c>
      <c r="G55" s="37">
        <f t="shared" si="2"/>
        <v>1143497.0200000005</v>
      </c>
      <c r="H55" s="101">
        <f t="shared" si="3"/>
        <v>20.317988092117673</v>
      </c>
      <c r="I55" s="37">
        <f>+'Centralna država-ek klas'!I71+'Lokalna država-ek klas '!I65</f>
        <v>6768057.4400000004</v>
      </c>
      <c r="J55" s="44">
        <f t="shared" si="4"/>
        <v>9.073420265650009E-2</v>
      </c>
      <c r="K55" s="37">
        <f t="shared" si="5"/>
        <v>3442.7799999993294</v>
      </c>
      <c r="L55" s="101">
        <f t="shared" si="6"/>
        <v>5.0868067100793724E-2</v>
      </c>
      <c r="M55" s="79" t="s">
        <v>128</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row>
    <row r="56" spans="1:16357" s="38" customFormat="1" ht="15" customHeight="1">
      <c r="A56" s="35"/>
      <c r="B56" s="36" t="s">
        <v>53</v>
      </c>
      <c r="C56" s="37">
        <f>+C47-C50-C54-C55</f>
        <v>-838764983.06999969</v>
      </c>
      <c r="D56" s="44">
        <f t="shared" si="1"/>
        <v>-10.592473108164421</v>
      </c>
      <c r="E56" s="37">
        <f>+E47-E50-E54-E55</f>
        <v>-983963460.43030286</v>
      </c>
      <c r="F56" s="44">
        <f t="shared" si="14"/>
        <v>-12.426134500603686</v>
      </c>
      <c r="G56" s="37">
        <f t="shared" ref="G56:G63" si="15">+C56-E56</f>
        <v>145198477.36030316</v>
      </c>
      <c r="H56" s="101">
        <f t="shared" ref="H56:H63" si="16">+C56/E56*100-100</f>
        <v>-14.756490784404292</v>
      </c>
      <c r="I56" s="37">
        <f>+I47-I50-I54-I55</f>
        <v>-296438492.74300033</v>
      </c>
      <c r="J56" s="44">
        <f t="shared" si="4"/>
        <v>-3.9741255913056821</v>
      </c>
      <c r="K56" s="37">
        <f t="shared" ref="K56:K63" si="17">+C56-I56</f>
        <v>-542326490.32699943</v>
      </c>
      <c r="L56" s="101">
        <f t="shared" ref="L56:L63" si="18">+C56/I56*100-100</f>
        <v>182.94739165239702</v>
      </c>
      <c r="M56" s="79" t="s">
        <v>141</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row>
    <row r="57" spans="1:16357" s="38" customFormat="1" ht="15" customHeight="1">
      <c r="A57" s="35"/>
      <c r="B57" s="36" t="s">
        <v>48</v>
      </c>
      <c r="C57" s="37">
        <f>+SUM(C58:C63)+C46</f>
        <v>838764983.06999969</v>
      </c>
      <c r="D57" s="44">
        <f t="shared" ref="D57:D63" si="19">+C57/$C$2*100</f>
        <v>10.592473108164421</v>
      </c>
      <c r="E57" s="37">
        <f>+SUM(E58:E63)+E46</f>
        <v>983963460.43030286</v>
      </c>
      <c r="F57" s="44">
        <f t="shared" si="14"/>
        <v>12.426134500603686</v>
      </c>
      <c r="G57" s="37">
        <f t="shared" si="15"/>
        <v>-145198477.36030316</v>
      </c>
      <c r="H57" s="101">
        <f t="shared" si="16"/>
        <v>-14.756490784404292</v>
      </c>
      <c r="I57" s="37">
        <f>+SUM(I58:I63)+I46</f>
        <v>296438492.74300033</v>
      </c>
      <c r="J57" s="44">
        <f t="shared" ref="J57:J63" si="20">+I57/$I$2*100</f>
        <v>3.9741255913056821</v>
      </c>
      <c r="K57" s="37">
        <f t="shared" si="17"/>
        <v>542326490.32699943</v>
      </c>
      <c r="L57" s="101">
        <f t="shared" si="18"/>
        <v>182.94739165239702</v>
      </c>
      <c r="M57" s="79" t="s">
        <v>142</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row>
    <row r="58" spans="1:16357">
      <c r="A58" s="21">
        <v>7511</v>
      </c>
      <c r="B58" s="22" t="s">
        <v>54</v>
      </c>
      <c r="C58" s="23">
        <f>+'Centralna država-ek klas'!C74+'Lokalna država-ek klas '!C68</f>
        <v>8850111.5399999991</v>
      </c>
      <c r="D58" s="41">
        <f t="shared" si="19"/>
        <v>0.11176500018942981</v>
      </c>
      <c r="E58" s="23">
        <f>+'Centralna država-ek klas'!E74+'Lokalna država-ek klas '!E68</f>
        <v>118130802.021</v>
      </c>
      <c r="F58" s="41">
        <f t="shared" si="14"/>
        <v>1.4918330747111195</v>
      </c>
      <c r="G58" s="23">
        <f t="shared" si="15"/>
        <v>-109280690.48100001</v>
      </c>
      <c r="H58" s="94">
        <f t="shared" si="16"/>
        <v>-92.508210061566558</v>
      </c>
      <c r="I58" s="23">
        <f>+'Centralna država-ek klas'!I74+'Lokalna država-ek klas '!I68</f>
        <v>1207821.6000000001</v>
      </c>
      <c r="J58" s="41">
        <f t="shared" si="20"/>
        <v>1.6192346297122767E-2</v>
      </c>
      <c r="K58" s="23">
        <f t="shared" si="17"/>
        <v>7642289.9399999995</v>
      </c>
      <c r="L58" s="94">
        <f t="shared" si="18"/>
        <v>632.73333909577354</v>
      </c>
      <c r="M58" s="72" t="s">
        <v>143</v>
      </c>
    </row>
    <row r="59" spans="1:16357" ht="15" customHeight="1">
      <c r="A59" s="21">
        <v>7512</v>
      </c>
      <c r="B59" s="22" t="s">
        <v>49</v>
      </c>
      <c r="C59" s="23">
        <f>+'Centralna država-ek klas'!C75+'Lokalna država-ek klas '!C69</f>
        <v>940215469.88000011</v>
      </c>
      <c r="D59" s="41">
        <f t="shared" si="19"/>
        <v>11.873656246511336</v>
      </c>
      <c r="E59" s="23">
        <f>+'Centralna država-ek klas'!E75+'Lokalna država-ek klas '!E69</f>
        <v>770320750.65200007</v>
      </c>
      <c r="F59" s="41">
        <f t="shared" si="14"/>
        <v>9.7281145501294457</v>
      </c>
      <c r="G59" s="23">
        <f t="shared" si="15"/>
        <v>169894719.22800004</v>
      </c>
      <c r="H59" s="94">
        <f t="shared" si="16"/>
        <v>22.055062009455284</v>
      </c>
      <c r="I59" s="23">
        <f>+'Centralna država-ek klas'!I75+'Lokalna država-ek klas '!I69</f>
        <v>717844598.38999999</v>
      </c>
      <c r="J59" s="41">
        <f t="shared" si="20"/>
        <v>9.6235969986377921</v>
      </c>
      <c r="K59" s="23">
        <f t="shared" si="17"/>
        <v>222370871.49000013</v>
      </c>
      <c r="L59" s="94">
        <f t="shared" si="18"/>
        <v>30.977578153926231</v>
      </c>
      <c r="M59" s="72" t="s">
        <v>144</v>
      </c>
    </row>
    <row r="60" spans="1:16357" ht="15" customHeight="1">
      <c r="A60" s="18">
        <v>72</v>
      </c>
      <c r="B60" s="19" t="s">
        <v>168</v>
      </c>
      <c r="C60" s="20">
        <f>+'Centralna država-ek klas'!C76+'Lokalna država-ek klas '!C70</f>
        <v>6512423.2000000011</v>
      </c>
      <c r="D60" s="40">
        <f t="shared" si="19"/>
        <v>8.2243142009218936E-2</v>
      </c>
      <c r="E60" s="20">
        <f>+'Centralna država-ek klas'!E76+'Lokalna država-ek klas '!E70</f>
        <v>11393516.272500001</v>
      </c>
      <c r="F60" s="40">
        <f t="shared" si="14"/>
        <v>0.14388477959840879</v>
      </c>
      <c r="G60" s="20">
        <f t="shared" si="15"/>
        <v>-4881093.0724999998</v>
      </c>
      <c r="H60" s="89">
        <f t="shared" si="16"/>
        <v>-42.840971617175519</v>
      </c>
      <c r="I60" s="20">
        <f>+'Centralna država-ek klas'!I76+'Lokalna država-ek klas '!I70</f>
        <v>7095589.0200000014</v>
      </c>
      <c r="J60" s="40">
        <f t="shared" si="20"/>
        <v>9.5125169639209944E-2</v>
      </c>
      <c r="K60" s="20">
        <f t="shared" si="17"/>
        <v>-583165.8200000003</v>
      </c>
      <c r="L60" s="89">
        <f t="shared" si="18"/>
        <v>-8.2187090931599727</v>
      </c>
      <c r="M60" s="71" t="s">
        <v>145</v>
      </c>
    </row>
    <row r="61" spans="1:16357" ht="15" customHeight="1">
      <c r="A61" s="28">
        <v>73</v>
      </c>
      <c r="B61" s="19" t="s">
        <v>183</v>
      </c>
      <c r="C61" s="20">
        <f>+'Centralna država-ek klas'!C77+'Lokalna država-ek klas '!C71</f>
        <v>14623390.050000001</v>
      </c>
      <c r="D61" s="40">
        <f t="shared" si="19"/>
        <v>0.18467373934457285</v>
      </c>
      <c r="E61" s="20">
        <f>+'Centralna država-ek klas'!E77+'Lokalna država-ek klas '!E71</f>
        <v>5885037.0488197627</v>
      </c>
      <c r="F61" s="40">
        <f t="shared" si="14"/>
        <v>7.432009912003236E-2</v>
      </c>
      <c r="G61" s="20">
        <f t="shared" si="15"/>
        <v>8738353.001180239</v>
      </c>
      <c r="H61" s="89">
        <f t="shared" si="16"/>
        <v>148.4842479102609</v>
      </c>
      <c r="I61" s="20">
        <f>+'Centralna država-ek klas'!I77+'Lokalna država-ek klas '!I71</f>
        <v>14554713.359999999</v>
      </c>
      <c r="J61" s="40">
        <f t="shared" si="20"/>
        <v>0.19512398104196782</v>
      </c>
      <c r="K61" s="20">
        <f t="shared" si="17"/>
        <v>68676.690000001341</v>
      </c>
      <c r="L61" s="89">
        <f t="shared" si="18"/>
        <v>0.47185188949679002</v>
      </c>
      <c r="M61" s="71" t="s">
        <v>107</v>
      </c>
    </row>
    <row r="62" spans="1:16357" ht="15" customHeight="1">
      <c r="A62" s="28"/>
      <c r="B62" s="29" t="s">
        <v>150</v>
      </c>
      <c r="C62" s="30">
        <f>+'Lokalna država-ek klas '!C72</f>
        <v>19577294.379999999</v>
      </c>
      <c r="D62" s="40">
        <f t="shared" si="19"/>
        <v>0.24723488514238806</v>
      </c>
      <c r="E62" s="30">
        <f>+'Lokalna država-ek klas '!E72</f>
        <v>20360386.155200001</v>
      </c>
      <c r="F62" s="40">
        <f t="shared" si="14"/>
        <v>0.25712428054808362</v>
      </c>
      <c r="G62" s="20">
        <f t="shared" si="15"/>
        <v>-783091.7752000019</v>
      </c>
      <c r="H62" s="89">
        <f t="shared" si="16"/>
        <v>-3.8461538461538538</v>
      </c>
      <c r="I62" s="30">
        <f>+'Lokalna država-ek klas '!I72</f>
        <v>15856423.719999999</v>
      </c>
      <c r="J62" s="40">
        <f t="shared" si="20"/>
        <v>0.21257502259286598</v>
      </c>
      <c r="K62" s="20">
        <f t="shared" si="17"/>
        <v>3720870.66</v>
      </c>
      <c r="L62" s="89">
        <f t="shared" si="18"/>
        <v>23.466014315111906</v>
      </c>
      <c r="M62" s="74" t="s">
        <v>151</v>
      </c>
    </row>
    <row r="63" spans="1:16357" ht="15" customHeight="1" thickBot="1">
      <c r="A63" s="24"/>
      <c r="B63" s="25" t="s">
        <v>189</v>
      </c>
      <c r="C63" s="26">
        <f>+-C56-(SUM(C58:C62)+C46)</f>
        <v>-151013705.98000038</v>
      </c>
      <c r="D63" s="42">
        <f t="shared" si="19"/>
        <v>-1.9070999050325235</v>
      </c>
      <c r="E63" s="26">
        <f>+-E56-(SUM(E58:E62)+E46)</f>
        <v>57872968.280782938</v>
      </c>
      <c r="F63" s="42">
        <f t="shared" si="14"/>
        <v>0.73085771649659581</v>
      </c>
      <c r="G63" s="26">
        <f t="shared" si="15"/>
        <v>-208886674.26078331</v>
      </c>
      <c r="H63" s="95">
        <f t="shared" si="16"/>
        <v>-360.93996984451439</v>
      </c>
      <c r="I63" s="26">
        <f>+-I56-(SUM(I58:I62)+I46)</f>
        <v>-460120653.3469997</v>
      </c>
      <c r="J63" s="42">
        <f t="shared" si="20"/>
        <v>-6.1684879269032766</v>
      </c>
      <c r="K63" s="26">
        <f t="shared" si="17"/>
        <v>309106947.36699933</v>
      </c>
      <c r="L63" s="95">
        <f t="shared" si="18"/>
        <v>-67.179541956767267</v>
      </c>
      <c r="M63" s="75" t="s">
        <v>146</v>
      </c>
    </row>
    <row r="64" spans="1:16357" ht="13.5" customHeight="1"/>
    <row r="66" spans="2:2">
      <c r="B66" s="4" t="s">
        <v>188</v>
      </c>
    </row>
    <row r="67" spans="2:2">
      <c r="B67" s="4" t="s">
        <v>193</v>
      </c>
    </row>
  </sheetData>
  <sheetProtection algorithmName="SHA-512" hashValue="UAWL6Y81NtAo3iL/ks3WkCU/t2T7qitLnhqi5jWtbmph0uOd5eeLyNzhcGl3MWgSA0rr3mD65DEdUFswLvem/Q==" saltValue="GpwvcbJfc6S7+MS8z8Xf+g==" spinCount="100000" sheet="1"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117"/>
      <c r="C4" s="117" t="s">
        <v>170</v>
      </c>
      <c r="D4" s="129" t="s">
        <v>171</v>
      </c>
    </row>
    <row r="5" spans="2:4">
      <c r="B5" s="118"/>
      <c r="C5" s="118"/>
      <c r="D5" s="130"/>
    </row>
    <row r="6" spans="2:4" ht="13.5">
      <c r="B6" s="22" t="s">
        <v>174</v>
      </c>
      <c r="C6" s="23">
        <v>51122438.960000001</v>
      </c>
      <c r="D6" s="23">
        <v>50118940.61699906</v>
      </c>
    </row>
    <row r="7" spans="2:4" ht="13.5">
      <c r="B7" s="22" t="s">
        <v>173</v>
      </c>
      <c r="C7" s="23">
        <v>59697131.339999996</v>
      </c>
      <c r="D7" s="23">
        <v>57763326.64507816</v>
      </c>
    </row>
    <row r="8" spans="2:4" ht="13.5">
      <c r="B8" s="22" t="s">
        <v>172</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Milica Rahovic</cp:lastModifiedBy>
  <cp:lastPrinted>2024-05-10T11:00:48Z</cp:lastPrinted>
  <dcterms:created xsi:type="dcterms:W3CDTF">2008-03-17T08:49:23Z</dcterms:created>
  <dcterms:modified xsi:type="dcterms:W3CDTF">2025-11-12T13:53:50Z</dcterms:modified>
</cp:coreProperties>
</file>