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1570" windowHeight="8085" tabRatio="587" firstSheet="1" activeTab="1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Sheet1" sheetId="18" state="hidden" r:id="rId8"/>
    <sheet name="2015" sheetId="10" state="hidden" r:id="rId9"/>
    <sheet name="2014" sheetId="4" state="hidden" r:id="rId10"/>
    <sheet name="2013" sheetId="8" state="hidden" r:id="rId11"/>
    <sheet name="Dug" sheetId="9" state="hidden" r:id="rId12"/>
    <sheet name="DataEx" sheetId="6" r:id="rId13"/>
    <sheet name="Master" sheetId="2" r:id="rId14"/>
  </sheets>
  <externalReferences>
    <externalReference r:id="rId15"/>
  </externalReferences>
  <definedNames>
    <definedName name="_2013plan" localSheetId="10">'2013'!$A$102:$A$160</definedName>
    <definedName name="_2013plan" localSheetId="11">Dug!$A$101:$A$159</definedName>
    <definedName name="_2014plan" localSheetId="9">'2014'!$A$101:$A$159</definedName>
    <definedName name="_2015plan" localSheetId="8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FO219" i="6" l="1"/>
  <c r="FN219" i="6"/>
  <c r="FO245" i="6"/>
  <c r="FN245" i="6"/>
  <c r="FQ395" i="6"/>
  <c r="FP395" i="6"/>
  <c r="FO395" i="6"/>
  <c r="FL395" i="6"/>
  <c r="FO221" i="6"/>
  <c r="FN221" i="6"/>
  <c r="FO246" i="6"/>
  <c r="FN246" i="6"/>
  <c r="H147" i="17" l="1"/>
  <c r="I147" i="17"/>
  <c r="J147" i="17"/>
  <c r="K147" i="17"/>
  <c r="L147" i="17"/>
  <c r="M147" i="17"/>
  <c r="N147" i="17"/>
  <c r="O147" i="17"/>
  <c r="P147" i="17"/>
  <c r="Q147" i="17"/>
  <c r="R147" i="17"/>
  <c r="G147" i="17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P125" i="17" s="1"/>
  <c r="O126" i="17"/>
  <c r="O124" i="17" s="1"/>
  <c r="L126" i="17"/>
  <c r="L124" i="17" s="1"/>
  <c r="L125" i="17" s="1"/>
  <c r="K126" i="17"/>
  <c r="K124" i="17" s="1"/>
  <c r="H126" i="17"/>
  <c r="G126" i="17"/>
  <c r="G124" i="17" s="1"/>
  <c r="A126" i="17"/>
  <c r="A125" i="17"/>
  <c r="O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H105" i="17" s="1"/>
  <c r="G106" i="17"/>
  <c r="A106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P43" i="17"/>
  <c r="O43" i="17"/>
  <c r="N43" i="17"/>
  <c r="M43" i="17"/>
  <c r="L43" i="17"/>
  <c r="L42" i="17" s="1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I31" i="17" s="1"/>
  <c r="H32" i="17"/>
  <c r="H31" i="17" s="1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Q11" i="17" s="1"/>
  <c r="P12" i="17"/>
  <c r="O12" i="17"/>
  <c r="N12" i="17"/>
  <c r="M12" i="17"/>
  <c r="L12" i="17"/>
  <c r="K12" i="17"/>
  <c r="J12" i="17"/>
  <c r="I12" i="17"/>
  <c r="H12" i="17"/>
  <c r="G12" i="17"/>
  <c r="R5" i="17"/>
  <c r="Q5" i="17"/>
  <c r="P5" i="17"/>
  <c r="O5" i="17"/>
  <c r="N5" i="17"/>
  <c r="M5" i="17"/>
  <c r="L5" i="17"/>
  <c r="K5" i="17"/>
  <c r="J5" i="17"/>
  <c r="I5" i="17"/>
  <c r="H5" i="17"/>
  <c r="G5" i="17"/>
  <c r="G11" i="2"/>
  <c r="H51" i="11" l="1"/>
  <c r="S20" i="17"/>
  <c r="Q42" i="17"/>
  <c r="J11" i="17"/>
  <c r="M42" i="17"/>
  <c r="H11" i="17"/>
  <c r="H10" i="17" s="1"/>
  <c r="J31" i="17"/>
  <c r="I11" i="17"/>
  <c r="I10" i="17" s="1"/>
  <c r="Q31" i="17"/>
  <c r="R11" i="17"/>
  <c r="R10" i="17" s="1"/>
  <c r="N11" i="17"/>
  <c r="N10" i="17" s="1"/>
  <c r="P11" i="17"/>
  <c r="P10" i="17" s="1"/>
  <c r="G63" i="11"/>
  <c r="G64" i="11"/>
  <c r="G65" i="11"/>
  <c r="H124" i="17"/>
  <c r="H125" i="17" s="1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P150" i="17" s="1"/>
  <c r="P156" i="17" s="1"/>
  <c r="H60" i="11"/>
  <c r="H35" i="11"/>
  <c r="H52" i="11"/>
  <c r="H53" i="11"/>
  <c r="H34" i="11"/>
  <c r="H41" i="11"/>
  <c r="H40" i="11"/>
  <c r="H14" i="11"/>
  <c r="H13" i="11"/>
  <c r="H16" i="11"/>
  <c r="P42" i="17"/>
  <c r="H42" i="17"/>
  <c r="H29" i="17" s="1"/>
  <c r="H30" i="17" s="1"/>
  <c r="H31" i="11"/>
  <c r="H57" i="11"/>
  <c r="O42" i="17"/>
  <c r="M11" i="17"/>
  <c r="M10" i="17" s="1"/>
  <c r="M31" i="17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T20" i="17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10" i="17"/>
  <c r="J42" i="17"/>
  <c r="N42" i="17"/>
  <c r="R42" i="17"/>
  <c r="L11" i="17"/>
  <c r="L10" i="17" s="1"/>
  <c r="I29" i="17"/>
  <c r="I3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H150" i="17" l="1"/>
  <c r="H151" i="17" s="1"/>
  <c r="Q29" i="17"/>
  <c r="Q30" i="17" s="1"/>
  <c r="P151" i="17"/>
  <c r="M29" i="17"/>
  <c r="M30" i="17" s="1"/>
  <c r="J29" i="17"/>
  <c r="J30" i="17" s="1"/>
  <c r="P29" i="17"/>
  <c r="P30" i="17" s="1"/>
  <c r="I65" i="11"/>
  <c r="J65" i="11"/>
  <c r="J64" i="11"/>
  <c r="I64" i="11"/>
  <c r="I63" i="11"/>
  <c r="J63" i="1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55" i="17" s="1"/>
  <c r="R56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G29" i="17"/>
  <c r="G30" i="17" s="1"/>
  <c r="L161" i="17"/>
  <c r="L157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M150" i="17"/>
  <c r="S159" i="17"/>
  <c r="T159" i="17" s="1"/>
  <c r="S106" i="17"/>
  <c r="T106" i="17" s="1"/>
  <c r="Q55" i="17" l="1"/>
  <c r="Q56" i="17" s="1"/>
  <c r="S124" i="17"/>
  <c r="T124" i="17" s="1"/>
  <c r="R150" i="17"/>
  <c r="M55" i="17"/>
  <c r="M61" i="17" s="1"/>
  <c r="M66" i="17" s="1"/>
  <c r="M62" i="17" s="1"/>
  <c r="G156" i="17"/>
  <c r="G161" i="17" s="1"/>
  <c r="J55" i="17"/>
  <c r="J61" i="17" s="1"/>
  <c r="J66" i="17" s="1"/>
  <c r="J62" i="17" s="1"/>
  <c r="P55" i="17"/>
  <c r="P61" i="17" s="1"/>
  <c r="P66" i="17" s="1"/>
  <c r="P62" i="17" s="1"/>
  <c r="R30" i="17"/>
  <c r="G30" i="11" s="1"/>
  <c r="N55" i="17"/>
  <c r="N61" i="17" s="1"/>
  <c r="N66" i="17" s="1"/>
  <c r="N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M56" i="17"/>
  <c r="R61" i="17"/>
  <c r="R66" i="17" s="1"/>
  <c r="R62" i="17" s="1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H12" i="1" l="1"/>
  <c r="I12" i="1" s="1"/>
  <c r="G73" i="11"/>
  <c r="J56" i="17"/>
  <c r="N56" i="17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S151" i="17"/>
  <c r="T151" i="17" s="1"/>
  <c r="G56" i="17"/>
  <c r="G61" i="17"/>
  <c r="G61" i="11" s="1"/>
  <c r="J161" i="17"/>
  <c r="H66" i="11" s="1"/>
  <c r="S156" i="17"/>
  <c r="T156" i="17" s="1"/>
  <c r="I61" i="11" l="1"/>
  <c r="J61" i="11"/>
  <c r="S56" i="17"/>
  <c r="T56" i="17" s="1"/>
  <c r="G56" i="11"/>
  <c r="S61" i="17"/>
  <c r="T61" i="17" s="1"/>
  <c r="G66" i="17"/>
  <c r="J157" i="17"/>
  <c r="S161" i="17"/>
  <c r="T161" i="17" s="1"/>
  <c r="G62" i="17" l="1"/>
  <c r="G62" i="11" s="1"/>
  <c r="G66" i="11"/>
  <c r="S157" i="17"/>
  <c r="T157" i="17" s="1"/>
  <c r="H62" i="11"/>
  <c r="S66" i="17"/>
  <c r="T66" i="17" s="1"/>
  <c r="S62" i="17" l="1"/>
  <c r="T62" i="17" s="1"/>
  <c r="J66" i="11"/>
  <c r="I66" i="11"/>
  <c r="J62" i="11"/>
  <c r="I62" i="11"/>
  <c r="G12" i="2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2" i="16" l="1"/>
  <c r="I153" i="16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O29" i="16" l="1"/>
  <c r="O30" i="16" s="1"/>
  <c r="N10" i="16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K155" i="16" l="1"/>
  <c r="K160" i="16" s="1"/>
  <c r="K156" i="16" s="1"/>
  <c r="Q155" i="16"/>
  <c r="Q160" i="16" s="1"/>
  <c r="Q156" i="16" s="1"/>
  <c r="L150" i="16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l="1"/>
  <c r="L60" i="11" s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M65" i="11" s="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M63" i="11" s="1"/>
  <c r="K64" i="1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K31" i="11" l="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M60" i="11" s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R8" i="16" s="1"/>
  <c r="G241" i="2"/>
  <c r="Q8" i="16" s="1"/>
  <c r="G240" i="2"/>
  <c r="G239" i="2"/>
  <c r="O8" i="16" s="1"/>
  <c r="G238" i="2"/>
  <c r="N8" i="16" s="1"/>
  <c r="G237" i="2"/>
  <c r="M8" i="16" s="1"/>
  <c r="G236" i="2"/>
  <c r="G235" i="2"/>
  <c r="K8" i="16" s="1"/>
  <c r="G234" i="2"/>
  <c r="J8" i="16" s="1"/>
  <c r="G233" i="2"/>
  <c r="I8" i="16" s="1"/>
  <c r="G232" i="2"/>
  <c r="H8" i="16" s="1"/>
  <c r="G231" i="2"/>
  <c r="G8" i="16" s="1"/>
  <c r="G230" i="2"/>
  <c r="G229" i="2"/>
  <c r="G227" i="2"/>
  <c r="B54" i="11" s="1"/>
  <c r="G225" i="2"/>
  <c r="B66" i="16" s="1"/>
  <c r="G224" i="2"/>
  <c r="G223" i="2"/>
  <c r="B62" i="16" s="1"/>
  <c r="G222" i="2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B60" i="13" s="1"/>
  <c r="G196" i="2"/>
  <c r="G195" i="2"/>
  <c r="G194" i="2"/>
  <c r="G193" i="2"/>
  <c r="G192" i="2"/>
  <c r="G191" i="2"/>
  <c r="G190" i="2"/>
  <c r="G189" i="2"/>
  <c r="G188" i="2"/>
  <c r="G187" i="2"/>
  <c r="B49" i="4" s="1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B46" i="10" s="1"/>
  <c r="G162" i="2"/>
  <c r="G161" i="2"/>
  <c r="G160" i="2"/>
  <c r="G159" i="2"/>
  <c r="G158" i="2"/>
  <c r="G157" i="2"/>
  <c r="G156" i="2"/>
  <c r="G155" i="2"/>
  <c r="B45" i="11" s="1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B37" i="9" s="1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B64" i="16" s="1"/>
  <c r="G77" i="2"/>
  <c r="B63" i="16" s="1"/>
  <c r="G76" i="2"/>
  <c r="G75" i="2"/>
  <c r="G74" i="2"/>
  <c r="G73" i="2"/>
  <c r="G72" i="2"/>
  <c r="G71" i="2"/>
  <c r="G70" i="2"/>
  <c r="G69" i="2"/>
  <c r="B122" i="12" s="1"/>
  <c r="G68" i="2"/>
  <c r="G67" i="2"/>
  <c r="G66" i="2"/>
  <c r="B65" i="16" s="1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G40" i="2"/>
  <c r="G39" i="2"/>
  <c r="G38" i="2"/>
  <c r="G37" i="2"/>
  <c r="G35" i="2"/>
  <c r="G34" i="2"/>
  <c r="G33" i="2"/>
  <c r="G32" i="2"/>
  <c r="G31" i="2"/>
  <c r="G30" i="2"/>
  <c r="B12" i="11" s="1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E3" i="8" s="1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Q387" i="6"/>
  <c r="DP387" i="6"/>
  <c r="DO387" i="6"/>
  <c r="DN387" i="6"/>
  <c r="DM387" i="6"/>
  <c r="DL387" i="6"/>
  <c r="DK387" i="6"/>
  <c r="DJ387" i="6"/>
  <c r="DI387" i="6"/>
  <c r="DH387" i="6"/>
  <c r="DG387" i="6"/>
  <c r="DF387" i="6"/>
  <c r="DE387" i="6"/>
  <c r="DD387" i="6"/>
  <c r="DC387" i="6"/>
  <c r="DB387" i="6"/>
  <c r="DA387" i="6"/>
  <c r="CZ387" i="6"/>
  <c r="CY387" i="6"/>
  <c r="CX387" i="6"/>
  <c r="CW387" i="6"/>
  <c r="CV387" i="6"/>
  <c r="CU387" i="6"/>
  <c r="CT387" i="6"/>
  <c r="CR387" i="6"/>
  <c r="CQ387" i="6"/>
  <c r="CP387" i="6"/>
  <c r="CN387" i="6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A106" i="4"/>
  <c r="G100" i="4"/>
  <c r="A132" i="4"/>
  <c r="A107" i="4"/>
  <c r="L100" i="4"/>
  <c r="A108" i="4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H120" i="4" s="1"/>
  <c r="A121" i="4"/>
  <c r="A122" i="4"/>
  <c r="A123" i="4"/>
  <c r="A127" i="4"/>
  <c r="R100" i="4"/>
  <c r="A128" i="4"/>
  <c r="A129" i="4"/>
  <c r="H100" i="4"/>
  <c r="H118" i="4" s="1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S14" i="4"/>
  <c r="T14" i="4" s="1"/>
  <c r="S16" i="4"/>
  <c r="T16" i="4" s="1"/>
  <c r="S12" i="4"/>
  <c r="T12" i="4" s="1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T34" i="4" s="1"/>
  <c r="S50" i="4"/>
  <c r="T50" i="4" s="1"/>
  <c r="S41" i="4"/>
  <c r="T41" i="4" s="1"/>
  <c r="S37" i="4"/>
  <c r="S33" i="4"/>
  <c r="T33" i="4" s="1"/>
  <c r="S53" i="4"/>
  <c r="T53" i="4"/>
  <c r="S49" i="4"/>
  <c r="T49" i="4" s="1"/>
  <c r="S51" i="4"/>
  <c r="T51" i="4" s="1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 s="1"/>
  <c r="S27" i="4"/>
  <c r="T27" i="4" s="1"/>
  <c r="S26" i="4"/>
  <c r="T26" i="4" s="1"/>
  <c r="S25" i="4"/>
  <c r="T25" i="4" s="1"/>
  <c r="S24" i="4"/>
  <c r="T24" i="4" s="1"/>
  <c r="K112" i="4"/>
  <c r="Q119" i="8"/>
  <c r="M112" i="4"/>
  <c r="I112" i="4"/>
  <c r="J112" i="4"/>
  <c r="B110" i="8"/>
  <c r="R111" i="9"/>
  <c r="DK321" i="6"/>
  <c r="DO321" i="6"/>
  <c r="DT350" i="6"/>
  <c r="T22" i="4"/>
  <c r="T20" i="4"/>
  <c r="T37" i="4"/>
  <c r="T17" i="4"/>
  <c r="T23" i="4"/>
  <c r="T38" i="4"/>
  <c r="S11" i="4"/>
  <c r="T11" i="4" s="1"/>
  <c r="S31" i="4"/>
  <c r="T31" i="4" s="1"/>
  <c r="S57" i="4"/>
  <c r="T57" i="4" s="1"/>
  <c r="S65" i="4"/>
  <c r="T65" i="4" s="1"/>
  <c r="S64" i="4"/>
  <c r="T64" i="4"/>
  <c r="E4" i="8"/>
  <c r="B118" i="8"/>
  <c r="B50" i="9"/>
  <c r="B117" i="4"/>
  <c r="B11" i="9"/>
  <c r="B113" i="9"/>
  <c r="B33" i="8"/>
  <c r="Q8" i="8"/>
  <c r="Q103" i="8" s="1"/>
  <c r="B33" i="9"/>
  <c r="B26" i="8"/>
  <c r="B42" i="9"/>
  <c r="B158" i="9"/>
  <c r="B115" i="8"/>
  <c r="B43" i="9"/>
  <c r="B145" i="9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59" i="12"/>
  <c r="M107" i="12"/>
  <c r="I113" i="12"/>
  <c r="M122" i="12"/>
  <c r="B144" i="10"/>
  <c r="Q116" i="4"/>
  <c r="R108" i="4"/>
  <c r="K119" i="8"/>
  <c r="P107" i="8"/>
  <c r="K117" i="8"/>
  <c r="R112" i="4"/>
  <c r="B152" i="8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L115" i="4"/>
  <c r="B144" i="4"/>
  <c r="P118" i="4"/>
  <c r="M111" i="8"/>
  <c r="G122" i="8"/>
  <c r="Q159" i="8"/>
  <c r="B113" i="8"/>
  <c r="R116" i="4"/>
  <c r="G108" i="8"/>
  <c r="K121" i="8"/>
  <c r="R108" i="9"/>
  <c r="O116" i="9"/>
  <c r="L113" i="9"/>
  <c r="G113" i="9"/>
  <c r="T119" i="8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M120" i="4"/>
  <c r="J123" i="10"/>
  <c r="L112" i="4"/>
  <c r="M121" i="4"/>
  <c r="N112" i="4"/>
  <c r="S121" i="8"/>
  <c r="CO321" i="6"/>
  <c r="CQ350" i="6"/>
  <c r="DO386" i="6"/>
  <c r="DS386" i="6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M112" i="10"/>
  <c r="K112" i="10"/>
  <c r="I107" i="10"/>
  <c r="I120" i="10"/>
  <c r="I117" i="10"/>
  <c r="I113" i="10"/>
  <c r="B151" i="10"/>
  <c r="J115" i="10"/>
  <c r="R115" i="10"/>
  <c r="L115" i="10"/>
  <c r="P115" i="10"/>
  <c r="R111" i="10"/>
  <c r="I111" i="10"/>
  <c r="O122" i="10"/>
  <c r="G122" i="10"/>
  <c r="P118" i="10"/>
  <c r="G118" i="10"/>
  <c r="N118" i="10"/>
  <c r="P130" i="10"/>
  <c r="I157" i="10"/>
  <c r="K120" i="12"/>
  <c r="R158" i="12"/>
  <c r="H154" i="12"/>
  <c r="H111" i="12"/>
  <c r="B158" i="12"/>
  <c r="B127" i="4"/>
  <c r="L130" i="10" l="1"/>
  <c r="B111" i="8"/>
  <c r="B115" i="10"/>
  <c r="B154" i="9"/>
  <c r="O117" i="10"/>
  <c r="B108" i="9"/>
  <c r="B113" i="4"/>
  <c r="B22" i="10"/>
  <c r="B22" i="11"/>
  <c r="B125" i="12"/>
  <c r="B132" i="4"/>
  <c r="H109" i="4"/>
  <c r="CN350" i="6"/>
  <c r="CR350" i="6"/>
  <c r="CV350" i="6"/>
  <c r="CZ350" i="6"/>
  <c r="DD350" i="6"/>
  <c r="DH350" i="6"/>
  <c r="DL350" i="6"/>
  <c r="DP350" i="6"/>
  <c r="CN386" i="6"/>
  <c r="CX386" i="6"/>
  <c r="DB386" i="6"/>
  <c r="DF386" i="6"/>
  <c r="DJ386" i="6"/>
  <c r="DR386" i="6"/>
  <c r="B60" i="11"/>
  <c r="B60" i="17"/>
  <c r="B25" i="3"/>
  <c r="H8" i="9"/>
  <c r="H102" i="9" s="1"/>
  <c r="B53" i="11"/>
  <c r="I8" i="3"/>
  <c r="L8" i="3" s="1"/>
  <c r="B152" i="4"/>
  <c r="B106" i="4"/>
  <c r="H8" i="10"/>
  <c r="H103" i="10" s="1"/>
  <c r="H8" i="8"/>
  <c r="H103" i="8" s="1"/>
  <c r="H8" i="4"/>
  <c r="H102" i="4" s="1"/>
  <c r="N8" i="10"/>
  <c r="N103" i="10" s="1"/>
  <c r="N8" i="4"/>
  <c r="N102" i="4" s="1"/>
  <c r="E3" i="9"/>
  <c r="B156" i="10"/>
  <c r="B132" i="8"/>
  <c r="B49" i="11"/>
  <c r="B19" i="3"/>
  <c r="B131" i="4"/>
  <c r="B156" i="9"/>
  <c r="B109" i="8"/>
  <c r="B141" i="12"/>
  <c r="P8" i="8"/>
  <c r="P103" i="8" s="1"/>
  <c r="B144" i="9"/>
  <c r="B63" i="10"/>
  <c r="R8" i="4"/>
  <c r="R102" i="4" s="1"/>
  <c r="B108" i="4"/>
  <c r="B123" i="8"/>
  <c r="B142" i="8"/>
  <c r="B133" i="8"/>
  <c r="B141" i="4"/>
  <c r="B46" i="4"/>
  <c r="E3" i="11"/>
  <c r="E3" i="10"/>
  <c r="J8" i="4"/>
  <c r="J102" i="4" s="1"/>
  <c r="N144" i="10"/>
  <c r="M130" i="4"/>
  <c r="H153" i="10"/>
  <c r="N142" i="10"/>
  <c r="M140" i="12"/>
  <c r="Q153" i="12"/>
  <c r="P153" i="10"/>
  <c r="J140" i="12"/>
  <c r="H153" i="4"/>
  <c r="O144" i="10"/>
  <c r="R142" i="10"/>
  <c r="O132" i="10"/>
  <c r="I145" i="10"/>
  <c r="B60" i="4"/>
  <c r="B61" i="16"/>
  <c r="L8" i="4"/>
  <c r="L102" i="4" s="1"/>
  <c r="L8" i="16"/>
  <c r="P8" i="9"/>
  <c r="P102" i="9" s="1"/>
  <c r="P8" i="16"/>
  <c r="B44" i="4"/>
  <c r="B36" i="9"/>
  <c r="P8" i="4"/>
  <c r="P102" i="4" s="1"/>
  <c r="B153" i="12"/>
  <c r="B152" i="9"/>
  <c r="B45" i="3"/>
  <c r="B7" i="10"/>
  <c r="B119" i="10"/>
  <c r="S8" i="8"/>
  <c r="S103" i="8" s="1"/>
  <c r="B110" i="4"/>
  <c r="B130" i="4"/>
  <c r="B124" i="10"/>
  <c r="B12" i="4"/>
  <c r="B54" i="4"/>
  <c r="B54" i="8"/>
  <c r="B60" i="9"/>
  <c r="B153" i="10"/>
  <c r="B153" i="4"/>
  <c r="B144" i="8"/>
  <c r="B131" i="8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Q144" i="8"/>
  <c r="H107" i="8"/>
  <c r="E253" i="2"/>
  <c r="G253" i="2" s="1"/>
  <c r="B7" i="11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P8" i="3" l="1"/>
  <c r="S8" i="3" s="1"/>
  <c r="P150" i="10"/>
  <c r="DH193" i="6"/>
  <c r="T55" i="11"/>
  <c r="T56" i="11"/>
  <c r="O60" i="11"/>
  <c r="P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Q48" i="11" s="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Q41" i="11" s="1"/>
  <c r="O51" i="11"/>
  <c r="Q51" i="11" s="1"/>
  <c r="O46" i="11"/>
  <c r="P46" i="11" s="1"/>
  <c r="O19" i="11"/>
  <c r="P19" i="11" s="1"/>
  <c r="O12" i="11"/>
  <c r="Q12" i="11" s="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R62" i="11"/>
  <c r="T62" i="11" s="1"/>
  <c r="K62" i="11"/>
  <c r="S61" i="11"/>
  <c r="S65" i="11"/>
  <c r="T65" i="11"/>
  <c r="S8" i="13"/>
  <c r="G7" i="11"/>
  <c r="S8" i="17"/>
  <c r="S64" i="11"/>
  <c r="T60" i="11"/>
  <c r="S60" i="11"/>
  <c r="Q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R151" i="13"/>
  <c r="K124" i="13"/>
  <c r="K149" i="13" s="1"/>
  <c r="G161" i="13"/>
  <c r="M151" i="13"/>
  <c r="L151" i="13"/>
  <c r="R124" i="13"/>
  <c r="R125" i="13" s="1"/>
  <c r="M124" i="13"/>
  <c r="M149" i="13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L64" i="11"/>
  <c r="S58" i="12"/>
  <c r="T58" i="12" s="1"/>
  <c r="J27" i="11"/>
  <c r="J34" i="11"/>
  <c r="I28" i="11"/>
  <c r="I34" i="11"/>
  <c r="J53" i="11"/>
  <c r="M51" i="11"/>
  <c r="I35" i="11"/>
  <c r="L33" i="11"/>
  <c r="I17" i="11"/>
  <c r="L65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Q15" i="11" l="1"/>
  <c r="P32" i="1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5" i="13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M148" i="10" l="1"/>
  <c r="M154" i="10" s="1"/>
  <c r="M159" i="10" s="1"/>
  <c r="M155" i="10" s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61" i="11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S161" i="13"/>
  <c r="T161" i="13" s="1"/>
  <c r="G61" i="9"/>
  <c r="S61" i="9" s="1"/>
  <c r="T61" i="9" s="1"/>
  <c r="S65" i="9"/>
  <c r="T65" i="9" s="1"/>
  <c r="M61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T66" i="12" l="1"/>
  <c r="S62" i="12"/>
  <c r="T62" i="12" s="1"/>
  <c r="G156" i="8"/>
  <c r="W156" i="8" s="1"/>
  <c r="X156" i="8" s="1"/>
  <c r="Q62" i="1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L62" i="11" l="1"/>
  <c r="B102" i="16" l="1"/>
  <c r="S7" i="16"/>
  <c r="S102" i="16" s="1"/>
  <c r="R103" i="16"/>
  <c r="Q103" i="16"/>
  <c r="P103" i="16"/>
  <c r="N103" i="16"/>
  <c r="M103" i="16"/>
  <c r="L103" i="16"/>
  <c r="J103" i="16"/>
  <c r="I103" i="16"/>
  <c r="H103" i="16"/>
  <c r="E3" i="16"/>
  <c r="E2" i="16"/>
  <c r="S103" i="16"/>
  <c r="B106" i="16" l="1"/>
  <c r="B110" i="16"/>
  <c r="B114" i="16"/>
  <c r="B118" i="16"/>
  <c r="B120" i="16"/>
  <c r="B159" i="16"/>
  <c r="B158" i="16"/>
  <c r="B127" i="16"/>
  <c r="B137" i="16"/>
  <c r="B136" i="16"/>
  <c r="B145" i="16"/>
  <c r="B152" i="16"/>
  <c r="B160" i="16"/>
  <c r="G103" i="16"/>
  <c r="K103" i="16"/>
  <c r="O103" i="16"/>
  <c r="B107" i="16"/>
  <c r="B111" i="16"/>
  <c r="B115" i="16"/>
  <c r="B119" i="16"/>
  <c r="B124" i="16"/>
  <c r="B130" i="16"/>
  <c r="B138" i="16"/>
  <c r="B139" i="16"/>
  <c r="B142" i="16"/>
  <c r="B143" i="16"/>
  <c r="B153" i="16"/>
  <c r="B154" i="16"/>
  <c r="B155" i="16"/>
  <c r="B105" i="16"/>
  <c r="B108" i="16"/>
  <c r="B112" i="16"/>
  <c r="B116" i="16"/>
  <c r="B121" i="16"/>
  <c r="B123" i="16"/>
  <c r="B126" i="16"/>
  <c r="B128" i="16"/>
  <c r="B129" i="16"/>
  <c r="B133" i="16"/>
  <c r="B134" i="16"/>
  <c r="B135" i="16"/>
  <c r="B151" i="16"/>
  <c r="B147" i="16"/>
  <c r="B146" i="16"/>
  <c r="B149" i="16"/>
  <c r="B156" i="16"/>
  <c r="T9" i="16"/>
  <c r="T104" i="16" s="1"/>
  <c r="B109" i="16"/>
  <c r="B113" i="16"/>
  <c r="B117" i="16"/>
  <c r="B122" i="16"/>
  <c r="B157" i="16"/>
  <c r="B125" i="16"/>
  <c r="B131" i="16"/>
  <c r="B132" i="16"/>
  <c r="B140" i="16"/>
  <c r="B141" i="16"/>
  <c r="B144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<sst xmlns="http://schemas.openxmlformats.org/spreadsheetml/2006/main" count="1658" uniqueCount="798">
  <si>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</si>
  <si>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</si>
  <si>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</si>
  <si>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</si>
  <si>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</si>
  <si>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</si>
  <si>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</si>
  <si>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</si>
  <si>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</si>
  <si>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</si>
  <si>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</si>
  <si>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</si>
  <si>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</si>
  <si>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</si>
  <si>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</si>
  <si>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</si>
  <si>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</si>
  <si>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</si>
  <si>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</si>
  <si>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</si>
  <si>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</si>
  <si>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</si>
  <si>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</si>
  <si>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</si>
  <si>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</si>
  <si>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</si>
  <si>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</si>
  <si>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</si>
  <si>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</si>
  <si>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</si>
  <si>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</si>
  <si>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</si>
  <si>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</si>
  <si>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</si>
  <si>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</si>
  <si>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</si>
  <si>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</si>
  <si>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</si>
  <si>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</si>
  <si>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</si>
  <si>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</si>
  <si>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</si>
  <si>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</si>
  <si>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</si>
  <si>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</si>
  <si>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</si>
  <si>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</si>
  <si>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</si>
  <si>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</si>
  <si>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</si>
  <si>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</si>
  <si>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</si>
  <si>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</si>
  <si>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</si>
  <si>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</si>
  <si>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</si>
  <si>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</si>
  <si>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</si>
  <si>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</si>
  <si>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</si>
  <si>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</si>
  <si>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</si>
  <si>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</si>
  <si>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</si>
  <si>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</si>
  <si>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</si>
  <si>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</si>
  <si>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</si>
  <si>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</si>
  <si>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</si>
  <si>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</si>
  <si>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</si>
  <si>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</si>
  <si>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</si>
  <si>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</si>
  <si>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</si>
  <si>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</si>
  <si>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</si>
  <si>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</si>
  <si>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</si>
  <si>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</si>
  <si>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</si>
  <si>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</si>
  <si>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</si>
  <si>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</si>
  <si>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</si>
  <si>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</si>
  <si>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</si>
  <si>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</si>
  <si>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</si>
  <si>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</si>
  <si>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</si>
  <si>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</si>
  <si>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</si>
  <si>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</si>
  <si>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</si>
  <si>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</si>
  <si>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</si>
  <si>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</si>
  <si>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</si>
  <si>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</si>
  <si>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</si>
  <si>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</si>
  <si>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</si>
  <si>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</si>
  <si>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</si>
  <si>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</si>
  <si>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</si>
  <si>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</si>
  <si>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</si>
  <si>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</si>
  <si>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</si>
  <si>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</si>
  <si>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</si>
  <si>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</si>
  <si>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</si>
  <si>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</si>
  <si>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</si>
  <si>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</si>
  <si>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</si>
  <si>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</si>
  <si>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</si>
  <si>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</si>
  <si>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</si>
  <si>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</si>
  <si>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</si>
  <si>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</si>
  <si>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</si>
  <si>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</si>
  <si>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</si>
  <si>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</si>
  <si>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</si>
  <si>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</si>
  <si>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</si>
  <si>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</si>
  <si>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</si>
  <si>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</si>
  <si>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</si>
  <si>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</si>
  <si>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</si>
  <si>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</si>
  <si>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</si>
  <si>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</si>
  <si>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</si>
  <si>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</si>
  <si>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</si>
  <si>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</si>
  <si>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</si>
  <si>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</si>
  <si>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</si>
  <si>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</si>
  <si>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</si>
  <si>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</si>
  <si>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</si>
  <si>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</si>
  <si>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</si>
  <si>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</si>
  <si>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</si>
  <si>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</si>
  <si>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</si>
  <si>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</si>
  <si>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</si>
  <si>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</si>
  <si>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</si>
  <si>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</si>
  <si>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</si>
  <si>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</si>
  <si>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</si>
  <si>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</si>
  <si>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</si>
  <si>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</si>
  <si>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</si>
  <si>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</si>
  <si>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</si>
  <si>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</si>
  <si>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</si>
  <si>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</si>
  <si>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</si>
  <si>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</si>
  <si>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</si>
  <si>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</si>
  <si>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</si>
  <si>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</si>
  <si>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</si>
  <si>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</si>
  <si>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</si>
  <si>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</si>
  <si>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</si>
  <si>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</si>
  <si>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</si>
  <si>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</si>
  <si>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</si>
  <si>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</si>
  <si>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</si>
  <si>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</si>
  <si>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</si>
  <si>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</si>
  <si>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</si>
  <si>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</si>
  <si>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</si>
  <si>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</si>
  <si>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</si>
  <si>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</si>
  <si>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</si>
  <si>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</si>
  <si>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</si>
  <si>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</si>
  <si>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</si>
  <si>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</si>
  <si>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</si>
  <si>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</si>
  <si>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</si>
  <si>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</si>
  <si>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</si>
  <si>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</si>
  <si>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</si>
  <si>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</si>
  <si>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</si>
  <si>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</si>
  <si>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</si>
  <si>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</si>
  <si>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</si>
  <si>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</si>
  <si>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</si>
  <si>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</si>
  <si>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</si>
  <si>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</si>
  <si>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</si>
  <si>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</si>
  <si>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</si>
  <si>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</si>
  <si>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</si>
  <si>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</si>
  <si>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</si>
  <si>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</si>
  <si>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</si>
  <si>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</si>
  <si>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</si>
  <si>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</si>
  <si>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</si>
  <si>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</si>
  <si>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</si>
  <si>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</si>
  <si>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</si>
  <si>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</si>
  <si>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</si>
  <si>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</si>
  <si>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</si>
  <si>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</si>
  <si>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</si>
  <si>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</si>
  <si>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</si>
  <si>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</si>
  <si>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</si>
  <si>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</si>
  <si>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</si>
  <si>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</si>
  <si>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</si>
  <si>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</si>
  <si>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</si>
  <si>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</si>
  <si>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</si>
  <si>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</si>
  <si>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</si>
  <si>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</si>
  <si>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</si>
  <si>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</si>
  <si>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</si>
  <si>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</si>
  <si>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</si>
  <si>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</si>
  <si>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</si>
  <si>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</si>
  <si>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</si>
  <si>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</si>
  <si>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</si>
  <si>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</si>
  <si>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</si>
  <si>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</si>
  <si>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</si>
  <si>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</si>
  <si>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</si>
  <si>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</si>
  <si>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</si>
  <si>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</si>
  <si>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</si>
  <si>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</si>
  <si>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</si>
  <si>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</si>
  <si>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</si>
  <si>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</si>
  <si>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</si>
  <si>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</si>
  <si>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</si>
  <si>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</si>
  <si>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</si>
  <si>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</si>
  <si>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</si>
  <si>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</si>
  <si>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</si>
  <si>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</si>
  <si>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</si>
  <si>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</si>
  <si>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</si>
  <si>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</si>
  <si>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</si>
  <si>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</si>
  <si>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</si>
  <si>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</si>
  <si>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</si>
  <si>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</si>
  <si>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</si>
  <si>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</si>
  <si>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</si>
  <si>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</si>
  <si>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</si>
  <si>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</si>
  <si>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</si>
  <si>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</si>
  <si>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</si>
  <si>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</si>
  <si>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</si>
  <si>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</si>
  <si>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</si>
  <si>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</si>
  <si>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</si>
  <si>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</si>
  <si>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</si>
  <si>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</si>
  <si>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</si>
  <si>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</si>
  <si>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</si>
  <si>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</si>
  <si>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</si>
  <si>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</si>
  <si>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</si>
  <si>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</si>
  <si>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</si>
  <si>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</si>
  <si>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</si>
  <si>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</si>
  <si>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</si>
  <si>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</si>
  <si>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</si>
  <si>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</si>
  <si>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</si>
  <si>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</si>
  <si>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</si>
  <si>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</si>
  <si>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</si>
  <si>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</si>
  <si>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</si>
  <si>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</si>
  <si>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</si>
  <si>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</si>
  <si>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</si>
  <si>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</si>
  <si>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</si>
  <si>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</si>
  <si>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</si>
  <si>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</si>
  <si>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</si>
  <si>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</si>
  <si>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</si>
  <si>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</si>
  <si>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</si>
  <si>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</si>
  <si>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</si>
  <si>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</si>
  <si>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</si>
  <si>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</si>
  <si>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</si>
  <si>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</si>
  <si>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</si>
  <si>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</si>
  <si>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</si>
  <si>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</si>
  <si>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</si>
  <si>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</si>
  <si>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</si>
  <si>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</si>
  <si>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</si>
  <si>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</si>
  <si>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</si>
  <si>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</si>
  <si>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</si>
  <si>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</si>
  <si>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</si>
  <si>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</si>
  <si>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</si>
  <si>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</si>
  <si>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</si>
  <si>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</si>
  <si>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</si>
  <si>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</si>
  <si>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</si>
  <si>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</si>
  <si>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</si>
  <si>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</si>
  <si>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</si>
  <si>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</si>
  <si>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</si>
  <si>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</si>
  <si>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</si>
  <si>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</si>
  <si>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</si>
  <si>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</si>
  <si>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</si>
  <si>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</si>
  <si>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</si>
  <si>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</si>
  <si>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</si>
  <si>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</si>
  <si>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</si>
  <si>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</si>
  <si>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</si>
  <si>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</si>
  <si>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</si>
  <si>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</si>
  <si>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</si>
  <si>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</si>
  <si>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</si>
  <si>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</si>
  <si>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</si>
  <si>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</si>
  <si>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</si>
  <si>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</si>
  <si>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</si>
  <si>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</si>
  <si>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</si>
  <si>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</si>
  <si>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</si>
  <si>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</si>
  <si>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</si>
  <si>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</si>
  <si>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</si>
  <si>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</si>
  <si>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</si>
  <si>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</si>
  <si>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</si>
  <si>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</si>
  <si>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</si>
  <si>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</si>
  <si>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</si>
  <si>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</si>
  <si>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</si>
  <si>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</si>
  <si>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</si>
  <si>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</si>
  <si>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</si>
  <si>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</si>
  <si>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</si>
  <si>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</si>
  <si>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</si>
  <si>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</si>
  <si>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</si>
  <si>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</si>
  <si>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</si>
  <si>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</si>
  <si>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</si>
  <si>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</si>
  <si>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</si>
  <si>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</si>
  <si>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</si>
  <si>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</si>
  <si>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</si>
  <si>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</si>
  <si>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</si>
  <si>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</si>
  <si>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</si>
  <si>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</si>
  <si>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</si>
  <si>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</si>
  <si>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</si>
  <si>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</si>
  <si>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</si>
  <si>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</si>
  <si>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</si>
  <si>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</si>
  <si>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</si>
  <si>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</si>
  <si>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</si>
  <si>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</si>
  <si>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</si>
  <si>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</si>
  <si>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</si>
  <si>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</si>
  <si>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</si>
  <si>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</si>
  <si>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</si>
  <si>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</si>
  <si>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</si>
  <si>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</si>
  <si>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</si>
  <si>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</si>
  <si>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</si>
  <si>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</si>
  <si>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</si>
  <si>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</si>
  <si>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</si>
  <si>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</si>
  <si>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</si>
  <si>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</si>
  <si>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</si>
  <si>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</si>
  <si>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</si>
  <si>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</si>
  <si>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</si>
  <si>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</si>
  <si>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</si>
  <si>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</si>
  <si>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</si>
  <si>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</si>
  <si>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</si>
  <si>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</si>
  <si>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</si>
  <si>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</si>
  <si>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</si>
  <si>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</si>
  <si>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</si>
  <si>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</si>
  <si>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</si>
  <si>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</si>
  <si>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</si>
  <si>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</si>
  <si>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</si>
  <si>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</si>
  <si>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</si>
  <si>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</si>
  <si>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</si>
  <si>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</si>
  <si>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</si>
  <si>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</si>
  <si>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</si>
  <si>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</si>
  <si>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</si>
  <si>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</si>
  <si>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</si>
  <si>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</si>
  <si>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</si>
  <si>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</si>
  <si>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</si>
  <si>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</si>
  <si>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</si>
  <si>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</si>
  <si>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</si>
  <si>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</si>
  <si>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</si>
  <si>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</si>
  <si>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</si>
  <si>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</si>
  <si>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</si>
  <si>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</si>
  <si>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</si>
  <si>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</si>
  <si>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</si>
  <si>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</si>
  <si>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</si>
  <si>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</si>
  <si>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</si>
  <si>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</si>
  <si>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</si>
  <si>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</si>
  <si>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</si>
  <si>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</si>
  <si>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</si>
  <si>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</si>
  <si>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</si>
  <si>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</si>
  <si>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</si>
  <si>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</si>
  <si>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</si>
  <si>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</si>
  <si>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</si>
  <si>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</si>
  <si>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</si>
  <si>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</si>
  <si>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</si>
  <si>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</si>
  <si>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</si>
  <si>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</si>
  <si>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</si>
  <si>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</si>
  <si>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</si>
  <si>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</si>
  <si>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</si>
  <si>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</si>
  <si>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</si>
  <si>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</si>
  <si>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</si>
  <si>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</si>
  <si>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</si>
  <si>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</si>
  <si>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</si>
  <si>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</si>
  <si>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</si>
  <si>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</si>
  <si>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</si>
  <si>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</si>
  <si>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</si>
  <si>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</si>
  <si>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</si>
  <si>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</si>
  <si>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</si>
  <si>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</si>
  <si>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</si>
  <si>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</si>
  <si>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</si>
  <si>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</si>
  <si>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</si>
  <si>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</si>
  <si>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</si>
  <si>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</si>
  <si>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</si>
  <si>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</si>
  <si>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</si>
  <si>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</si>
  <si>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</si>
  <si>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</si>
  <si>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</si>
  <si>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</si>
  <si>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</si>
  <si>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</si>
  <si>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</si>
  <si>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</si>
  <si>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</si>
  <si>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</si>
  <si>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</si>
  <si>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</si>
  <si>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</si>
  <si>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</si>
  <si>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</si>
  <si>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</si>
  <si>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</si>
  <si>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</si>
  <si>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</si>
  <si>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</si>
  <si>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</si>
  <si>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</si>
  <si>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</si>
  <si>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</si>
  <si>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</si>
  <si>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</si>
  <si>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</si>
  <si>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</si>
  <si>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</si>
  <si>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</si>
  <si>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</si>
  <si>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</si>
  <si>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</si>
  <si>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</si>
  <si>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</si>
  <si>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</si>
  <si>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</si>
  <si>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</si>
  <si>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</si>
  <si>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</si>
  <si>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</si>
  <si>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</si>
  <si>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</si>
  <si>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</si>
  <si>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</si>
  <si>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</si>
  <si>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</si>
  <si>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</si>
  <si>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</si>
  <si>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</si>
  <si>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</si>
  <si>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</si>
  <si>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</si>
  <si>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</si>
  <si>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</si>
  <si>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</si>
  <si>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</si>
  <si>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</si>
  <si>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</si>
  <si>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</si>
  <si>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</si>
  <si>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</si>
  <si>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</si>
  <si>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</si>
  <si>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</si>
  <si>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</si>
  <si>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</si>
  <si>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</si>
  <si>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</si>
  <si>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</si>
  <si>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</si>
  <si>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</si>
  <si>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</si>
  <si>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</si>
  <si>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</si>
  <si>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</si>
  <si>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</si>
  <si>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</si>
  <si>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</si>
  <si>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</si>
  <si>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</si>
  <si>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</si>
  <si>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</si>
  <si>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</si>
  <si>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</si>
  <si>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</si>
  <si>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</si>
  <si>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</si>
  <si>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</si>
  <si>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</si>
  <si>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</si>
  <si>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</si>
  <si>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</si>
  <si>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</si>
  <si>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</si>
  <si>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</si>
  <si>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</si>
  <si>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</si>
  <si>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</si>
  <si>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</si>
  <si>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</si>
  <si>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</si>
  <si>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</si>
  <si>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</si>
  <si>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</si>
  <si>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</si>
  <si>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</si>
  <si>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</si>
  <si>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</si>
  <si>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</si>
  <si>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</si>
  <si>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</si>
  <si>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</si>
  <si>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</si>
  <si>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</si>
  <si>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</si>
  <si>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</si>
  <si>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</si>
  <si>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</si>
  <si>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</si>
  <si>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</si>
  <si>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</si>
  <si>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</si>
  <si>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</si>
  <si>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</si>
  <si>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</si>
  <si>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</si>
  <si>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</si>
  <si>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</si>
  <si>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</si>
  <si>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</si>
  <si>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</si>
  <si>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</si>
  <si>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</si>
  <si>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</si>
  <si>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</si>
  <si>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</si>
  <si>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</si>
  <si>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</si>
  <si>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</si>
  <si>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</si>
  <si>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</si>
  <si>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</si>
  <si>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</si>
  <si>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</si>
  <si>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</si>
  <si>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</si>
  <si>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</si>
  <si>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</si>
  <si>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</si>
  <si>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</si>
  <si>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</si>
  <si>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</si>
  <si>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</si>
  <si>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</si>
  <si>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</si>
  <si>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</si>
  <si>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</si>
  <si>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</si>
  <si>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</si>
  <si>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</si>
  <si>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</si>
  <si>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</si>
  <si>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</si>
  <si>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</si>
  <si>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</si>
  <si>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</si>
  <si>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</si>
  <si>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</si>
  <si>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</si>
  <si>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</si>
  <si>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</si>
  <si>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</si>
  <si>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</si>
  <si>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Modified surplus/deficit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</si>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</sst>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6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75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03600"/>
        <c:axId val="32110672"/>
      </c:lineChart>
      <c:catAx>
        <c:axId val="3210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32110672"/>
        <c:crosses val="autoZero"/>
        <c:auto val="1"/>
        <c:lblAlgn val="ctr"/>
        <c:lblOffset val="100"/>
        <c:tickLblSkip val="3"/>
        <c:noMultiLvlLbl val="0"/>
      </c:catAx>
      <c:valAx>
        <c:axId val="32110672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3210360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09040"/>
        <c:axId val="32112848"/>
      </c:lineChart>
      <c:catAx>
        <c:axId val="32109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32112848"/>
        <c:crosses val="autoZero"/>
        <c:auto val="1"/>
        <c:lblAlgn val="ctr"/>
        <c:lblOffset val="100"/>
        <c:tickLblSkip val="3"/>
        <c:noMultiLvlLbl val="0"/>
      </c:catAx>
      <c:valAx>
        <c:axId val="32112848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3210904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januar-avgust 2019. godine iznosili su 1.17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2,2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mil.€ ili 24,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4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BDP-a i veći su za 2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0,1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mil.€ ili 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1,7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u odnosu na plan. U odnosu na isti period prethodne godine prihodi su veći za 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86,5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mil.€ ili 8,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0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januar-avgust 2019. godine iznosili su 1.227,3 mil.€ ili 25,6% BDP-a i viši su za 88,5 mil. € ili 7,8% u odnosu na isti period prethodne godine. U odnosu na plan izdaci su manji za 131,2 mil.€ ili 9,7%. U periodu januar-avgust 2019.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5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5,1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mil.€ ili 1,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obračunskog usklađivanja, dok su ostale stavke prikazane po kešu.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835998" cy="264560"/>
    <xdr:sp macro="" textlink="Master!G279">
      <xdr:nvSpPr>
        <xdr:cNvPr id="15" name="TextBox 14"/>
        <xdr:cNvSpPr txBox="1"/>
      </xdr:nvSpPr>
      <xdr:spPr>
        <a:xfrm>
          <a:off x="1276350" y="1419225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581025</xdr:colOff>
      <xdr:row>2</xdr:row>
      <xdr:rowOff>123824</xdr:rowOff>
    </xdr:from>
    <xdr:to>
      <xdr:col>15</xdr:col>
      <xdr:colOff>352425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561975</xdr:colOff>
      <xdr:row>4</xdr:row>
      <xdr:rowOff>28574</xdr:rowOff>
    </xdr:from>
    <xdr:to>
      <xdr:col>15</xdr:col>
      <xdr:colOff>352424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295275</xdr:colOff>
      <xdr:row>1</xdr:row>
      <xdr:rowOff>38100</xdr:rowOff>
    </xdr:from>
    <xdr:to>
      <xdr:col>15</xdr:col>
      <xdr:colOff>656683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600075</xdr:colOff>
      <xdr:row>1</xdr:row>
      <xdr:rowOff>47625</xdr:rowOff>
    </xdr:from>
    <xdr:to>
      <xdr:col>19</xdr:col>
      <xdr:colOff>271237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600075</xdr:colOff>
      <xdr:row>3</xdr:row>
      <xdr:rowOff>9525</xdr:rowOff>
    </xdr:from>
    <xdr:to>
      <xdr:col>19</xdr:col>
      <xdr:colOff>271237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10</xdr:col>
      <xdr:colOff>123825</xdr:colOff>
      <xdr:row>2</xdr:row>
      <xdr:rowOff>95250</xdr:rowOff>
    </xdr:from>
    <xdr:to>
      <xdr:col>12</xdr:col>
      <xdr:colOff>591185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2019-08</v>
      </c>
      <c r="O6" s="168" t="str">
        <f>+CONCATENATE(N6,"p")</f>
        <v>2019-08p</v>
      </c>
      <c r="P6" s="152"/>
      <c r="Q6" s="152"/>
      <c r="R6" s="168" t="str">
        <f>+IF(Master!B3-10&gt;=0,CONCATENATE(Master!B4-1,"-",Master!B3),CONCATENATE(Master!B4-1,"-0",Master!B3))</f>
        <v>2018-08</v>
      </c>
      <c r="S6" s="152"/>
      <c r="T6" s="152"/>
    </row>
    <row r="7" spans="1:20">
      <c r="A7" s="169"/>
      <c r="B7" s="459" t="s">
        <v>702</v>
      </c>
      <c r="C7" s="460"/>
      <c r="D7" s="460"/>
      <c r="E7" s="460"/>
      <c r="F7" s="460"/>
      <c r="G7" s="468" t="s">
        <v>700</v>
      </c>
      <c r="H7" s="469"/>
      <c r="I7" s="469"/>
      <c r="J7" s="469"/>
      <c r="K7" s="469"/>
      <c r="L7" s="469"/>
      <c r="M7" s="470"/>
      <c r="N7" s="471" t="str">
        <f>+Master!G242</f>
        <v>Decembar</v>
      </c>
      <c r="O7" s="469"/>
      <c r="P7" s="469"/>
      <c r="Q7" s="469"/>
      <c r="R7" s="469"/>
      <c r="S7" s="469"/>
      <c r="T7" s="472"/>
    </row>
    <row r="8" spans="1:20">
      <c r="A8" s="169"/>
      <c r="B8" s="461"/>
      <c r="C8" s="462"/>
      <c r="D8" s="462"/>
      <c r="E8" s="462"/>
      <c r="F8" s="463"/>
      <c r="G8" s="170" t="str">
        <f>+Master!G23</f>
        <v>Ostvarenje</v>
      </c>
      <c r="H8" s="170" t="str">
        <f>+Master!G22</f>
        <v>Plan</v>
      </c>
      <c r="I8" s="455" t="str">
        <f>+Master!G260</f>
        <v>Odstupanje</v>
      </c>
      <c r="J8" s="455"/>
      <c r="K8" s="170" t="str">
        <f>+CONCATENATE(Master!G245," ",Master!B4-1)</f>
        <v>Jan - Avg 2018</v>
      </c>
      <c r="L8" s="455" t="str">
        <f>+I8</f>
        <v>Odstupanje</v>
      </c>
      <c r="M8" s="467"/>
      <c r="N8" s="171" t="str">
        <f>+G8</f>
        <v>Ostvarenje</v>
      </c>
      <c r="O8" s="170" t="str">
        <f>+H8</f>
        <v>Plan</v>
      </c>
      <c r="P8" s="455" t="str">
        <f>+I8</f>
        <v>Odstupanje</v>
      </c>
      <c r="Q8" s="455"/>
      <c r="R8" s="170" t="str">
        <f>+CONCATENATE(Master!G244," ",Master!B4-1)</f>
        <v>Avgust 2018</v>
      </c>
      <c r="S8" s="455" t="str">
        <f>+P8</f>
        <v>Odstupanje</v>
      </c>
      <c r="T8" s="456"/>
    </row>
    <row r="9" spans="1:20" ht="15.7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501" t="str">
        <f>+VLOOKUP($A10,Master!$D$27:$G$225,4,FALSE)</f>
        <v>Prihodi budžeta</v>
      </c>
      <c r="C10" s="502"/>
      <c r="D10" s="502"/>
      <c r="E10" s="502"/>
      <c r="F10" s="502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503" t="str">
        <f>+VLOOKUP($A11,Master!$D$27:$G$225,4,FALSE)</f>
        <v>Porezi</v>
      </c>
      <c r="C11" s="504"/>
      <c r="D11" s="504"/>
      <c r="E11" s="504"/>
      <c r="F11" s="504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9" t="str">
        <f>+VLOOKUP($A12,Master!$D$27:$G$225,4,FALSE)</f>
        <v>Porez na dohodak fizičkih lica</v>
      </c>
      <c r="C12" s="490"/>
      <c r="D12" s="490"/>
      <c r="E12" s="490"/>
      <c r="F12" s="490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9" t="str">
        <f>+VLOOKUP($A13,Master!$D$27:$G$225,4,FALSE)</f>
        <v>Porez na dobit pravnih lica</v>
      </c>
      <c r="C13" s="490"/>
      <c r="D13" s="490"/>
      <c r="E13" s="490"/>
      <c r="F13" s="490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9" t="str">
        <f>+VLOOKUP($A14,Master!$D$27:$G$225,4,FALSE)</f>
        <v>Porez na promet nepokretnosti</v>
      </c>
      <c r="C14" s="490"/>
      <c r="D14" s="490"/>
      <c r="E14" s="490"/>
      <c r="F14" s="490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9" t="str">
        <f>+VLOOKUP($A15,Master!$D$27:$G$225,4,FALSE)</f>
        <v>Porez na dodatu vrijednost</v>
      </c>
      <c r="C15" s="490"/>
      <c r="D15" s="490"/>
      <c r="E15" s="490"/>
      <c r="F15" s="490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9" t="str">
        <f>+VLOOKUP($A16,Master!$D$27:$G$225,4,FALSE)</f>
        <v>Akcize</v>
      </c>
      <c r="C16" s="490"/>
      <c r="D16" s="490"/>
      <c r="E16" s="490"/>
      <c r="F16" s="490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9" t="str">
        <f>+VLOOKUP($A17,Master!$D$27:$G$225,4,FALSE)</f>
        <v>Porez na međunarodnu trgovinu i transakcije</v>
      </c>
      <c r="C17" s="490"/>
      <c r="D17" s="490"/>
      <c r="E17" s="490"/>
      <c r="F17" s="490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9" t="e">
        <f>+VLOOKUP($A18,Master!$D$27:$G$225,4,FALSE)</f>
        <v>#N/A</v>
      </c>
      <c r="C18" s="490"/>
      <c r="D18" s="490"/>
      <c r="E18" s="490"/>
      <c r="F18" s="490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9" t="str">
        <f>+VLOOKUP($A19,Master!$D$27:$G$225,4,FALSE)</f>
        <v>Ostali državni porezi</v>
      </c>
      <c r="C19" s="490"/>
      <c r="D19" s="490"/>
      <c r="E19" s="490"/>
      <c r="F19" s="490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9" t="str">
        <f>+VLOOKUP($A20,Master!$D$27:$G$225,4,FALSE)</f>
        <v>Doprinosi</v>
      </c>
      <c r="C20" s="500"/>
      <c r="D20" s="500"/>
      <c r="E20" s="500"/>
      <c r="F20" s="500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9" t="str">
        <f>+VLOOKUP($A21,Master!$D$27:$G$225,4,FALSE)</f>
        <v>Doprinosi za penzijsko i invalidsko osiguranje</v>
      </c>
      <c r="C21" s="490"/>
      <c r="D21" s="490"/>
      <c r="E21" s="490"/>
      <c r="F21" s="490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9" t="str">
        <f>+VLOOKUP($A22,Master!$D$27:$G$225,4,FALSE)</f>
        <v>Doprinosi za zdravstveno osiguranje</v>
      </c>
      <c r="C22" s="490"/>
      <c r="D22" s="490"/>
      <c r="E22" s="490"/>
      <c r="F22" s="490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9" t="str">
        <f>+VLOOKUP($A23,Master!$D$27:$G$225,4,FALSE)</f>
        <v>Doprinosi za osiguranje od nezaposlenosti</v>
      </c>
      <c r="C23" s="490"/>
      <c r="D23" s="490"/>
      <c r="E23" s="490"/>
      <c r="F23" s="490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9" t="str">
        <f>+VLOOKUP($A24,Master!$D$27:$G$225,4,FALSE)</f>
        <v>Ostali doprinosi</v>
      </c>
      <c r="C24" s="490"/>
      <c r="D24" s="490"/>
      <c r="E24" s="490"/>
      <c r="F24" s="490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91" t="str">
        <f>+VLOOKUP($A25,Master!$D$27:$G$225,4,FALSE)</f>
        <v>Takse</v>
      </c>
      <c r="C25" s="492"/>
      <c r="D25" s="492"/>
      <c r="E25" s="492"/>
      <c r="F25" s="492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91" t="str">
        <f>+VLOOKUP($A26,Master!$D$27:$G$225,4,FALSE)</f>
        <v>Naknade</v>
      </c>
      <c r="C26" s="492"/>
      <c r="D26" s="492"/>
      <c r="E26" s="492"/>
      <c r="F26" s="492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91" t="str">
        <f>+VLOOKUP($A27,Master!$D$27:$G$225,4,FALSE)</f>
        <v>Ostali prihodi</v>
      </c>
      <c r="C27" s="492"/>
      <c r="D27" s="492"/>
      <c r="E27" s="492"/>
      <c r="F27" s="492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91" t="str">
        <f>+VLOOKUP($A28,Master!$D$27:$G$225,4,FALSE)</f>
        <v>Primici od otplate kredita i sredstva prenesena iz prethodne godine</v>
      </c>
      <c r="C28" s="492"/>
      <c r="D28" s="492"/>
      <c r="E28" s="492"/>
      <c r="F28" s="492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93" t="str">
        <f>+VLOOKUP($A29,Master!$D$27:$G$225,4,FALSE)</f>
        <v>Donacije i transferi</v>
      </c>
      <c r="C29" s="494"/>
      <c r="D29" s="494"/>
      <c r="E29" s="494"/>
      <c r="F29" s="494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9" t="str">
        <f>+VLOOKUP($A30,Master!$D$27:$G$225,4,FALSE)</f>
        <v>Budžetski izdaci</v>
      </c>
      <c r="C30" s="480"/>
      <c r="D30" s="480"/>
      <c r="E30" s="480"/>
      <c r="F30" s="480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5" t="str">
        <f>+VLOOKUP($A31,Master!$D$27:$G$225,4,FALSE)</f>
        <v>Tekući izdaci</v>
      </c>
      <c r="C31" s="496"/>
      <c r="D31" s="496"/>
      <c r="E31" s="496"/>
      <c r="F31" s="496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7" t="str">
        <f>+VLOOKUP($A32,Master!$D$27:$G$225,4,FALSE)</f>
        <v>Tekuća budžetska potrošnja</v>
      </c>
      <c r="C32" s="498"/>
      <c r="D32" s="498"/>
      <c r="E32" s="498"/>
      <c r="F32" s="498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9" t="str">
        <f>+VLOOKUP($A33,Master!$D$27:$G$225,4,FALSE)</f>
        <v>Bruto zarade i doprinosi na teret poslodavca</v>
      </c>
      <c r="C33" s="490"/>
      <c r="D33" s="490"/>
      <c r="E33" s="490"/>
      <c r="F33" s="490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9" t="str">
        <f>+VLOOKUP($A34,Master!$D$27:$G$225,4,FALSE)</f>
        <v>Ostala lična primanja</v>
      </c>
      <c r="C34" s="490"/>
      <c r="D34" s="490"/>
      <c r="E34" s="490"/>
      <c r="F34" s="490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9" t="str">
        <f>+VLOOKUP($A35,Master!$D$27:$G$225,4,FALSE)</f>
        <v>Rashodi za materijal</v>
      </c>
      <c r="C35" s="490"/>
      <c r="D35" s="490"/>
      <c r="E35" s="490"/>
      <c r="F35" s="490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9" t="str">
        <f>+VLOOKUP($A36,Master!$D$27:$G$225,4,FALSE)</f>
        <v>Rashodi za usluge</v>
      </c>
      <c r="C36" s="490"/>
      <c r="D36" s="490"/>
      <c r="E36" s="490"/>
      <c r="F36" s="490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9" t="str">
        <f>+VLOOKUP($A37,Master!$D$27:$G$225,4,FALSE)</f>
        <v>Rashodi za tekuće održavanje</v>
      </c>
      <c r="C37" s="490"/>
      <c r="D37" s="490"/>
      <c r="E37" s="490"/>
      <c r="F37" s="490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9" t="str">
        <f>+VLOOKUP($A38,Master!$D$27:$G$225,4,FALSE)</f>
        <v>Kamate</v>
      </c>
      <c r="C38" s="490"/>
      <c r="D38" s="490"/>
      <c r="E38" s="490"/>
      <c r="F38" s="490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9" t="str">
        <f>+VLOOKUP($A39,Master!$D$27:$G$225,4,FALSE)</f>
        <v>Renta</v>
      </c>
      <c r="C39" s="490"/>
      <c r="D39" s="490"/>
      <c r="E39" s="490"/>
      <c r="F39" s="490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9" t="str">
        <f>+VLOOKUP($A40,Master!$D$27:$G$225,4,FALSE)</f>
        <v>Subvencije</v>
      </c>
      <c r="C40" s="490"/>
      <c r="D40" s="490"/>
      <c r="E40" s="490"/>
      <c r="F40" s="490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9" t="str">
        <f>+VLOOKUP($A41,Master!$D$27:$G$225,4,FALSE)</f>
        <v>Ostali izdaci</v>
      </c>
      <c r="C41" s="490"/>
      <c r="D41" s="490"/>
      <c r="E41" s="490"/>
      <c r="F41" s="490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9" t="str">
        <f>+VLOOKUP($A42,Master!$D$27:$G$225,4,FALSE)</f>
        <v>Kapitalni izdaci u tekućem budžetu</v>
      </c>
      <c r="C42" s="490"/>
      <c r="D42" s="490"/>
      <c r="E42" s="490"/>
      <c r="F42" s="490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5" t="str">
        <f>+VLOOKUP($A43,Master!$D$27:$G$225,4,FALSE)</f>
        <v>Transferi za socijalnu zaštitu</v>
      </c>
      <c r="C43" s="486"/>
      <c r="D43" s="486"/>
      <c r="E43" s="486"/>
      <c r="F43" s="486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9" t="str">
        <f>+VLOOKUP($A44,Master!$D$27:$G$225,4,FALSE)</f>
        <v>Prava iz oblasti socijalne zaštite</v>
      </c>
      <c r="C44" s="490"/>
      <c r="D44" s="490"/>
      <c r="E44" s="490"/>
      <c r="F44" s="490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9" t="str">
        <f>+VLOOKUP($A45,Master!$D$27:$G$225,4,FALSE)</f>
        <v>Sredstva za tehnološke viškove</v>
      </c>
      <c r="C45" s="490"/>
      <c r="D45" s="490"/>
      <c r="E45" s="490"/>
      <c r="F45" s="490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9" t="str">
        <f>+VLOOKUP($A46,Master!$D$27:$G$225,4,FALSE)</f>
        <v>Prava iz oblasti penzijskog i invalidskog osiguranja</v>
      </c>
      <c r="C46" s="490"/>
      <c r="D46" s="490"/>
      <c r="E46" s="490"/>
      <c r="F46" s="490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9" t="str">
        <f>+VLOOKUP($A47,Master!$D$27:$G$225,4,FALSE)</f>
        <v>Ostala prava iz oblasti zdravstvene zaštite</v>
      </c>
      <c r="C47" s="490"/>
      <c r="D47" s="490"/>
      <c r="E47" s="490"/>
      <c r="F47" s="490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9" t="str">
        <f>+VLOOKUP($A48,Master!$D$27:$G$225,4,FALSE)</f>
        <v>Ostala prava iz zdravstvenog osiguranja</v>
      </c>
      <c r="C48" s="490"/>
      <c r="D48" s="490"/>
      <c r="E48" s="490"/>
      <c r="F48" s="490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7" t="str">
        <f>+VLOOKUP($A49,Master!$D$27:$G$225,4,FALSE)</f>
        <v xml:space="preserve">Transferi institucijama, pojedincima, nevladinom i javnom sektoru </v>
      </c>
      <c r="C49" s="488"/>
      <c r="D49" s="488"/>
      <c r="E49" s="488"/>
      <c r="F49" s="488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7" t="str">
        <f>+VLOOKUP($A50,Master!$D$27:$G$225,4,FALSE)</f>
        <v>Kapitalni budžet</v>
      </c>
      <c r="C50" s="488"/>
      <c r="D50" s="488"/>
      <c r="E50" s="488"/>
      <c r="F50" s="488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7" t="str">
        <f>+VLOOKUP($A51,Master!$D$27:$G$225,4,FALSE)</f>
        <v>Pozajmice i krediti</v>
      </c>
      <c r="C51" s="458"/>
      <c r="D51" s="458"/>
      <c r="E51" s="458"/>
      <c r="F51" s="458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7" t="str">
        <f>+VLOOKUP($A52,Master!$D$27:$G$225,4,FALSE)</f>
        <v>Rezerve</v>
      </c>
      <c r="C52" s="458"/>
      <c r="D52" s="458"/>
      <c r="E52" s="458"/>
      <c r="F52" s="458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5" t="str">
        <f>+VLOOKUP($A53,Master!$D$27:$G$225,4,FALSE)</f>
        <v>Otplata garancija</v>
      </c>
      <c r="C53" s="476"/>
      <c r="D53" s="476"/>
      <c r="E53" s="476"/>
      <c r="F53" s="476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5" t="str">
        <f>+VLOOKUP($A54,Master!$D$27:$G$225,4,FALSE)</f>
        <v>Otplata obaveza iz prethodnih godina</v>
      </c>
      <c r="C54" s="476"/>
      <c r="D54" s="476"/>
      <c r="E54" s="476"/>
      <c r="F54" s="476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5" t="str">
        <f>+VLOOKUP($A55,Master!$D$27:$G$227,4,FALSE)</f>
        <v>Neto povećanje obaveza</v>
      </c>
      <c r="C55" s="476"/>
      <c r="D55" s="476"/>
      <c r="E55" s="476"/>
      <c r="F55" s="476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81" t="str">
        <f>+VLOOKUP($A56,Master!$D$27:$G$225,4,FALSE)</f>
        <v>Suficit / deficit</v>
      </c>
      <c r="C56" s="482"/>
      <c r="D56" s="482"/>
      <c r="E56" s="482"/>
      <c r="F56" s="482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83" t="str">
        <f>+VLOOKUP($A57,Master!$D$27:$G$225,4,FALSE)</f>
        <v>Primarni bilans</v>
      </c>
      <c r="C57" s="484"/>
      <c r="D57" s="484"/>
      <c r="E57" s="484"/>
      <c r="F57" s="484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5" t="str">
        <f>+VLOOKUP($A58,Master!$D$27:$G$225,4,FALSE)</f>
        <v>Otplata dugova</v>
      </c>
      <c r="C58" s="486"/>
      <c r="D58" s="486"/>
      <c r="E58" s="486"/>
      <c r="F58" s="486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73" t="str">
        <f>+VLOOKUP($A59,Master!$D$27:$G$225,4,FALSE)</f>
        <v>Otplata hartija od vrijednosti i kredita rezidentima</v>
      </c>
      <c r="C59" s="474"/>
      <c r="D59" s="474"/>
      <c r="E59" s="474"/>
      <c r="F59" s="474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7" t="str">
        <f>+VLOOKUP($A60,Master!$D$27:$G$225,4,FALSE)</f>
        <v>Otplata hartija od vrijednosti i kredita nerezidentima</v>
      </c>
      <c r="C60" s="458"/>
      <c r="D60" s="458"/>
      <c r="E60" s="458"/>
      <c r="F60" s="458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693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7" t="str">
        <f>+VLOOKUP($A62,Master!$D$27:$G$225,4,FALSE)</f>
        <v>Nedostajuća sredstva</v>
      </c>
      <c r="C62" s="478"/>
      <c r="D62" s="478"/>
      <c r="E62" s="478"/>
      <c r="F62" s="478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9" t="str">
        <f>+VLOOKUP($A63,Master!$D$27:$G$225,4,FALSE)</f>
        <v>Finansiranje</v>
      </c>
      <c r="C63" s="480"/>
      <c r="D63" s="480"/>
      <c r="E63" s="480"/>
      <c r="F63" s="480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73" t="str">
        <f>+VLOOKUP($A64,Master!$D$27:$G$225,4,FALSE)</f>
        <v>Pozajmice i krediti od domaćih izvora</v>
      </c>
      <c r="C64" s="474"/>
      <c r="D64" s="474"/>
      <c r="E64" s="474"/>
      <c r="F64" s="474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7" t="str">
        <f>+VLOOKUP($A65,Master!$D$27:$G$225,4,FALSE)</f>
        <v>Pozajmice i krediti od inostranih izvora</v>
      </c>
      <c r="C65" s="458"/>
      <c r="D65" s="458"/>
      <c r="E65" s="458"/>
      <c r="F65" s="458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7" t="str">
        <f>+VLOOKUP($A66,Master!$D$27:$G$225,4,FALSE)</f>
        <v>Primici od prodaje imovine</v>
      </c>
      <c r="C66" s="458"/>
      <c r="D66" s="458"/>
      <c r="E66" s="458"/>
      <c r="F66" s="458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525</v>
      </c>
      <c r="H6" s="259" t="s">
        <v>526</v>
      </c>
      <c r="I6" s="259" t="s">
        <v>527</v>
      </c>
      <c r="J6" s="259" t="s">
        <v>528</v>
      </c>
      <c r="K6" s="259" t="s">
        <v>529</v>
      </c>
      <c r="L6" s="259" t="s">
        <v>530</v>
      </c>
      <c r="M6" s="259" t="s">
        <v>531</v>
      </c>
      <c r="N6" s="259" t="s">
        <v>532</v>
      </c>
      <c r="O6" s="259" t="s">
        <v>533</v>
      </c>
      <c r="P6" s="259" t="s">
        <v>534</v>
      </c>
      <c r="Q6" s="259" t="s">
        <v>535</v>
      </c>
      <c r="R6" s="259" t="s">
        <v>536</v>
      </c>
      <c r="S6" s="258"/>
      <c r="T6" s="258"/>
    </row>
    <row r="7" spans="1:20" ht="15" customHeight="1" thickBot="1">
      <c r="A7" s="169"/>
      <c r="B7" s="562" t="str">
        <f>+Master!G251</f>
        <v>Ostvarenje budžeta</v>
      </c>
      <c r="C7" s="460"/>
      <c r="D7" s="460"/>
      <c r="E7" s="460"/>
      <c r="F7" s="460"/>
      <c r="G7" s="468">
        <v>2014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0" t="str">
        <f>+Master!G248</f>
        <v>BDP</v>
      </c>
      <c r="T7" s="261">
        <v>3457880000</v>
      </c>
    </row>
    <row r="8" spans="1:20" ht="16.5" customHeight="1">
      <c r="A8" s="169"/>
      <c r="B8" s="461"/>
      <c r="C8" s="462"/>
      <c r="D8" s="462"/>
      <c r="E8" s="462"/>
      <c r="F8" s="463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8" t="s">
        <v>700</v>
      </c>
      <c r="T8" s="472"/>
    </row>
    <row r="9" spans="1:20" ht="13.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1" t="str">
        <f>+VLOOKUP($A10,Master!$D$27:$G$225,4,FALSE)</f>
        <v>Prihodi budžeta</v>
      </c>
      <c r="C10" s="502"/>
      <c r="D10" s="502"/>
      <c r="E10" s="502"/>
      <c r="F10" s="502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503" t="str">
        <f>+VLOOKUP($A11,Master!$D$27:$G$225,4,FALSE)</f>
        <v>Porezi</v>
      </c>
      <c r="C11" s="504"/>
      <c r="D11" s="504"/>
      <c r="E11" s="504"/>
      <c r="F11" s="504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9" t="str">
        <f>+VLOOKUP($A12,Master!$D$27:$G$225,4,FALSE)</f>
        <v>Porez na dohodak fizičkih lica</v>
      </c>
      <c r="C12" s="490"/>
      <c r="D12" s="490"/>
      <c r="E12" s="490"/>
      <c r="F12" s="490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9" t="str">
        <f>+VLOOKUP($A13,Master!$D$27:$G$225,4,FALSE)</f>
        <v>Porez na dobit pravnih lica</v>
      </c>
      <c r="C13" s="490"/>
      <c r="D13" s="490"/>
      <c r="E13" s="490"/>
      <c r="F13" s="490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9" t="str">
        <f>+VLOOKUP($A14,Master!$D$27:$G$225,4,FALSE)</f>
        <v>Porez na promet nepokretnosti</v>
      </c>
      <c r="C14" s="490"/>
      <c r="D14" s="490"/>
      <c r="E14" s="490"/>
      <c r="F14" s="490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9" t="str">
        <f>+VLOOKUP($A15,Master!$D$27:$G$225,4,FALSE)</f>
        <v>Porez na dodatu vrijednost</v>
      </c>
      <c r="C15" s="490"/>
      <c r="D15" s="490"/>
      <c r="E15" s="490"/>
      <c r="F15" s="490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9" t="str">
        <f>+VLOOKUP($A16,Master!$D$27:$G$225,4,FALSE)</f>
        <v>Akcize</v>
      </c>
      <c r="C16" s="490"/>
      <c r="D16" s="490"/>
      <c r="E16" s="490"/>
      <c r="F16" s="490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9" t="str">
        <f>+VLOOKUP($A17,Master!$D$27:$G$225,4,FALSE)</f>
        <v>Porez na međunarodnu trgovinu i transakcije</v>
      </c>
      <c r="C17" s="490"/>
      <c r="D17" s="490"/>
      <c r="E17" s="490"/>
      <c r="F17" s="490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9" t="str">
        <f>+VLOOKUP($A18,Master!$D$27:$G$225,4,FALSE)</f>
        <v>Ostali državni porezi</v>
      </c>
      <c r="C18" s="490"/>
      <c r="D18" s="490"/>
      <c r="E18" s="490"/>
      <c r="F18" s="490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9" t="str">
        <f>+VLOOKUP($A19,Master!$D$27:$G$225,4,FALSE)</f>
        <v>Doprinosi</v>
      </c>
      <c r="C19" s="500"/>
      <c r="D19" s="500"/>
      <c r="E19" s="500"/>
      <c r="F19" s="500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9" t="str">
        <f>+VLOOKUP($A20,Master!$D$27:$G$225,4,FALSE)</f>
        <v>Doprinosi za penzijsko i invalidsko osiguranje</v>
      </c>
      <c r="C20" s="490"/>
      <c r="D20" s="490"/>
      <c r="E20" s="490"/>
      <c r="F20" s="490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9" t="str">
        <f>+VLOOKUP($A21,Master!$D$27:$G$225,4,FALSE)</f>
        <v>Doprinosi za zdravstveno osiguranje</v>
      </c>
      <c r="C21" s="490"/>
      <c r="D21" s="490"/>
      <c r="E21" s="490"/>
      <c r="F21" s="490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9" t="str">
        <f>+VLOOKUP($A22,Master!$D$27:$G$225,4,FALSE)</f>
        <v>Doprinosi za osiguranje od nezaposlenosti</v>
      </c>
      <c r="C22" s="490"/>
      <c r="D22" s="490"/>
      <c r="E22" s="490"/>
      <c r="F22" s="490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9" t="str">
        <f>+VLOOKUP($A23,Master!$D$27:$G$225,4,FALSE)</f>
        <v>Ostali doprinosi</v>
      </c>
      <c r="C23" s="490"/>
      <c r="D23" s="490"/>
      <c r="E23" s="490"/>
      <c r="F23" s="490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91" t="str">
        <f>+VLOOKUP($A24,Master!$D$27:$G$225,4,FALSE)</f>
        <v>Takse</v>
      </c>
      <c r="C24" s="492"/>
      <c r="D24" s="492"/>
      <c r="E24" s="492"/>
      <c r="F24" s="492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91" t="str">
        <f>+VLOOKUP($A25,Master!$D$27:$G$225,4,FALSE)</f>
        <v>Naknade</v>
      </c>
      <c r="C25" s="492"/>
      <c r="D25" s="492"/>
      <c r="E25" s="492"/>
      <c r="F25" s="492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91" t="str">
        <f>+VLOOKUP($A26,Master!$D$27:$G$225,4,FALSE)</f>
        <v>Ostali prihodi</v>
      </c>
      <c r="C26" s="492"/>
      <c r="D26" s="492"/>
      <c r="E26" s="492"/>
      <c r="F26" s="492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91" t="str">
        <f>+VLOOKUP($A27,Master!$D$27:$G$225,4,FALSE)</f>
        <v>Primici od otplate kredita i sredstva prenesena iz prethodne godine</v>
      </c>
      <c r="C27" s="492"/>
      <c r="D27" s="492"/>
      <c r="E27" s="492"/>
      <c r="F27" s="492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93" t="str">
        <f>+VLOOKUP($A28,Master!$D$27:$G$225,4,FALSE)</f>
        <v>Donacije i transferi</v>
      </c>
      <c r="C28" s="494"/>
      <c r="D28" s="494"/>
      <c r="E28" s="494"/>
      <c r="F28" s="494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9" t="str">
        <f>+VLOOKUP($A29,Master!$D$27:$G$225,4,FALSE)</f>
        <v>Budžetski izdaci</v>
      </c>
      <c r="C29" s="480"/>
      <c r="D29" s="480"/>
      <c r="E29" s="480"/>
      <c r="F29" s="480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5" t="str">
        <f>+VLOOKUP($A30,Master!$D$27:$G$225,4,FALSE)</f>
        <v>Tekući izdaci</v>
      </c>
      <c r="C30" s="496"/>
      <c r="D30" s="496"/>
      <c r="E30" s="496"/>
      <c r="F30" s="496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7" t="str">
        <f>+VLOOKUP($A31,Master!$D$27:$G$225,4,FALSE)</f>
        <v>Tekuća budžetska potrošnja</v>
      </c>
      <c r="C31" s="498"/>
      <c r="D31" s="498"/>
      <c r="E31" s="498"/>
      <c r="F31" s="498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9" t="str">
        <f>+VLOOKUP($A32,Master!$D$27:$G$225,4,FALSE)</f>
        <v>Bruto zarade i doprinosi na teret poslodavca</v>
      </c>
      <c r="C32" s="490"/>
      <c r="D32" s="490"/>
      <c r="E32" s="490"/>
      <c r="F32" s="490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9" t="str">
        <f>+VLOOKUP($A33,Master!$D$27:$G$225,4,FALSE)</f>
        <v>Ostala lična primanja</v>
      </c>
      <c r="C33" s="490"/>
      <c r="D33" s="490"/>
      <c r="E33" s="490"/>
      <c r="F33" s="490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9" t="str">
        <f>+VLOOKUP($A34,Master!$D$27:$G$225,4,FALSE)</f>
        <v>Rashodi za materijal</v>
      </c>
      <c r="C34" s="490"/>
      <c r="D34" s="490"/>
      <c r="E34" s="490"/>
      <c r="F34" s="490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9" t="str">
        <f>+VLOOKUP($A35,Master!$D$27:$G$225,4,FALSE)</f>
        <v>Rashodi za usluge</v>
      </c>
      <c r="C35" s="490"/>
      <c r="D35" s="490"/>
      <c r="E35" s="490"/>
      <c r="F35" s="490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9" t="str">
        <f>+VLOOKUP($A36,Master!$D$27:$G$225,4,FALSE)</f>
        <v>Rashodi za tekuće održavanje</v>
      </c>
      <c r="C36" s="490"/>
      <c r="D36" s="490"/>
      <c r="E36" s="490"/>
      <c r="F36" s="490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9" t="str">
        <f>+VLOOKUP($A37,Master!$D$27:$G$225,4,FALSE)</f>
        <v>Kamate</v>
      </c>
      <c r="C37" s="490"/>
      <c r="D37" s="490"/>
      <c r="E37" s="490"/>
      <c r="F37" s="490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9" t="str">
        <f>+VLOOKUP($A38,Master!$D$27:$G$225,4,FALSE)</f>
        <v>Renta</v>
      </c>
      <c r="C38" s="490"/>
      <c r="D38" s="490"/>
      <c r="E38" s="490"/>
      <c r="F38" s="490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9" t="str">
        <f>+VLOOKUP($A39,Master!$D$27:$G$225,4,FALSE)</f>
        <v>Subvencije</v>
      </c>
      <c r="C39" s="490"/>
      <c r="D39" s="490"/>
      <c r="E39" s="490"/>
      <c r="F39" s="490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9" t="str">
        <f>+VLOOKUP($A40,Master!$D$27:$G$225,4,FALSE)</f>
        <v>Ostali izdaci</v>
      </c>
      <c r="C40" s="490"/>
      <c r="D40" s="490"/>
      <c r="E40" s="490"/>
      <c r="F40" s="490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9" t="str">
        <f>+VLOOKUP($A41,Master!$D$27:$G$225,4,FALSE)</f>
        <v>Kapitalni izdaci u tekućem budžetu</v>
      </c>
      <c r="C41" s="490"/>
      <c r="D41" s="490"/>
      <c r="E41" s="490"/>
      <c r="F41" s="490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5" t="str">
        <f>+VLOOKUP($A42,Master!$D$27:$G$225,4,FALSE)</f>
        <v>Transferi za socijalnu zaštitu</v>
      </c>
      <c r="C42" s="486"/>
      <c r="D42" s="486"/>
      <c r="E42" s="486"/>
      <c r="F42" s="486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9" t="str">
        <f>+VLOOKUP($A43,Master!$D$27:$G$225,4,FALSE)</f>
        <v>Prava iz oblasti socijalne zaštite</v>
      </c>
      <c r="C43" s="490"/>
      <c r="D43" s="490"/>
      <c r="E43" s="490"/>
      <c r="F43" s="490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9" t="str">
        <f>+VLOOKUP($A44,Master!$D$27:$G$225,4,FALSE)</f>
        <v>Sredstva za tehnološke viškove</v>
      </c>
      <c r="C44" s="490"/>
      <c r="D44" s="490"/>
      <c r="E44" s="490"/>
      <c r="F44" s="490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9" t="str">
        <f>+VLOOKUP($A45,Master!$D$27:$G$225,4,FALSE)</f>
        <v>Prava iz oblasti penzijskog i invalidskog osiguranja</v>
      </c>
      <c r="C45" s="490"/>
      <c r="D45" s="490"/>
      <c r="E45" s="490"/>
      <c r="F45" s="490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9" t="str">
        <f>+VLOOKUP($A46,Master!$D$27:$G$225,4,FALSE)</f>
        <v>Ostala prava iz oblasti zdravstvene zaštite</v>
      </c>
      <c r="C46" s="490"/>
      <c r="D46" s="490"/>
      <c r="E46" s="490"/>
      <c r="F46" s="490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9" t="str">
        <f>+VLOOKUP($A47,Master!$D$27:$G$225,4,FALSE)</f>
        <v>Ostala prava iz zdravstvenog osiguranja</v>
      </c>
      <c r="C47" s="490"/>
      <c r="D47" s="490"/>
      <c r="E47" s="490"/>
      <c r="F47" s="490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7" t="str">
        <f>+VLOOKUP($A48,Master!$D$27:$G$225,4,FALSE)</f>
        <v xml:space="preserve">Transferi institucijama, pojedincima, nevladinom i javnom sektoru </v>
      </c>
      <c r="C48" s="488"/>
      <c r="D48" s="488"/>
      <c r="E48" s="488"/>
      <c r="F48" s="488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7" t="str">
        <f>+VLOOKUP($A49,Master!$D$27:$G$225,4,FALSE)</f>
        <v>Kapitalni budžet</v>
      </c>
      <c r="C49" s="488"/>
      <c r="D49" s="488"/>
      <c r="E49" s="488"/>
      <c r="F49" s="488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7" t="str">
        <f>+VLOOKUP($A50,Master!$D$27:$G$225,4,FALSE)</f>
        <v>Pozajmice i krediti</v>
      </c>
      <c r="C50" s="458"/>
      <c r="D50" s="458"/>
      <c r="E50" s="458"/>
      <c r="F50" s="458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7" t="str">
        <f>+VLOOKUP($A51,Master!$D$27:$G$225,4,FALSE)</f>
        <v>Rezerve</v>
      </c>
      <c r="C51" s="458"/>
      <c r="D51" s="458"/>
      <c r="E51" s="458"/>
      <c r="F51" s="458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5" t="str">
        <f>+VLOOKUP($A52,Master!$D$27:$G$225,4,FALSE)</f>
        <v>Otplata garancija</v>
      </c>
      <c r="C52" s="476"/>
      <c r="D52" s="476"/>
      <c r="E52" s="476"/>
      <c r="F52" s="476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5" t="str">
        <f>+VLOOKUP($A53,Master!$D$27:$G$225,4,TRUE)</f>
        <v>Otplata obaveza iz prethodnih godina</v>
      </c>
      <c r="C53" s="476"/>
      <c r="D53" s="476"/>
      <c r="E53" s="476"/>
      <c r="F53" s="476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21" t="str">
        <f>+VLOOKUP($A54,Master!$D$27:$G$227,4,FALSE)</f>
        <v>Neto povećanje obaveza</v>
      </c>
      <c r="C54" s="522"/>
      <c r="D54" s="522"/>
      <c r="E54" s="522"/>
      <c r="F54" s="522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63" t="str">
        <f>+VLOOKUP($A55,Master!$D$27:$G$225,4,FALSE)</f>
        <v>Suficit / deficit</v>
      </c>
      <c r="C55" s="564"/>
      <c r="D55" s="564"/>
      <c r="E55" s="564"/>
      <c r="F55" s="564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83" t="str">
        <f>+VLOOKUP($A56,Master!$D$27:$G$225,4,FALSE)</f>
        <v>Primarni bilans</v>
      </c>
      <c r="C56" s="484"/>
      <c r="D56" s="484"/>
      <c r="E56" s="484"/>
      <c r="F56" s="484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5" t="str">
        <f>+VLOOKUP($A57,Master!$D$27:$G$225,4,FALSE)</f>
        <v>Otplata dugova</v>
      </c>
      <c r="C57" s="486"/>
      <c r="D57" s="486"/>
      <c r="E57" s="486"/>
      <c r="F57" s="486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73" t="str">
        <f>+VLOOKUP($A58,Master!$D$27:$G$225,4,FALSE)</f>
        <v>Otplata hartija od vrijednosti i kredita rezidentima</v>
      </c>
      <c r="C58" s="474"/>
      <c r="D58" s="474"/>
      <c r="E58" s="474"/>
      <c r="F58" s="474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7" t="str">
        <f>+VLOOKUP($A59,Master!$D$27:$G$225,4,FALSE)</f>
        <v>Otplata hartija od vrijednosti i kredita nerezidentima</v>
      </c>
      <c r="C59" s="458"/>
      <c r="D59" s="458"/>
      <c r="E59" s="458"/>
      <c r="F59" s="458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7" t="str">
        <f>+VLOOKUP($A60,Master!$D$27:$G$225,4,FALSE)</f>
        <v>Nedostajuća sredstva</v>
      </c>
      <c r="C60" s="478"/>
      <c r="D60" s="478"/>
      <c r="E60" s="478"/>
      <c r="F60" s="478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9" t="str">
        <f>+VLOOKUP($A61,Master!$D$27:$G$225,4,FALSE)</f>
        <v>Finansiranje</v>
      </c>
      <c r="C61" s="480"/>
      <c r="D61" s="480"/>
      <c r="E61" s="480"/>
      <c r="F61" s="480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73" t="str">
        <f>+VLOOKUP($A62,Master!$D$27:$G$225,4,FALSE)</f>
        <v>Pozajmice i krediti od domaćih izvora</v>
      </c>
      <c r="C62" s="474"/>
      <c r="D62" s="474"/>
      <c r="E62" s="474"/>
      <c r="F62" s="474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7" t="str">
        <f>+VLOOKUP($A63,Master!$D$27:$G$225,4,FALSE)</f>
        <v>Pozajmice i krediti od inostranih izvora</v>
      </c>
      <c r="C63" s="458"/>
      <c r="D63" s="458"/>
      <c r="E63" s="458"/>
      <c r="F63" s="458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7" t="str">
        <f>+VLOOKUP($A64,Master!$D$27:$G$225,4,FALSE)</f>
        <v>Primici od prodaje imovine</v>
      </c>
      <c r="C64" s="458"/>
      <c r="D64" s="458"/>
      <c r="E64" s="458"/>
      <c r="F64" s="458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44" t="str">
        <f>+Master!G252</f>
        <v>Plan ostvarenja budžeta</v>
      </c>
      <c r="C101" s="545"/>
      <c r="D101" s="545"/>
      <c r="E101" s="545"/>
      <c r="F101" s="545"/>
      <c r="G101" s="537">
        <v>2014</v>
      </c>
      <c r="H101" s="538"/>
      <c r="I101" s="538"/>
      <c r="J101" s="538"/>
      <c r="K101" s="538"/>
      <c r="L101" s="538"/>
      <c r="M101" s="538"/>
      <c r="N101" s="538"/>
      <c r="O101" s="538"/>
      <c r="P101" s="538"/>
      <c r="Q101" s="538"/>
      <c r="R101" s="539"/>
      <c r="S101" s="115" t="str">
        <f>+S7</f>
        <v>BDP</v>
      </c>
      <c r="T101" s="116">
        <v>3393200615</v>
      </c>
    </row>
    <row r="102" spans="1:21" ht="15.75" customHeight="1">
      <c r="B102" s="546"/>
      <c r="C102" s="547"/>
      <c r="D102" s="547"/>
      <c r="E102" s="547"/>
      <c r="F102" s="548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37" t="str">
        <f>+Master!G246</f>
        <v>Jan - Dec</v>
      </c>
      <c r="T102" s="539">
        <f>+T8</f>
        <v>0</v>
      </c>
    </row>
    <row r="103" spans="1:21" ht="13.5" thickBot="1">
      <c r="B103" s="549"/>
      <c r="C103" s="550"/>
      <c r="D103" s="550"/>
      <c r="E103" s="550"/>
      <c r="F103" s="551"/>
      <c r="G103" s="68" t="s">
        <v>423</v>
      </c>
      <c r="H103" s="68" t="s">
        <v>423</v>
      </c>
      <c r="I103" s="68" t="s">
        <v>423</v>
      </c>
      <c r="J103" s="68" t="s">
        <v>423</v>
      </c>
      <c r="K103" s="68" t="s">
        <v>423</v>
      </c>
      <c r="L103" s="68" t="s">
        <v>423</v>
      </c>
      <c r="M103" s="68" t="s">
        <v>423</v>
      </c>
      <c r="N103" s="68" t="s">
        <v>423</v>
      </c>
      <c r="O103" s="68" t="s">
        <v>423</v>
      </c>
      <c r="P103" s="68" t="s">
        <v>423</v>
      </c>
      <c r="Q103" s="68" t="s">
        <v>423</v>
      </c>
      <c r="R103" s="68" t="s">
        <v>423</v>
      </c>
      <c r="S103" s="66" t="s">
        <v>423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40" t="str">
        <f>+VLOOKUP(LEFT($A104,LEN(A104)-1)*1,Master!$D$27:$G$225,4,FALSE)</f>
        <v>Prihodi budžeta</v>
      </c>
      <c r="C104" s="541"/>
      <c r="D104" s="541"/>
      <c r="E104" s="541"/>
      <c r="F104" s="541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42" t="str">
        <f>+VLOOKUP(LEFT($A105,LEN(A105)-1)*1,Master!$D$27:$G$225,4,FALSE)</f>
        <v>Porezi</v>
      </c>
      <c r="C105" s="543"/>
      <c r="D105" s="543"/>
      <c r="E105" s="543"/>
      <c r="F105" s="543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23" t="str">
        <f>+VLOOKUP(LEFT($A106,LEN(A106)-1)*1,Master!$D$27:$G$225,4,FALSE)</f>
        <v>Porez na dohodak fizičkih lica</v>
      </c>
      <c r="C106" s="524"/>
      <c r="D106" s="524"/>
      <c r="E106" s="524"/>
      <c r="F106" s="524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23" t="str">
        <f>+VLOOKUP(LEFT($A107,LEN(A107)-1)*1,Master!$D$27:$G$225,4,FALSE)</f>
        <v>Porez na dobit pravnih lica</v>
      </c>
      <c r="C107" s="524"/>
      <c r="D107" s="524"/>
      <c r="E107" s="524"/>
      <c r="F107" s="524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23" t="str">
        <f>+VLOOKUP(LEFT($A108,LEN(A108)-1)*1,Master!$D$27:$G$225,4,FALSE)</f>
        <v>Porez na promet nepokretnosti</v>
      </c>
      <c r="C108" s="524"/>
      <c r="D108" s="524"/>
      <c r="E108" s="524"/>
      <c r="F108" s="524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23" t="str">
        <f>+VLOOKUP(LEFT($A109,LEN(A109)-1)*1,Master!$D$27:$G$225,4,FALSE)</f>
        <v>Porez na dodatu vrijednost</v>
      </c>
      <c r="C109" s="524"/>
      <c r="D109" s="524"/>
      <c r="E109" s="524"/>
      <c r="F109" s="524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23" t="str">
        <f>+VLOOKUP(LEFT($A110,LEN(A110)-1)*1,Master!$D$27:$G$225,4,FALSE)</f>
        <v>Akcize</v>
      </c>
      <c r="C110" s="524"/>
      <c r="D110" s="524"/>
      <c r="E110" s="524"/>
      <c r="F110" s="524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23" t="str">
        <f>+VLOOKUP(LEFT($A111,LEN(A111)-1)*1,Master!$D$27:$G$225,4,FALSE)</f>
        <v>Porez na međunarodnu trgovinu i transakcije</v>
      </c>
      <c r="C111" s="524"/>
      <c r="D111" s="524"/>
      <c r="E111" s="524"/>
      <c r="F111" s="524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23" t="e">
        <f>+VLOOKUP(LEFT($A112,LEN(A112)-1)*1,Master!$D$27:$G$225,4,FALSE)</f>
        <v>#REF!</v>
      </c>
      <c r="C112" s="524"/>
      <c r="D112" s="524"/>
      <c r="E112" s="524"/>
      <c r="F112" s="524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23" t="str">
        <f>+VLOOKUP(LEFT($A113,LEN(A113)-1)*1,Master!$D$27:$G$225,4,FALSE)</f>
        <v>Ostali državni porezi</v>
      </c>
      <c r="C113" s="524"/>
      <c r="D113" s="524"/>
      <c r="E113" s="524"/>
      <c r="F113" s="524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35" t="str">
        <f>+VLOOKUP(LEFT($A114,LEN(A114)-1)*1,Master!$D$27:$G$225,4,FALSE)</f>
        <v>Doprinosi</v>
      </c>
      <c r="C114" s="536"/>
      <c r="D114" s="536"/>
      <c r="E114" s="536"/>
      <c r="F114" s="536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23" t="str">
        <f>+VLOOKUP(LEFT($A115,LEN(A115)-1)*1,Master!$D$27:$G$225,4,FALSE)</f>
        <v>Doprinosi za penzijsko i invalidsko osiguranje</v>
      </c>
      <c r="C115" s="524"/>
      <c r="D115" s="524"/>
      <c r="E115" s="524"/>
      <c r="F115" s="524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23" t="str">
        <f>+VLOOKUP(LEFT($A116,LEN(A116)-1)*1,Master!$D$27:$G$225,4,FALSE)</f>
        <v>Doprinosi za zdravstveno osiguranje</v>
      </c>
      <c r="C116" s="524"/>
      <c r="D116" s="524"/>
      <c r="E116" s="524"/>
      <c r="F116" s="524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23" t="str">
        <f>+VLOOKUP(LEFT($A117,LEN(A117)-1)*1,Master!$D$27:$G$225,4,FALSE)</f>
        <v>Doprinosi za osiguranje od nezaposlenosti</v>
      </c>
      <c r="C117" s="524"/>
      <c r="D117" s="524"/>
      <c r="E117" s="524"/>
      <c r="F117" s="524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23" t="str">
        <f>+VLOOKUP(LEFT($A118,LEN(A118)-1)*1,Master!$D$27:$G$225,4,FALSE)</f>
        <v>Ostali doprinosi</v>
      </c>
      <c r="C118" s="524"/>
      <c r="D118" s="524"/>
      <c r="E118" s="524"/>
      <c r="F118" s="524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7" t="str">
        <f>+VLOOKUP(LEFT($A119,LEN(A119)-1)*1,Master!$D$27:$G$225,4,FALSE)</f>
        <v>Takse</v>
      </c>
      <c r="C119" s="528"/>
      <c r="D119" s="528"/>
      <c r="E119" s="528"/>
      <c r="F119" s="528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7" t="str">
        <f>+VLOOKUP(LEFT($A120,LEN(A120)-1)*1,Master!$D$27:$G$225,4,FALSE)</f>
        <v>Naknade</v>
      </c>
      <c r="C120" s="528"/>
      <c r="D120" s="528"/>
      <c r="E120" s="528"/>
      <c r="F120" s="528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7" t="str">
        <f>+VLOOKUP(LEFT($A121,LEN(A121)-1)*1,Master!$D$27:$G$225,4,FALSE)</f>
        <v>Ostali prihodi</v>
      </c>
      <c r="C121" s="528"/>
      <c r="D121" s="528"/>
      <c r="E121" s="528"/>
      <c r="F121" s="528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7" t="str">
        <f>+VLOOKUP(LEFT($A122,LEN(A122)-1)*1,Master!$D$27:$G$225,4,FALSE)</f>
        <v>Primici od otplate kredita i sredstva prenesena iz prethodne godine</v>
      </c>
      <c r="C122" s="528"/>
      <c r="D122" s="528"/>
      <c r="E122" s="528"/>
      <c r="F122" s="528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9" t="str">
        <f>+VLOOKUP(LEFT($A123,LEN(A123)-1)*1,Master!$D$27:$G$225,4,FALSE)</f>
        <v>Donacije i transferi</v>
      </c>
      <c r="C123" s="530"/>
      <c r="D123" s="530"/>
      <c r="E123" s="530"/>
      <c r="F123" s="530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13" t="str">
        <f>+VLOOKUP(LEFT($A124,LEN(A124)-1)*1,Master!$D$27:$G$225,4,FALSE)</f>
        <v>Budžetski izdaci</v>
      </c>
      <c r="C124" s="514"/>
      <c r="D124" s="514"/>
      <c r="E124" s="514"/>
      <c r="F124" s="514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31" t="str">
        <f>+VLOOKUP(LEFT($A125,LEN(A125)-1)*1,Master!$D$27:$G$225,4,FALSE)</f>
        <v>Tekući izdaci</v>
      </c>
      <c r="C125" s="532"/>
      <c r="D125" s="532"/>
      <c r="E125" s="532"/>
      <c r="F125" s="532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33" t="str">
        <f>+VLOOKUP(LEFT($A126,LEN(A126)-1)*1,Master!$D$27:$G$225,4,FALSE)</f>
        <v>Tekuća budžetska potrošnja</v>
      </c>
      <c r="C126" s="534"/>
      <c r="D126" s="534"/>
      <c r="E126" s="534"/>
      <c r="F126" s="534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23" t="str">
        <f>+VLOOKUP(LEFT($A127,LEN(A127)-1)*1,Master!$D$27:$G$225,4,FALSE)</f>
        <v>Bruto zarade i doprinosi na teret poslodavca</v>
      </c>
      <c r="C127" s="524"/>
      <c r="D127" s="524"/>
      <c r="E127" s="524"/>
      <c r="F127" s="524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23" t="str">
        <f>+VLOOKUP(LEFT($A128,LEN(A128)-1)*1,Master!$D$27:$G$225,4,FALSE)</f>
        <v>Ostala lična primanja</v>
      </c>
      <c r="C128" s="524"/>
      <c r="D128" s="524"/>
      <c r="E128" s="524"/>
      <c r="F128" s="524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23" t="str">
        <f>+VLOOKUP(LEFT($A129,LEN(A129)-1)*1,Master!$D$27:$G$225,4,FALSE)</f>
        <v>Rashodi za materijal</v>
      </c>
      <c r="C129" s="524"/>
      <c r="D129" s="524"/>
      <c r="E129" s="524"/>
      <c r="F129" s="524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23" t="str">
        <f>+VLOOKUP(LEFT($A130,LEN(A130)-1)*1,Master!$D$27:$G$225,4,FALSE)</f>
        <v>Rashodi za usluge</v>
      </c>
      <c r="C130" s="524"/>
      <c r="D130" s="524"/>
      <c r="E130" s="524"/>
      <c r="F130" s="524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23" t="str">
        <f>+VLOOKUP(LEFT($A131,LEN(A131)-1)*1,Master!$D$27:$G$225,4,FALSE)</f>
        <v>Rashodi za tekuće održavanje</v>
      </c>
      <c r="C131" s="524"/>
      <c r="D131" s="524"/>
      <c r="E131" s="524"/>
      <c r="F131" s="524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23" t="str">
        <f>+VLOOKUP(LEFT($A132,LEN(A132)-1)*1,Master!$D$27:$G$225,4,FALSE)</f>
        <v>Kamate</v>
      </c>
      <c r="C132" s="524"/>
      <c r="D132" s="524"/>
      <c r="E132" s="524"/>
      <c r="F132" s="524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23" t="str">
        <f>+VLOOKUP(LEFT($A133,LEN(A133)-1)*1,Master!$D$27:$G$225,4,FALSE)</f>
        <v>Renta</v>
      </c>
      <c r="C133" s="524"/>
      <c r="D133" s="524"/>
      <c r="E133" s="524"/>
      <c r="F133" s="524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23" t="str">
        <f>+VLOOKUP(LEFT($A134,LEN(A134)-1)*1,Master!$D$27:$G$225,4,FALSE)</f>
        <v>Subvencije</v>
      </c>
      <c r="C134" s="524"/>
      <c r="D134" s="524"/>
      <c r="E134" s="524"/>
      <c r="F134" s="524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23" t="str">
        <f>+VLOOKUP(LEFT($A135,LEN(A135)-1)*1,Master!$D$27:$G$225,4,FALSE)</f>
        <v>Ostali izdaci</v>
      </c>
      <c r="C135" s="524"/>
      <c r="D135" s="524"/>
      <c r="E135" s="524"/>
      <c r="F135" s="524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23" t="str">
        <f>+VLOOKUP(LEFT($A136,LEN(A136)-1)*1,Master!$D$27:$G$225,4,FALSE)</f>
        <v>Kapitalni izdaci u tekućem budžetu</v>
      </c>
      <c r="C136" s="524"/>
      <c r="D136" s="524"/>
      <c r="E136" s="524"/>
      <c r="F136" s="524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9" t="str">
        <f>+VLOOKUP(LEFT($A137,LEN(A137)-1)*1,Master!$D$27:$G$225,4,FALSE)</f>
        <v>Transferi za socijalnu zaštitu</v>
      </c>
      <c r="C137" s="520"/>
      <c r="D137" s="520"/>
      <c r="E137" s="520"/>
      <c r="F137" s="520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23" t="str">
        <f>+VLOOKUP(LEFT($A138,LEN(A138)-1)*1,Master!$D$27:$G$225,4,FALSE)</f>
        <v>Prava iz oblasti socijalne zaštite</v>
      </c>
      <c r="C138" s="524"/>
      <c r="D138" s="524"/>
      <c r="E138" s="524"/>
      <c r="F138" s="524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23" t="str">
        <f>+VLOOKUP(LEFT($A139,LEN(A139)-1)*1,Master!$D$27:$G$225,4,FALSE)</f>
        <v>Sredstva za tehnološke viškove</v>
      </c>
      <c r="C139" s="524"/>
      <c r="D139" s="524"/>
      <c r="E139" s="524"/>
      <c r="F139" s="524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23" t="str">
        <f>+VLOOKUP(LEFT($A140,LEN(A140)-1)*1,Master!$D$27:$G$225,4,FALSE)</f>
        <v>Prava iz oblasti penzijskog i invalidskog osiguranja</v>
      </c>
      <c r="C140" s="524"/>
      <c r="D140" s="524"/>
      <c r="E140" s="524"/>
      <c r="F140" s="524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23" t="str">
        <f>+VLOOKUP(LEFT($A141,LEN(A141)-1)*1,Master!$D$27:$G$225,4,FALSE)</f>
        <v>Ostala prava iz oblasti zdravstvene zaštite</v>
      </c>
      <c r="C141" s="524"/>
      <c r="D141" s="524"/>
      <c r="E141" s="524"/>
      <c r="F141" s="524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23" t="str">
        <f>+VLOOKUP(LEFT($A142,LEN(A142)-1)*1,Master!$D$27:$G$225,4,FALSE)</f>
        <v>Ostala prava iz zdravstvenog osiguranja</v>
      </c>
      <c r="C142" s="524"/>
      <c r="D142" s="524"/>
      <c r="E142" s="524"/>
      <c r="F142" s="524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25" t="str">
        <f>+VLOOKUP(LEFT($A143,LEN(A143)-1)*1,Master!$D$27:$G$225,4,FALSE)</f>
        <v xml:space="preserve">Transferi institucijama, pojedincima, nevladinom i javnom sektoru </v>
      </c>
      <c r="C143" s="526"/>
      <c r="D143" s="526"/>
      <c r="E143" s="526"/>
      <c r="F143" s="526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25" t="str">
        <f>+VLOOKUP(LEFT($A144,LEN(A144)-1)*1,Master!$D$27:$G$225,4,FALSE)</f>
        <v>Kapitalni budžet</v>
      </c>
      <c r="C144" s="526"/>
      <c r="D144" s="526"/>
      <c r="E144" s="526"/>
      <c r="F144" s="526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7" t="str">
        <f>+VLOOKUP(LEFT($A145,LEN(A145)-1)*1,Master!$D$27:$G$225,4,FALSE)</f>
        <v>Pozajmice i krediti</v>
      </c>
      <c r="C145" s="508"/>
      <c r="D145" s="508"/>
      <c r="E145" s="508"/>
      <c r="F145" s="508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7" t="str">
        <f>+VLOOKUP(LEFT($A146,LEN(A146)-1)*1,Master!$D$27:$G$225,4,FALSE)</f>
        <v>Rezerve</v>
      </c>
      <c r="C146" s="508"/>
      <c r="D146" s="508"/>
      <c r="E146" s="508"/>
      <c r="F146" s="508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21" t="str">
        <f>+VLOOKUP(LEFT($A147,LEN(A147)-1)*1,Master!$D$27:$G$225,4,FALSE)</f>
        <v>Otplata garancija</v>
      </c>
      <c r="C147" s="522"/>
      <c r="D147" s="522"/>
      <c r="E147" s="522"/>
      <c r="F147" s="522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5" t="str">
        <f>+VLOOKUP(LEFT($A148,LEN(A148)-1)*1,Master!$D$27:$G$225,4,FALSE)</f>
        <v>Suficit / deficit</v>
      </c>
      <c r="C148" s="516"/>
      <c r="D148" s="516"/>
      <c r="E148" s="516"/>
      <c r="F148" s="516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7" t="str">
        <f>+VLOOKUP(LEFT($A149,LEN(A149)-1)*1,Master!$D$27:$G$225,4,FALSE)</f>
        <v>Primarni bilans</v>
      </c>
      <c r="C149" s="518"/>
      <c r="D149" s="518"/>
      <c r="E149" s="518"/>
      <c r="F149" s="518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9" t="str">
        <f>+VLOOKUP(LEFT($A150,LEN(A150)-1)*1,Master!$D$27:$G$225,4,FALSE)</f>
        <v>Otplata dugova</v>
      </c>
      <c r="C150" s="520"/>
      <c r="D150" s="520"/>
      <c r="E150" s="520"/>
      <c r="F150" s="520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9" t="str">
        <f>+VLOOKUP(LEFT($A151,LEN(A151)-1)*1,Master!$D$27:$G$225,4,FALSE)</f>
        <v>Otplata hartija od vrijednosti i kredita rezidentima</v>
      </c>
      <c r="C151" s="510"/>
      <c r="D151" s="510"/>
      <c r="E151" s="510"/>
      <c r="F151" s="510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7" t="str">
        <f>+VLOOKUP(LEFT($A152,LEN(A152)-1)*1,Master!$D$27:$G$225,4,FALSE)</f>
        <v>Otplata hartija od vrijednosti i kredita nerezidentima</v>
      </c>
      <c r="C152" s="508"/>
      <c r="D152" s="508"/>
      <c r="E152" s="508"/>
      <c r="F152" s="508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21" t="str">
        <f>+VLOOKUP(LEFT($A153,LEN(A153)-1)*1,Master!$D$27:$G$225,4,FALSE)</f>
        <v>Otplata obaveza iz prethodnih godina</v>
      </c>
      <c r="C153" s="522"/>
      <c r="D153" s="522"/>
      <c r="E153" s="522"/>
      <c r="F153" s="522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11" t="str">
        <f>+VLOOKUP(LEFT($A154,LEN(A154)-1)*1,Master!$D$27:$G$225,4,FALSE)</f>
        <v>Nedostajuća sredstva</v>
      </c>
      <c r="C154" s="512"/>
      <c r="D154" s="512"/>
      <c r="E154" s="512"/>
      <c r="F154" s="512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13" t="str">
        <f>+VLOOKUP(LEFT($A155,LEN(A155)-1)*1,Master!$D$27:$G$225,4,FALSE)</f>
        <v>Finansiranje</v>
      </c>
      <c r="C155" s="514"/>
      <c r="D155" s="514"/>
      <c r="E155" s="514"/>
      <c r="F155" s="514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9" t="str">
        <f>+VLOOKUP(LEFT($A156,LEN(A156)-1)*1,Master!$D$27:$G$225,4,FALSE)</f>
        <v>Pozajmice i krediti od domaćih izvora</v>
      </c>
      <c r="C156" s="510"/>
      <c r="D156" s="510"/>
      <c r="E156" s="510"/>
      <c r="F156" s="510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7" t="str">
        <f>+VLOOKUP(LEFT($A157,LEN(A157)-1)*1,Master!$D$27:$G$225,4,FALSE)</f>
        <v>Pozajmice i krediti od inostranih izvora</v>
      </c>
      <c r="C157" s="508"/>
      <c r="D157" s="508"/>
      <c r="E157" s="508"/>
      <c r="F157" s="508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7" t="str">
        <f>+VLOOKUP(LEFT($A158,LEN(A158)-1)*1,Master!$D$27:$G$225,4,FALSE)</f>
        <v>Primici od prodaje imovine</v>
      </c>
      <c r="C158" s="508"/>
      <c r="D158" s="508"/>
      <c r="E158" s="508"/>
      <c r="F158" s="508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državni budžet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513</v>
      </c>
      <c r="H6" s="69" t="s">
        <v>514</v>
      </c>
      <c r="I6" s="69" t="s">
        <v>515</v>
      </c>
      <c r="J6" s="69"/>
      <c r="K6" s="69" t="s">
        <v>516</v>
      </c>
      <c r="L6" s="69" t="s">
        <v>517</v>
      </c>
      <c r="M6" s="69" t="s">
        <v>518</v>
      </c>
      <c r="N6" s="69"/>
      <c r="O6" s="69" t="s">
        <v>519</v>
      </c>
      <c r="P6" s="69" t="s">
        <v>520</v>
      </c>
      <c r="Q6" s="69" t="s">
        <v>521</v>
      </c>
      <c r="R6" s="69"/>
      <c r="S6" s="69" t="s">
        <v>522</v>
      </c>
      <c r="T6" s="69" t="s">
        <v>523</v>
      </c>
      <c r="U6" s="69" t="s">
        <v>524</v>
      </c>
      <c r="V6" s="69"/>
    </row>
    <row r="7" spans="1:24" ht="15" customHeight="1" thickBot="1">
      <c r="B7" s="544" t="str">
        <f>+Master!G251</f>
        <v>Ostvarenje budžeta</v>
      </c>
      <c r="C7" s="545"/>
      <c r="D7" s="545"/>
      <c r="E7" s="545"/>
      <c r="F7" s="545"/>
      <c r="G7" s="537">
        <v>2013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38"/>
      <c r="S7" s="538"/>
      <c r="T7" s="538"/>
      <c r="U7" s="539"/>
      <c r="V7" s="360"/>
      <c r="W7" s="115" t="str">
        <f>+Master!G248</f>
        <v>BDP</v>
      </c>
      <c r="X7" s="116">
        <v>3327000000</v>
      </c>
    </row>
    <row r="8" spans="1:24" ht="16.5" customHeight="1">
      <c r="B8" s="546"/>
      <c r="C8" s="547"/>
      <c r="D8" s="547"/>
      <c r="E8" s="547"/>
      <c r="F8" s="548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37" t="s">
        <v>701</v>
      </c>
      <c r="X8" s="539"/>
    </row>
    <row r="9" spans="1:24" ht="13.5" thickBot="1">
      <c r="B9" s="549"/>
      <c r="C9" s="550"/>
      <c r="D9" s="550"/>
      <c r="E9" s="550"/>
      <c r="F9" s="551"/>
      <c r="G9" s="68" t="s">
        <v>423</v>
      </c>
      <c r="H9" s="68" t="s">
        <v>423</v>
      </c>
      <c r="I9" s="68" t="s">
        <v>423</v>
      </c>
      <c r="J9" s="68"/>
      <c r="K9" s="68" t="s">
        <v>423</v>
      </c>
      <c r="L9" s="68" t="s">
        <v>423</v>
      </c>
      <c r="M9" s="68" t="s">
        <v>423</v>
      </c>
      <c r="N9" s="68"/>
      <c r="O9" s="68" t="s">
        <v>423</v>
      </c>
      <c r="P9" s="68" t="s">
        <v>423</v>
      </c>
      <c r="Q9" s="68" t="s">
        <v>423</v>
      </c>
      <c r="R9" s="68"/>
      <c r="S9" s="68" t="s">
        <v>423</v>
      </c>
      <c r="T9" s="68" t="s">
        <v>423</v>
      </c>
      <c r="U9" s="68" t="s">
        <v>423</v>
      </c>
      <c r="V9" s="68"/>
      <c r="W9" s="66" t="s">
        <v>423</v>
      </c>
      <c r="X9" s="67" t="str">
        <f>+Master!G249</f>
        <v>% BDP</v>
      </c>
    </row>
    <row r="10" spans="1:24" ht="13.5" thickBot="1">
      <c r="A10" s="72">
        <v>7</v>
      </c>
      <c r="B10" s="540" t="str">
        <f>+VLOOKUP($A10,Master!$D$27:$G$225,4,FALSE)</f>
        <v>Prihodi budžeta</v>
      </c>
      <c r="C10" s="541"/>
      <c r="D10" s="541"/>
      <c r="E10" s="541"/>
      <c r="F10" s="541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42" t="str">
        <f>+VLOOKUP($A11,Master!$D$27:$G$225,4,FALSE)</f>
        <v>Porezi</v>
      </c>
      <c r="C11" s="543"/>
      <c r="D11" s="543"/>
      <c r="E11" s="543"/>
      <c r="F11" s="543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23" t="str">
        <f>+VLOOKUP($A12,Master!$D$27:$G$225,4,FALSE)</f>
        <v>Porez na dohodak fizičkih lica</v>
      </c>
      <c r="C12" s="524"/>
      <c r="D12" s="524"/>
      <c r="E12" s="524"/>
      <c r="F12" s="524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23" t="str">
        <f>+VLOOKUP($A13,Master!$D$27:$G$225,4,FALSE)</f>
        <v>Porez na dobit pravnih lica</v>
      </c>
      <c r="C13" s="524"/>
      <c r="D13" s="524"/>
      <c r="E13" s="524"/>
      <c r="F13" s="524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23" t="str">
        <f>+VLOOKUP($A14,Master!$D$27:$G$225,4,FALSE)</f>
        <v>Porez na promet nepokretnosti</v>
      </c>
      <c r="C14" s="524"/>
      <c r="D14" s="524"/>
      <c r="E14" s="524"/>
      <c r="F14" s="524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23" t="str">
        <f>+VLOOKUP($A15,Master!$D$27:$G$225,4,FALSE)</f>
        <v>Porez na dodatu vrijednost</v>
      </c>
      <c r="C15" s="524"/>
      <c r="D15" s="524"/>
      <c r="E15" s="524"/>
      <c r="F15" s="524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23" t="str">
        <f>+VLOOKUP($A16,Master!$D$27:$G$225,4,FALSE)</f>
        <v>Akcize</v>
      </c>
      <c r="C16" s="524"/>
      <c r="D16" s="524"/>
      <c r="E16" s="524"/>
      <c r="F16" s="524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23" t="str">
        <f>+VLOOKUP($A17,Master!$D$27:$G$225,4,FALSE)</f>
        <v>Porez na međunarodnu trgovinu i transakcije</v>
      </c>
      <c r="C17" s="524"/>
      <c r="D17" s="524"/>
      <c r="E17" s="524"/>
      <c r="F17" s="524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23" t="e">
        <f>+VLOOKUP($A18,Master!$D$27:$G$225,4,FALSE)</f>
        <v>#N/A</v>
      </c>
      <c r="C18" s="524"/>
      <c r="D18" s="524"/>
      <c r="E18" s="524"/>
      <c r="F18" s="524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23" t="str">
        <f>+VLOOKUP($A19,Master!$D$27:$G$225,4,FALSE)</f>
        <v>Ostali državni porezi</v>
      </c>
      <c r="C19" s="524"/>
      <c r="D19" s="524"/>
      <c r="E19" s="524"/>
      <c r="F19" s="524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35" t="str">
        <f>+VLOOKUP($A20,Master!$D$27:$G$225,4,FALSE)</f>
        <v>Doprinosi</v>
      </c>
      <c r="C20" s="536"/>
      <c r="D20" s="536"/>
      <c r="E20" s="536"/>
      <c r="F20" s="536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23" t="str">
        <f>+VLOOKUP($A21,Master!$D$27:$G$225,4,FALSE)</f>
        <v>Doprinosi za penzijsko i invalidsko osiguranje</v>
      </c>
      <c r="C21" s="524"/>
      <c r="D21" s="524"/>
      <c r="E21" s="524"/>
      <c r="F21" s="524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23" t="str">
        <f>+VLOOKUP($A22,Master!$D$27:$G$225,4,FALSE)</f>
        <v>Doprinosi za zdravstveno osiguranje</v>
      </c>
      <c r="C22" s="524"/>
      <c r="D22" s="524"/>
      <c r="E22" s="524"/>
      <c r="F22" s="524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23" t="str">
        <f>+VLOOKUP($A23,Master!$D$27:$G$225,4,FALSE)</f>
        <v>Doprinosi za osiguranje od nezaposlenosti</v>
      </c>
      <c r="C23" s="524"/>
      <c r="D23" s="524"/>
      <c r="E23" s="524"/>
      <c r="F23" s="524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23" t="str">
        <f>+VLOOKUP($A24,Master!$D$27:$G$225,4,FALSE)</f>
        <v>Ostali doprinosi</v>
      </c>
      <c r="C24" s="524"/>
      <c r="D24" s="524"/>
      <c r="E24" s="524"/>
      <c r="F24" s="524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7" t="str">
        <f>+VLOOKUP($A25,Master!$D$27:$G$225,4,FALSE)</f>
        <v>Takse</v>
      </c>
      <c r="C25" s="528"/>
      <c r="D25" s="528"/>
      <c r="E25" s="528"/>
      <c r="F25" s="528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7" t="str">
        <f>+VLOOKUP($A26,Master!$D$27:$G$225,4,FALSE)</f>
        <v>Naknade</v>
      </c>
      <c r="C26" s="528"/>
      <c r="D26" s="528"/>
      <c r="E26" s="528"/>
      <c r="F26" s="528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7" t="str">
        <f>+VLOOKUP($A27,Master!$D$27:$G$225,4,FALSE)</f>
        <v>Ostali prihodi</v>
      </c>
      <c r="C27" s="528"/>
      <c r="D27" s="528"/>
      <c r="E27" s="528"/>
      <c r="F27" s="528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7" t="str">
        <f>+VLOOKUP($A28,Master!$D$27:$G$225,4,FALSE)</f>
        <v>Primici od otplate kredita i sredstva prenesena iz prethodne godine</v>
      </c>
      <c r="C28" s="528"/>
      <c r="D28" s="528"/>
      <c r="E28" s="528"/>
      <c r="F28" s="528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9" t="str">
        <f>+VLOOKUP($A29,Master!$D$27:$G$225,4,FALSE)</f>
        <v>Donacije i transferi</v>
      </c>
      <c r="C29" s="530"/>
      <c r="D29" s="530"/>
      <c r="E29" s="530"/>
      <c r="F29" s="530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13" t="str">
        <f>+VLOOKUP($A30,Master!$D$27:$G$225,4,FALSE)</f>
        <v>Budžetski izdaci</v>
      </c>
      <c r="C30" s="514"/>
      <c r="D30" s="514"/>
      <c r="E30" s="514"/>
      <c r="F30" s="514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31" t="str">
        <f>+VLOOKUP($A31,Master!$D$27:$G$225,4,FALSE)</f>
        <v>Tekući izdaci</v>
      </c>
      <c r="C31" s="532"/>
      <c r="D31" s="532"/>
      <c r="E31" s="532"/>
      <c r="F31" s="532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33" t="str">
        <f>+VLOOKUP($A32,Master!$D$27:$G$225,4,FALSE)</f>
        <v>Tekuća budžetska potrošnja</v>
      </c>
      <c r="C32" s="534"/>
      <c r="D32" s="534"/>
      <c r="E32" s="534"/>
      <c r="F32" s="534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23" t="str">
        <f>+VLOOKUP($A33,Master!$D$27:$G$225,4,FALSE)</f>
        <v>Bruto zarade i doprinosi na teret poslodavca</v>
      </c>
      <c r="C33" s="524"/>
      <c r="D33" s="524"/>
      <c r="E33" s="524"/>
      <c r="F33" s="524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23" t="str">
        <f>+VLOOKUP($A34,Master!$D$27:$G$225,4,FALSE)</f>
        <v>Ostala lična primanja</v>
      </c>
      <c r="C34" s="524"/>
      <c r="D34" s="524"/>
      <c r="E34" s="524"/>
      <c r="F34" s="524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23" t="str">
        <f>+VLOOKUP($A35,Master!$D$27:$G$225,4,FALSE)</f>
        <v>Rashodi za materijal</v>
      </c>
      <c r="C35" s="524"/>
      <c r="D35" s="524"/>
      <c r="E35" s="524"/>
      <c r="F35" s="524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23" t="str">
        <f>+VLOOKUP($A36,Master!$D$27:$G$225,4,FALSE)</f>
        <v>Rashodi za usluge</v>
      </c>
      <c r="C36" s="524"/>
      <c r="D36" s="524"/>
      <c r="E36" s="524"/>
      <c r="F36" s="524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23" t="str">
        <f>+VLOOKUP($A37,Master!$D$27:$G$225,4,FALSE)</f>
        <v>Rashodi za tekuće održavanje</v>
      </c>
      <c r="C37" s="524"/>
      <c r="D37" s="524"/>
      <c r="E37" s="524"/>
      <c r="F37" s="524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23" t="str">
        <f>+VLOOKUP($A38,Master!$D$27:$G$225,4,FALSE)</f>
        <v>Kamate</v>
      </c>
      <c r="C38" s="524"/>
      <c r="D38" s="524"/>
      <c r="E38" s="524"/>
      <c r="F38" s="524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23" t="str">
        <f>+VLOOKUP($A39,Master!$D$27:$G$225,4,FALSE)</f>
        <v>Renta</v>
      </c>
      <c r="C39" s="524"/>
      <c r="D39" s="524"/>
      <c r="E39" s="524"/>
      <c r="F39" s="524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23" t="str">
        <f>+VLOOKUP($A40,Master!$D$27:$G$225,4,FALSE)</f>
        <v>Subvencije</v>
      </c>
      <c r="C40" s="524"/>
      <c r="D40" s="524"/>
      <c r="E40" s="524"/>
      <c r="F40" s="524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23" t="str">
        <f>+VLOOKUP($A41,Master!$D$27:$G$225,4,FALSE)</f>
        <v>Ostali izdaci</v>
      </c>
      <c r="C41" s="524"/>
      <c r="D41" s="524"/>
      <c r="E41" s="524"/>
      <c r="F41" s="524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23" t="str">
        <f>+VLOOKUP($A42,Master!$D$27:$G$225,4,FALSE)</f>
        <v>Kapitalni izdaci u tekućem budžetu</v>
      </c>
      <c r="C42" s="524"/>
      <c r="D42" s="524"/>
      <c r="E42" s="524"/>
      <c r="F42" s="524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9" t="str">
        <f>+VLOOKUP($A43,Master!$D$27:$G$225,4,FALSE)</f>
        <v>Transferi za socijalnu zaštitu</v>
      </c>
      <c r="C43" s="520"/>
      <c r="D43" s="520"/>
      <c r="E43" s="520"/>
      <c r="F43" s="520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23" t="str">
        <f>+VLOOKUP($A44,Master!$D$27:$G$225,4,FALSE)</f>
        <v>Prava iz oblasti socijalne zaštite</v>
      </c>
      <c r="C44" s="524"/>
      <c r="D44" s="524"/>
      <c r="E44" s="524"/>
      <c r="F44" s="524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23" t="str">
        <f>+VLOOKUP($A45,Master!$D$27:$G$225,4,FALSE)</f>
        <v>Sredstva za tehnološke viškove</v>
      </c>
      <c r="C45" s="524"/>
      <c r="D45" s="524"/>
      <c r="E45" s="524"/>
      <c r="F45" s="524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23" t="str">
        <f>+VLOOKUP($A46,Master!$D$27:$G$225,4,FALSE)</f>
        <v>Prava iz oblasti penzijskog i invalidskog osiguranja</v>
      </c>
      <c r="C46" s="524"/>
      <c r="D46" s="524"/>
      <c r="E46" s="524"/>
      <c r="F46" s="524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23" t="str">
        <f>+VLOOKUP($A47,Master!$D$27:$G$225,4,FALSE)</f>
        <v>Ostala prava iz oblasti zdravstvene zaštite</v>
      </c>
      <c r="C47" s="524"/>
      <c r="D47" s="524"/>
      <c r="E47" s="524"/>
      <c r="F47" s="524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23" t="str">
        <f>+VLOOKUP($A48,Master!$D$27:$G$225,4,FALSE)</f>
        <v>Ostala prava iz zdravstvenog osiguranja</v>
      </c>
      <c r="C48" s="524"/>
      <c r="D48" s="524"/>
      <c r="E48" s="524"/>
      <c r="F48" s="524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25" t="str">
        <f>+VLOOKUP($A49,Master!$D$27:$G$225,4,FALSE)</f>
        <v xml:space="preserve">Transferi institucijama, pojedincima, nevladinom i javnom sektoru </v>
      </c>
      <c r="C49" s="526"/>
      <c r="D49" s="526"/>
      <c r="E49" s="526"/>
      <c r="F49" s="526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25" t="str">
        <f>+VLOOKUP($A50,Master!$D$27:$G$225,4,FALSE)</f>
        <v>Kapitalni budžet</v>
      </c>
      <c r="C50" s="526"/>
      <c r="D50" s="526"/>
      <c r="E50" s="526"/>
      <c r="F50" s="526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7" t="str">
        <f>+VLOOKUP($A51,Master!$D$27:$G$225,4,FALSE)</f>
        <v>Pozajmice i krediti</v>
      </c>
      <c r="C51" s="508"/>
      <c r="D51" s="508"/>
      <c r="E51" s="508"/>
      <c r="F51" s="508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7" t="str">
        <f>+VLOOKUP($A52,Master!$D$27:$G$225,4,FALSE)</f>
        <v>Rezerve</v>
      </c>
      <c r="C52" s="508"/>
      <c r="D52" s="508"/>
      <c r="E52" s="508"/>
      <c r="F52" s="508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21" t="str">
        <f>+VLOOKUP($A53,Master!$D$27:$G$225,4,FALSE)</f>
        <v>Otplata garancija</v>
      </c>
      <c r="C53" s="522"/>
      <c r="D53" s="522"/>
      <c r="E53" s="522"/>
      <c r="F53" s="522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21" t="str">
        <f>+VLOOKUP($A54,Master!$D$27:$G$225,4,FALSE)</f>
        <v>Otplata obaveza iz prethodnih godina</v>
      </c>
      <c r="C54" s="522"/>
      <c r="D54" s="522"/>
      <c r="E54" s="522"/>
      <c r="F54" s="522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21" t="str">
        <f>+VLOOKUP($A55,Master!$D$27:$G$227,4,FALSE)</f>
        <v>Neto povećanje obaveza</v>
      </c>
      <c r="C55" s="522"/>
      <c r="D55" s="522"/>
      <c r="E55" s="522"/>
      <c r="F55" s="522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5" t="str">
        <f>+VLOOKUP($A56,Master!$D$27:$G$225,4,FALSE)</f>
        <v>Suficit / deficit</v>
      </c>
      <c r="C56" s="516"/>
      <c r="D56" s="516"/>
      <c r="E56" s="516"/>
      <c r="F56" s="516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7" t="str">
        <f>+VLOOKUP($A57,Master!$D$27:$G$225,4,FALSE)</f>
        <v>Primarni bilans</v>
      </c>
      <c r="C57" s="518"/>
      <c r="D57" s="518"/>
      <c r="E57" s="518"/>
      <c r="F57" s="518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9" t="str">
        <f>+VLOOKUP($A58,Master!$D$27:$G$225,4,FALSE)</f>
        <v>Otplata dugova</v>
      </c>
      <c r="C58" s="520"/>
      <c r="D58" s="520"/>
      <c r="E58" s="520"/>
      <c r="F58" s="520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9" t="str">
        <f>+VLOOKUP($A59,Master!$D$27:$G$225,4,FALSE)</f>
        <v>Otplata hartija od vrijednosti i kredita rezidentima</v>
      </c>
      <c r="C59" s="510"/>
      <c r="D59" s="510"/>
      <c r="E59" s="510"/>
      <c r="F59" s="510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7" t="str">
        <f>+VLOOKUP($A60,Master!$D$27:$G$225,4,FALSE)</f>
        <v>Otplata hartija od vrijednosti i kredita nerezidentima</v>
      </c>
      <c r="C60" s="508"/>
      <c r="D60" s="508"/>
      <c r="E60" s="508"/>
      <c r="F60" s="508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11" t="str">
        <f>+VLOOKUP($A61,Master!$D$27:$G$225,4,FALSE)</f>
        <v>Nedostajuća sredstva</v>
      </c>
      <c r="C61" s="512"/>
      <c r="D61" s="512"/>
      <c r="E61" s="512"/>
      <c r="F61" s="512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13" t="str">
        <f>+VLOOKUP($A62,Master!$D$27:$G$225,4,FALSE)</f>
        <v>Finansiranje</v>
      </c>
      <c r="C62" s="514"/>
      <c r="D62" s="514"/>
      <c r="E62" s="514"/>
      <c r="F62" s="514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9" t="str">
        <f>+VLOOKUP($A63,Master!$D$27:$G$225,4,FALSE)</f>
        <v>Pozajmice i krediti od domaćih izvora</v>
      </c>
      <c r="C63" s="510"/>
      <c r="D63" s="510"/>
      <c r="E63" s="510"/>
      <c r="F63" s="510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7" t="str">
        <f>+VLOOKUP($A64,Master!$D$27:$G$225,4,FALSE)</f>
        <v>Pozajmice i krediti od inostranih izvora</v>
      </c>
      <c r="C64" s="508"/>
      <c r="D64" s="508"/>
      <c r="E64" s="508"/>
      <c r="F64" s="508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7" t="str">
        <f>+VLOOKUP($A65,Master!$D$27:$G$225,4,FALSE)</f>
        <v>Primici od prodaje imovine</v>
      </c>
      <c r="C65" s="508"/>
      <c r="D65" s="508"/>
      <c r="E65" s="508"/>
      <c r="F65" s="508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62" t="str">
        <f>+Master!G252</f>
        <v>Plan ostvarenja budžeta</v>
      </c>
      <c r="C102" s="460"/>
      <c r="D102" s="460"/>
      <c r="E102" s="460"/>
      <c r="F102" s="460"/>
      <c r="G102" s="468">
        <v>2013</v>
      </c>
      <c r="H102" s="469"/>
      <c r="I102" s="469"/>
      <c r="J102" s="469"/>
      <c r="K102" s="469"/>
      <c r="L102" s="469"/>
      <c r="M102" s="469"/>
      <c r="N102" s="469"/>
      <c r="O102" s="469"/>
      <c r="P102" s="469"/>
      <c r="Q102" s="469"/>
      <c r="R102" s="469"/>
      <c r="S102" s="469"/>
      <c r="T102" s="469"/>
      <c r="U102" s="472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61"/>
      <c r="C103" s="462"/>
      <c r="D103" s="462"/>
      <c r="E103" s="462"/>
      <c r="F103" s="463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68" t="str">
        <f>+Master!G246</f>
        <v>Jan - Dec</v>
      </c>
      <c r="X103" s="472">
        <f>+X8</f>
        <v>0</v>
      </c>
    </row>
    <row r="104" spans="1:24" ht="13.5" thickBot="1">
      <c r="A104" s="169"/>
      <c r="B104" s="464"/>
      <c r="C104" s="465"/>
      <c r="D104" s="465"/>
      <c r="E104" s="465"/>
      <c r="F104" s="466"/>
      <c r="G104" s="162" t="s">
        <v>423</v>
      </c>
      <c r="H104" s="162" t="s">
        <v>423</v>
      </c>
      <c r="I104" s="162" t="s">
        <v>423</v>
      </c>
      <c r="J104" s="162"/>
      <c r="K104" s="162" t="s">
        <v>423</v>
      </c>
      <c r="L104" s="162" t="s">
        <v>423</v>
      </c>
      <c r="M104" s="162" t="s">
        <v>423</v>
      </c>
      <c r="N104" s="162"/>
      <c r="O104" s="162" t="s">
        <v>423</v>
      </c>
      <c r="P104" s="162" t="s">
        <v>423</v>
      </c>
      <c r="Q104" s="162" t="s">
        <v>423</v>
      </c>
      <c r="R104" s="162"/>
      <c r="S104" s="162" t="s">
        <v>423</v>
      </c>
      <c r="T104" s="162" t="s">
        <v>423</v>
      </c>
      <c r="U104" s="162" t="s">
        <v>423</v>
      </c>
      <c r="V104" s="162"/>
      <c r="W104" s="262" t="s">
        <v>423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501" t="str">
        <f>+VLOOKUP(LEFT($A105,LEN(A105)-1)*1,Master!$D$27:$G$225,4,FALSE)</f>
        <v>Prihodi budžeta</v>
      </c>
      <c r="C105" s="502"/>
      <c r="D105" s="502"/>
      <c r="E105" s="502"/>
      <c r="F105" s="502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503" t="str">
        <f>+VLOOKUP(LEFT($A106,LEN(A106)-1)*1,Master!$D$27:$G$225,4,FALSE)</f>
        <v>Porezi</v>
      </c>
      <c r="C106" s="504"/>
      <c r="D106" s="504"/>
      <c r="E106" s="504"/>
      <c r="F106" s="504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9" t="str">
        <f>+VLOOKUP(LEFT($A107,LEN(A107)-1)*1,Master!$D$27:$G$225,4,FALSE)</f>
        <v>Porez na dohodak fizičkih lica</v>
      </c>
      <c r="C107" s="490"/>
      <c r="D107" s="490"/>
      <c r="E107" s="490"/>
      <c r="F107" s="490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9" t="str">
        <f>+VLOOKUP(LEFT($A108,LEN(A108)-1)*1,Master!$D$27:$G$225,4,FALSE)</f>
        <v>Porez na dobit pravnih lica</v>
      </c>
      <c r="C108" s="490"/>
      <c r="D108" s="490"/>
      <c r="E108" s="490"/>
      <c r="F108" s="490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9" t="str">
        <f>+VLOOKUP(LEFT($A109,LEN(A109)-1)*1,Master!$D$27:$G$225,4,FALSE)</f>
        <v>Porez na promet nepokretnosti</v>
      </c>
      <c r="C109" s="490"/>
      <c r="D109" s="490"/>
      <c r="E109" s="490"/>
      <c r="F109" s="490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9" t="str">
        <f>+VLOOKUP(LEFT($A110,LEN(A110)-1)*1,Master!$D$27:$G$225,4,FALSE)</f>
        <v>Porez na dodatu vrijednost</v>
      </c>
      <c r="C110" s="490"/>
      <c r="D110" s="490"/>
      <c r="E110" s="490"/>
      <c r="F110" s="490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9" t="str">
        <f>+VLOOKUP(LEFT($A111,LEN(A111)-1)*1,Master!$D$27:$G$225,4,FALSE)</f>
        <v>Akcize</v>
      </c>
      <c r="C111" s="490"/>
      <c r="D111" s="490"/>
      <c r="E111" s="490"/>
      <c r="F111" s="490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9" t="str">
        <f>+VLOOKUP(LEFT($A112,LEN(A112)-1)*1,Master!$D$27:$G$225,4,FALSE)</f>
        <v>Porez na međunarodnu trgovinu i transakcije</v>
      </c>
      <c r="C112" s="490"/>
      <c r="D112" s="490"/>
      <c r="E112" s="490"/>
      <c r="F112" s="490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9" t="e">
        <f>+VLOOKUP(LEFT($A113,LEN(A113)-1)*1,Master!$D$27:$G$225,4,FALSE)</f>
        <v>#N/A</v>
      </c>
      <c r="C113" s="490"/>
      <c r="D113" s="490"/>
      <c r="E113" s="490"/>
      <c r="F113" s="490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9" t="str">
        <f>+VLOOKUP(LEFT($A114,LEN(A114)-1)*1,Master!$D$27:$G$225,4,FALSE)</f>
        <v>Ostali državni porezi</v>
      </c>
      <c r="C114" s="490"/>
      <c r="D114" s="490"/>
      <c r="E114" s="490"/>
      <c r="F114" s="490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9" t="str">
        <f>+VLOOKUP(LEFT($A115,LEN(A115)-1)*1,Master!$D$27:$G$225,4,FALSE)</f>
        <v>Doprinosi</v>
      </c>
      <c r="C115" s="500"/>
      <c r="D115" s="500"/>
      <c r="E115" s="500"/>
      <c r="F115" s="500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9" t="str">
        <f>+VLOOKUP(LEFT($A116,LEN(A116)-1)*1,Master!$D$27:$G$225,4,FALSE)</f>
        <v>Doprinosi za penzijsko i invalidsko osiguranje</v>
      </c>
      <c r="C116" s="490"/>
      <c r="D116" s="490"/>
      <c r="E116" s="490"/>
      <c r="F116" s="490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9" t="str">
        <f>+VLOOKUP(LEFT($A117,LEN(A117)-1)*1,Master!$D$27:$G$225,4,FALSE)</f>
        <v>Doprinosi za zdravstveno osiguranje</v>
      </c>
      <c r="C117" s="490"/>
      <c r="D117" s="490"/>
      <c r="E117" s="490"/>
      <c r="F117" s="490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9" t="str">
        <f>+VLOOKUP(LEFT($A118,LEN(A118)-1)*1,Master!$D$27:$G$225,4,FALSE)</f>
        <v>Doprinosi za osiguranje od nezaposlenosti</v>
      </c>
      <c r="C118" s="490"/>
      <c r="D118" s="490"/>
      <c r="E118" s="490"/>
      <c r="F118" s="490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9" t="str">
        <f>+VLOOKUP(LEFT($A119,LEN(A119)-1)*1,Master!$D$27:$G$225,4,FALSE)</f>
        <v>Ostali doprinosi</v>
      </c>
      <c r="C119" s="490"/>
      <c r="D119" s="490"/>
      <c r="E119" s="490"/>
      <c r="F119" s="490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91" t="str">
        <f>+VLOOKUP(LEFT($A120,LEN(A120)-1)*1,Master!$D$27:$G$225,4,FALSE)</f>
        <v>Takse</v>
      </c>
      <c r="C120" s="492"/>
      <c r="D120" s="492"/>
      <c r="E120" s="492"/>
      <c r="F120" s="492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91" t="str">
        <f>+VLOOKUP(LEFT($A121,LEN(A121)-1)*1,Master!$D$27:$G$225,4,FALSE)</f>
        <v>Naknade</v>
      </c>
      <c r="C121" s="492"/>
      <c r="D121" s="492"/>
      <c r="E121" s="492"/>
      <c r="F121" s="492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91" t="str">
        <f>+VLOOKUP(LEFT($A122,LEN(A122)-1)*1,Master!$D$27:$G$225,4,FALSE)</f>
        <v>Ostali prihodi</v>
      </c>
      <c r="C122" s="492"/>
      <c r="D122" s="492"/>
      <c r="E122" s="492"/>
      <c r="F122" s="492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91" t="str">
        <f>+VLOOKUP(LEFT($A123,LEN(A123)-1)*1,Master!$D$27:$G$225,4,FALSE)</f>
        <v>Primici od otplate kredita i sredstva prenesena iz prethodne godine</v>
      </c>
      <c r="C123" s="492"/>
      <c r="D123" s="492"/>
      <c r="E123" s="492"/>
      <c r="F123" s="492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93" t="str">
        <f>+VLOOKUP(LEFT($A124,LEN(A124)-1)*1,Master!$D$27:$G$225,4,FALSE)</f>
        <v>Donacije i transferi</v>
      </c>
      <c r="C124" s="494"/>
      <c r="D124" s="494"/>
      <c r="E124" s="494"/>
      <c r="F124" s="494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9" t="str">
        <f>+VLOOKUP(LEFT($A125,LEN(A125)-1)*1,Master!$D$27:$G$225,4,FALSE)</f>
        <v>Budžetski izdaci</v>
      </c>
      <c r="C125" s="480"/>
      <c r="D125" s="480"/>
      <c r="E125" s="480"/>
      <c r="F125" s="480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5" t="str">
        <f>+VLOOKUP(LEFT($A126,LEN(A126)-1)*1,Master!$D$27:$G$225,4,FALSE)</f>
        <v>Tekući izdaci</v>
      </c>
      <c r="C126" s="496"/>
      <c r="D126" s="496"/>
      <c r="E126" s="496"/>
      <c r="F126" s="496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7" t="str">
        <f>+VLOOKUP(LEFT($A127,LEN(A127)-1)*1,Master!$D$27:$G$225,4,FALSE)</f>
        <v>Tekuća budžetska potrošnja</v>
      </c>
      <c r="C127" s="498"/>
      <c r="D127" s="498"/>
      <c r="E127" s="498"/>
      <c r="F127" s="498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9" t="str">
        <f>+VLOOKUP(LEFT($A128,LEN(A128)-1)*1,Master!$D$27:$G$225,4,FALSE)</f>
        <v>Bruto zarade i doprinosi na teret poslodavca</v>
      </c>
      <c r="C128" s="490"/>
      <c r="D128" s="490"/>
      <c r="E128" s="490"/>
      <c r="F128" s="490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9" t="str">
        <f>+VLOOKUP(LEFT($A129,LEN(A129)-1)*1,Master!$D$27:$G$225,4,FALSE)</f>
        <v>Ostala lična primanja</v>
      </c>
      <c r="C129" s="490"/>
      <c r="D129" s="490"/>
      <c r="E129" s="490"/>
      <c r="F129" s="490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9" t="str">
        <f>+VLOOKUP(LEFT($A130,LEN(A130)-1)*1,Master!$D$27:$G$225,4,FALSE)</f>
        <v>Rashodi za materijal</v>
      </c>
      <c r="C130" s="490"/>
      <c r="D130" s="490"/>
      <c r="E130" s="490"/>
      <c r="F130" s="490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9" t="str">
        <f>+VLOOKUP(LEFT($A131,LEN(A131)-1)*1,Master!$D$27:$G$225,4,FALSE)</f>
        <v>Rashodi za usluge</v>
      </c>
      <c r="C131" s="490"/>
      <c r="D131" s="490"/>
      <c r="E131" s="490"/>
      <c r="F131" s="490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9" t="str">
        <f>+VLOOKUP(LEFT($A132,LEN(A132)-1)*1,Master!$D$27:$G$225,4,FALSE)</f>
        <v>Rashodi za tekuće održavanje</v>
      </c>
      <c r="C132" s="490"/>
      <c r="D132" s="490"/>
      <c r="E132" s="490"/>
      <c r="F132" s="490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9" t="str">
        <f>+VLOOKUP(LEFT($A133,LEN(A133)-1)*1,Master!$D$27:$G$225,4,FALSE)</f>
        <v>Kamate</v>
      </c>
      <c r="C133" s="490"/>
      <c r="D133" s="490"/>
      <c r="E133" s="490"/>
      <c r="F133" s="490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9" t="str">
        <f>+VLOOKUP(LEFT($A134,LEN(A134)-1)*1,Master!$D$27:$G$225,4,FALSE)</f>
        <v>Renta</v>
      </c>
      <c r="C134" s="490"/>
      <c r="D134" s="490"/>
      <c r="E134" s="490"/>
      <c r="F134" s="490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9" t="str">
        <f>+VLOOKUP(LEFT($A135,LEN(A135)-1)*1,Master!$D$27:$G$225,4,FALSE)</f>
        <v>Subvencije</v>
      </c>
      <c r="C135" s="490"/>
      <c r="D135" s="490"/>
      <c r="E135" s="490"/>
      <c r="F135" s="490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9" t="str">
        <f>+VLOOKUP(LEFT($A136,LEN(A136)-1)*1,Master!$D$27:$G$225,4,FALSE)</f>
        <v>Ostali izdaci</v>
      </c>
      <c r="C136" s="490"/>
      <c r="D136" s="490"/>
      <c r="E136" s="490"/>
      <c r="F136" s="490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9" t="str">
        <f>+VLOOKUP(LEFT($A137,LEN(A137)-1)*1,Master!$D$27:$G$225,4,FALSE)</f>
        <v>Kapitalni izdaci u tekućem budžetu</v>
      </c>
      <c r="C137" s="490"/>
      <c r="D137" s="490"/>
      <c r="E137" s="490"/>
      <c r="F137" s="490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5" t="str">
        <f>+VLOOKUP(LEFT($A138,LEN(A138)-1)*1,Master!$D$27:$G$225,4,FALSE)</f>
        <v>Transferi za socijalnu zaštitu</v>
      </c>
      <c r="C138" s="486"/>
      <c r="D138" s="486"/>
      <c r="E138" s="486"/>
      <c r="F138" s="486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9" t="str">
        <f>+VLOOKUP(LEFT($A139,LEN(A139)-1)*1,Master!$D$27:$G$225,4,FALSE)</f>
        <v>Prava iz oblasti socijalne zaštite</v>
      </c>
      <c r="C139" s="490"/>
      <c r="D139" s="490"/>
      <c r="E139" s="490"/>
      <c r="F139" s="490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9" t="str">
        <f>+VLOOKUP(LEFT($A140,LEN(A140)-1)*1,Master!$D$27:$G$225,4,FALSE)</f>
        <v>Sredstva za tehnološke viškove</v>
      </c>
      <c r="C140" s="490"/>
      <c r="D140" s="490"/>
      <c r="E140" s="490"/>
      <c r="F140" s="490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9" t="str">
        <f>+VLOOKUP(LEFT($A141,LEN(A141)-1)*1,Master!$D$27:$G$225,4,FALSE)</f>
        <v>Prava iz oblasti penzijskog i invalidskog osiguranja</v>
      </c>
      <c r="C141" s="490"/>
      <c r="D141" s="490"/>
      <c r="E141" s="490"/>
      <c r="F141" s="490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9" t="str">
        <f>+VLOOKUP(LEFT($A142,LEN(A142)-1)*1,Master!$D$27:$G$225,4,FALSE)</f>
        <v>Ostala prava iz oblasti zdravstvene zaštite</v>
      </c>
      <c r="C142" s="490"/>
      <c r="D142" s="490"/>
      <c r="E142" s="490"/>
      <c r="F142" s="490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9" t="str">
        <f>+VLOOKUP(LEFT($A143,LEN(A143)-1)*1,Master!$D$27:$G$225,4,FALSE)</f>
        <v>Ostala prava iz zdravstvenog osiguranja</v>
      </c>
      <c r="C143" s="490"/>
      <c r="D143" s="490"/>
      <c r="E143" s="490"/>
      <c r="F143" s="490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7" t="str">
        <f>+VLOOKUP(LEFT($A144,LEN(A144)-1)*1,Master!$D$27:$G$225,4,FALSE)</f>
        <v xml:space="preserve">Transferi institucijama, pojedincima, nevladinom i javnom sektoru </v>
      </c>
      <c r="C144" s="488"/>
      <c r="D144" s="488"/>
      <c r="E144" s="488"/>
      <c r="F144" s="488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7" t="str">
        <f>+VLOOKUP(LEFT($A145,LEN(A145)-1)*1,Master!$D$27:$G$225,4,FALSE)</f>
        <v>Kapitalni budžet</v>
      </c>
      <c r="C145" s="488"/>
      <c r="D145" s="488"/>
      <c r="E145" s="488"/>
      <c r="F145" s="488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7" t="str">
        <f>+VLOOKUP(LEFT($A146,LEN(A146)-1)*1,Master!$D$27:$G$225,4,FALSE)</f>
        <v>Pozajmice i krediti</v>
      </c>
      <c r="C146" s="458"/>
      <c r="D146" s="458"/>
      <c r="E146" s="458"/>
      <c r="F146" s="458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7" t="str">
        <f>+VLOOKUP(LEFT($A147,LEN(A147)-1)*1,Master!$D$27:$G$225,4,FALSE)</f>
        <v>Rezerve</v>
      </c>
      <c r="C147" s="458"/>
      <c r="D147" s="458"/>
      <c r="E147" s="458"/>
      <c r="F147" s="458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5" t="str">
        <f>+VLOOKUP(LEFT($A148,LEN(A148)-1)*1,Master!$D$27:$G$225,4,FALSE)</f>
        <v>Otplata garancija</v>
      </c>
      <c r="C148" s="476"/>
      <c r="D148" s="476"/>
      <c r="E148" s="476"/>
      <c r="F148" s="476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81" t="str">
        <f>+VLOOKUP(LEFT($A149,LEN(A149)-1)*1,Master!$D$27:$G$225,4,FALSE)</f>
        <v>Suficit / deficit</v>
      </c>
      <c r="C149" s="482"/>
      <c r="D149" s="482"/>
      <c r="E149" s="482"/>
      <c r="F149" s="482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83" t="str">
        <f>+VLOOKUP(LEFT($A150,LEN(A150)-1)*1,Master!$D$27:$G$225,4,FALSE)</f>
        <v>Primarni bilans</v>
      </c>
      <c r="C150" s="484"/>
      <c r="D150" s="484"/>
      <c r="E150" s="484"/>
      <c r="F150" s="484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5" t="str">
        <f>+VLOOKUP(LEFT($A151,LEN(A151)-1)*1,Master!$D$27:$G$225,4,FALSE)</f>
        <v>Otplata dugova</v>
      </c>
      <c r="C151" s="486"/>
      <c r="D151" s="486"/>
      <c r="E151" s="486"/>
      <c r="F151" s="486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73" t="str">
        <f>+VLOOKUP(LEFT($A152,LEN(A152)-1)*1,Master!$D$27:$G$225,4,FALSE)</f>
        <v>Otplata hartija od vrijednosti i kredita rezidentima</v>
      </c>
      <c r="C152" s="474"/>
      <c r="D152" s="474"/>
      <c r="E152" s="474"/>
      <c r="F152" s="474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7" t="str">
        <f>+VLOOKUP(LEFT($A153,LEN(A153)-1)*1,Master!$D$27:$G$225,4,FALSE)</f>
        <v>Otplata hartija od vrijednosti i kredita nerezidentima</v>
      </c>
      <c r="C153" s="458"/>
      <c r="D153" s="458"/>
      <c r="E153" s="458"/>
      <c r="F153" s="458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5" t="str">
        <f>+VLOOKUP(LEFT($A154,LEN(A154)-1)*1,Master!$D$27:$G$225,4,FALSE)</f>
        <v>Otplata obaveza iz prethodnih godina</v>
      </c>
      <c r="C154" s="476"/>
      <c r="D154" s="476"/>
      <c r="E154" s="476"/>
      <c r="F154" s="476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7" t="str">
        <f>+VLOOKUP(LEFT($A155,LEN(A155)-1)*1,Master!$D$27:$G$225,4,FALSE)</f>
        <v>Nedostajuća sredstva</v>
      </c>
      <c r="C155" s="478"/>
      <c r="D155" s="478"/>
      <c r="E155" s="478"/>
      <c r="F155" s="478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9" t="str">
        <f>+VLOOKUP(LEFT($A156,LEN(A156)-1)*1,Master!$D$27:$G$225,4,FALSE)</f>
        <v>Finansiranje</v>
      </c>
      <c r="C156" s="480"/>
      <c r="D156" s="480"/>
      <c r="E156" s="480"/>
      <c r="F156" s="480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73" t="str">
        <f>+VLOOKUP(LEFT($A157,LEN(A157)-1)*1,Master!$D$27:$G$225,4,FALSE)</f>
        <v>Pozajmice i krediti od domaćih izvora</v>
      </c>
      <c r="C157" s="474"/>
      <c r="D157" s="474"/>
      <c r="E157" s="474"/>
      <c r="F157" s="474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7" t="str">
        <f>+VLOOKUP(LEFT($A158,LEN(A158)-1)*1,Master!$D$27:$G$225,4,FALSE)</f>
        <v>Pozajmice i krediti od inostranih izvora</v>
      </c>
      <c r="C158" s="458"/>
      <c r="D158" s="458"/>
      <c r="E158" s="458"/>
      <c r="F158" s="458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7" t="str">
        <f>+VLOOKUP(LEFT($A159,LEN(A159)-1)*1,Master!$D$27:$G$225,4,FALSE)</f>
        <v>Primici od prodaje imovine</v>
      </c>
      <c r="C159" s="458"/>
      <c r="D159" s="458"/>
      <c r="E159" s="458"/>
      <c r="F159" s="458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državni budžet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513</v>
      </c>
      <c r="H6" s="69" t="s">
        <v>514</v>
      </c>
      <c r="I6" s="69" t="s">
        <v>515</v>
      </c>
      <c r="J6" s="69" t="s">
        <v>516</v>
      </c>
      <c r="K6" s="69" t="s">
        <v>517</v>
      </c>
      <c r="L6" s="69" t="s">
        <v>518</v>
      </c>
      <c r="M6" s="69" t="s">
        <v>519</v>
      </c>
      <c r="N6" s="69" t="s">
        <v>520</v>
      </c>
      <c r="O6" s="69" t="s">
        <v>521</v>
      </c>
      <c r="P6" s="69" t="s">
        <v>522</v>
      </c>
      <c r="Q6" s="69" t="s">
        <v>523</v>
      </c>
      <c r="R6" s="69" t="s">
        <v>524</v>
      </c>
    </row>
    <row r="7" spans="1:20" ht="15" customHeight="1" thickBot="1">
      <c r="B7" s="544" t="str">
        <f>+Master!G251</f>
        <v>Ostvarenje budžeta</v>
      </c>
      <c r="C7" s="545"/>
      <c r="D7" s="545"/>
      <c r="E7" s="545"/>
      <c r="F7" s="545"/>
      <c r="G7" s="537">
        <v>2013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39"/>
      <c r="S7" s="115" t="str">
        <f>+Master!G248</f>
        <v>BDP</v>
      </c>
      <c r="T7" s="116">
        <v>3393200615</v>
      </c>
    </row>
    <row r="8" spans="1:20" ht="16.5" customHeight="1">
      <c r="B8" s="546"/>
      <c r="C8" s="547"/>
      <c r="D8" s="547"/>
      <c r="E8" s="547"/>
      <c r="F8" s="548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37" t="str">
        <f>+Master!G245</f>
        <v>Jan - Avg</v>
      </c>
      <c r="T8" s="539"/>
    </row>
    <row r="9" spans="1:20" ht="13.5" thickBot="1">
      <c r="B9" s="549"/>
      <c r="C9" s="550"/>
      <c r="D9" s="550"/>
      <c r="E9" s="550"/>
      <c r="F9" s="551"/>
      <c r="G9" s="68" t="s">
        <v>423</v>
      </c>
      <c r="H9" s="68" t="s">
        <v>423</v>
      </c>
      <c r="I9" s="68" t="s">
        <v>423</v>
      </c>
      <c r="J9" s="68" t="s">
        <v>423</v>
      </c>
      <c r="K9" s="68" t="s">
        <v>423</v>
      </c>
      <c r="L9" s="68" t="s">
        <v>423</v>
      </c>
      <c r="M9" s="68" t="s">
        <v>423</v>
      </c>
      <c r="N9" s="68" t="s">
        <v>423</v>
      </c>
      <c r="O9" s="68" t="s">
        <v>423</v>
      </c>
      <c r="P9" s="68" t="s">
        <v>423</v>
      </c>
      <c r="Q9" s="68" t="s">
        <v>423</v>
      </c>
      <c r="R9" s="68" t="s">
        <v>423</v>
      </c>
      <c r="S9" s="66" t="s">
        <v>423</v>
      </c>
      <c r="T9" s="67" t="str">
        <f>+Master!G249</f>
        <v>% BDP</v>
      </c>
    </row>
    <row r="10" spans="1:20" ht="13.5" thickBot="1">
      <c r="A10" s="72">
        <v>7</v>
      </c>
      <c r="B10" s="540" t="str">
        <f>+VLOOKUP($A10,Master!$D$27:$G$225,4,FALSE)</f>
        <v>Prihodi budžeta</v>
      </c>
      <c r="C10" s="541"/>
      <c r="D10" s="541"/>
      <c r="E10" s="541"/>
      <c r="F10" s="541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42" t="str">
        <f>+VLOOKUP($A11,Master!$D$27:$G$225,4,FALSE)</f>
        <v>Porezi</v>
      </c>
      <c r="C11" s="543"/>
      <c r="D11" s="543"/>
      <c r="E11" s="543"/>
      <c r="F11" s="543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23" t="str">
        <f>+VLOOKUP($A12,Master!$D$27:$G$225,4,FALSE)</f>
        <v>Porez na dohodak fizičkih lica</v>
      </c>
      <c r="C12" s="524"/>
      <c r="D12" s="524"/>
      <c r="E12" s="524"/>
      <c r="F12" s="524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23" t="str">
        <f>+VLOOKUP($A13,Master!$D$27:$G$225,4,FALSE)</f>
        <v>Porez na dobit pravnih lica</v>
      </c>
      <c r="C13" s="524"/>
      <c r="D13" s="524"/>
      <c r="E13" s="524"/>
      <c r="F13" s="524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23" t="str">
        <f>+VLOOKUP($A14,Master!$D$27:$G$225,4,FALSE)</f>
        <v>Porez na promet nepokretnosti</v>
      </c>
      <c r="C14" s="524"/>
      <c r="D14" s="524"/>
      <c r="E14" s="524"/>
      <c r="F14" s="524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23" t="str">
        <f>+VLOOKUP($A15,Master!$D$27:$G$225,4,FALSE)</f>
        <v>Porez na dodatu vrijednost</v>
      </c>
      <c r="C15" s="524"/>
      <c r="D15" s="524"/>
      <c r="E15" s="524"/>
      <c r="F15" s="524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23" t="str">
        <f>+VLOOKUP($A16,Master!$D$27:$G$225,4,FALSE)</f>
        <v>Akcize</v>
      </c>
      <c r="C16" s="524"/>
      <c r="D16" s="524"/>
      <c r="E16" s="524"/>
      <c r="F16" s="524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23" t="str">
        <f>+VLOOKUP($A17,Master!$D$27:$G$225,4,FALSE)</f>
        <v>Porez na međunarodnu trgovinu i transakcije</v>
      </c>
      <c r="C17" s="524"/>
      <c r="D17" s="524"/>
      <c r="E17" s="524"/>
      <c r="F17" s="524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23" t="e">
        <f>+VLOOKUP($A18,Master!$D$27:$G$225,4,FALSE)</f>
        <v>#N/A</v>
      </c>
      <c r="C18" s="524"/>
      <c r="D18" s="524"/>
      <c r="E18" s="524"/>
      <c r="F18" s="524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23" t="str">
        <f>+VLOOKUP($A19,Master!$D$27:$G$225,4,FALSE)</f>
        <v>Ostali državni porezi</v>
      </c>
      <c r="C19" s="524"/>
      <c r="D19" s="524"/>
      <c r="E19" s="524"/>
      <c r="F19" s="524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35" t="str">
        <f>+VLOOKUP($A20,Master!$D$27:$G$225,4,FALSE)</f>
        <v>Doprinosi</v>
      </c>
      <c r="C20" s="536"/>
      <c r="D20" s="536"/>
      <c r="E20" s="536"/>
      <c r="F20" s="536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23" t="str">
        <f>+VLOOKUP($A21,Master!$D$27:$G$225,4,FALSE)</f>
        <v>Doprinosi za penzijsko i invalidsko osiguranje</v>
      </c>
      <c r="C21" s="524"/>
      <c r="D21" s="524"/>
      <c r="E21" s="524"/>
      <c r="F21" s="524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23" t="str">
        <f>+VLOOKUP($A22,Master!$D$27:$G$225,4,FALSE)</f>
        <v>Doprinosi za zdravstveno osiguranje</v>
      </c>
      <c r="C22" s="524"/>
      <c r="D22" s="524"/>
      <c r="E22" s="524"/>
      <c r="F22" s="524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23" t="str">
        <f>+VLOOKUP($A23,Master!$D$27:$G$225,4,FALSE)</f>
        <v>Doprinosi za osiguranje od nezaposlenosti</v>
      </c>
      <c r="C23" s="524"/>
      <c r="D23" s="524"/>
      <c r="E23" s="524"/>
      <c r="F23" s="524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23" t="str">
        <f>+VLOOKUP($A24,Master!$D$27:$G$225,4,FALSE)</f>
        <v>Ostali doprinosi</v>
      </c>
      <c r="C24" s="524"/>
      <c r="D24" s="524"/>
      <c r="E24" s="524"/>
      <c r="F24" s="524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7" t="str">
        <f>+VLOOKUP($A25,Master!$D$27:$G$225,4,FALSE)</f>
        <v>Takse</v>
      </c>
      <c r="C25" s="528"/>
      <c r="D25" s="528"/>
      <c r="E25" s="528"/>
      <c r="F25" s="528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7" t="str">
        <f>+VLOOKUP($A26,Master!$D$27:$G$225,4,FALSE)</f>
        <v>Naknade</v>
      </c>
      <c r="C26" s="528"/>
      <c r="D26" s="528"/>
      <c r="E26" s="528"/>
      <c r="F26" s="528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7" t="str">
        <f>+VLOOKUP($A27,Master!$D$27:$G$225,4,FALSE)</f>
        <v>Ostali prihodi</v>
      </c>
      <c r="C27" s="528"/>
      <c r="D27" s="528"/>
      <c r="E27" s="528"/>
      <c r="F27" s="528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7" t="str">
        <f>+VLOOKUP($A28,Master!$D$27:$G$225,4,FALSE)</f>
        <v>Primici od otplate kredita i sredstva prenesena iz prethodne godine</v>
      </c>
      <c r="C28" s="528"/>
      <c r="D28" s="528"/>
      <c r="E28" s="528"/>
      <c r="F28" s="528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9" t="str">
        <f>+VLOOKUP($A29,Master!$D$27:$G$225,4,FALSE)</f>
        <v>Donacije i transferi</v>
      </c>
      <c r="C29" s="530"/>
      <c r="D29" s="530"/>
      <c r="E29" s="530"/>
      <c r="F29" s="530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13" t="str">
        <f>+VLOOKUP($A30,Master!$D$27:$G$225,4,FALSE)</f>
        <v>Budžetski izdaci</v>
      </c>
      <c r="C30" s="514"/>
      <c r="D30" s="514"/>
      <c r="E30" s="514"/>
      <c r="F30" s="514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31" t="str">
        <f>+VLOOKUP($A31,Master!$D$27:$G$225,4,FALSE)</f>
        <v>Tekući izdaci</v>
      </c>
      <c r="C31" s="532"/>
      <c r="D31" s="532"/>
      <c r="E31" s="532"/>
      <c r="F31" s="532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33" t="str">
        <f>+VLOOKUP($A32,Master!$D$27:$G$225,4,FALSE)</f>
        <v>Tekuća budžetska potrošnja</v>
      </c>
      <c r="C32" s="534"/>
      <c r="D32" s="534"/>
      <c r="E32" s="534"/>
      <c r="F32" s="534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23" t="str">
        <f>+VLOOKUP($A33,Master!$D$27:$G$225,4,FALSE)</f>
        <v>Bruto zarade i doprinosi na teret poslodavca</v>
      </c>
      <c r="C33" s="524"/>
      <c r="D33" s="524"/>
      <c r="E33" s="524"/>
      <c r="F33" s="524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23" t="str">
        <f>+VLOOKUP($A34,Master!$D$27:$G$225,4,FALSE)</f>
        <v>Ostala lična primanja</v>
      </c>
      <c r="C34" s="524"/>
      <c r="D34" s="524"/>
      <c r="E34" s="524"/>
      <c r="F34" s="524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23" t="str">
        <f>+VLOOKUP($A35,Master!$D$27:$G$225,4,FALSE)</f>
        <v>Rashodi za materijal</v>
      </c>
      <c r="C35" s="524"/>
      <c r="D35" s="524"/>
      <c r="E35" s="524"/>
      <c r="F35" s="524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23" t="str">
        <f>+VLOOKUP($A36,Master!$D$27:$G$225,4,FALSE)</f>
        <v>Rashodi za usluge</v>
      </c>
      <c r="C36" s="524"/>
      <c r="D36" s="524"/>
      <c r="E36" s="524"/>
      <c r="F36" s="524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23" t="str">
        <f>+VLOOKUP($A37,Master!$D$27:$G$225,4,FALSE)</f>
        <v>Rashodi za tekuće održavanje</v>
      </c>
      <c r="C37" s="524"/>
      <c r="D37" s="524"/>
      <c r="E37" s="524"/>
      <c r="F37" s="524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23" t="str">
        <f>+VLOOKUP($A38,Master!$D$27:$G$225,4,FALSE)</f>
        <v>Kamate</v>
      </c>
      <c r="C38" s="524"/>
      <c r="D38" s="524"/>
      <c r="E38" s="524"/>
      <c r="F38" s="524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23" t="str">
        <f>+VLOOKUP($A39,Master!$D$27:$G$225,4,FALSE)</f>
        <v>Renta</v>
      </c>
      <c r="C39" s="524"/>
      <c r="D39" s="524"/>
      <c r="E39" s="524"/>
      <c r="F39" s="524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23" t="str">
        <f>+VLOOKUP($A40,Master!$D$27:$G$225,4,FALSE)</f>
        <v>Subvencije</v>
      </c>
      <c r="C40" s="524"/>
      <c r="D40" s="524"/>
      <c r="E40" s="524"/>
      <c r="F40" s="524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23" t="str">
        <f>+VLOOKUP($A41,Master!$D$27:$G$225,4,FALSE)</f>
        <v>Ostali izdaci</v>
      </c>
      <c r="C41" s="524"/>
      <c r="D41" s="524"/>
      <c r="E41" s="524"/>
      <c r="F41" s="524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23" t="str">
        <f>+VLOOKUP($A42,Master!$D$27:$G$225,4,FALSE)</f>
        <v>Kapitalni izdaci u tekućem budžetu</v>
      </c>
      <c r="C42" s="524"/>
      <c r="D42" s="524"/>
      <c r="E42" s="524"/>
      <c r="F42" s="524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9" t="str">
        <f>+VLOOKUP($A43,Master!$D$27:$G$225,4,FALSE)</f>
        <v>Transferi za socijalnu zaštitu</v>
      </c>
      <c r="C43" s="520"/>
      <c r="D43" s="520"/>
      <c r="E43" s="520"/>
      <c r="F43" s="520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23" t="str">
        <f>+VLOOKUP($A44,Master!$D$27:$G$225,4,FALSE)</f>
        <v>Prava iz oblasti socijalne zaštite</v>
      </c>
      <c r="C44" s="524"/>
      <c r="D44" s="524"/>
      <c r="E44" s="524"/>
      <c r="F44" s="524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23" t="str">
        <f>+VLOOKUP($A45,Master!$D$27:$G$225,4,FALSE)</f>
        <v>Sredstva za tehnološke viškove</v>
      </c>
      <c r="C45" s="524"/>
      <c r="D45" s="524"/>
      <c r="E45" s="524"/>
      <c r="F45" s="524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23" t="str">
        <f>+VLOOKUP($A46,Master!$D$27:$G$225,4,FALSE)</f>
        <v>Prava iz oblasti penzijskog i invalidskog osiguranja</v>
      </c>
      <c r="C46" s="524"/>
      <c r="D46" s="524"/>
      <c r="E46" s="524"/>
      <c r="F46" s="524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23" t="str">
        <f>+VLOOKUP($A47,Master!$D$27:$G$225,4,FALSE)</f>
        <v>Ostala prava iz oblasti zdravstvene zaštite</v>
      </c>
      <c r="C47" s="524"/>
      <c r="D47" s="524"/>
      <c r="E47" s="524"/>
      <c r="F47" s="524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23" t="str">
        <f>+VLOOKUP($A48,Master!$D$27:$G$225,4,FALSE)</f>
        <v>Ostala prava iz zdravstvenog osiguranja</v>
      </c>
      <c r="C48" s="524"/>
      <c r="D48" s="524"/>
      <c r="E48" s="524"/>
      <c r="F48" s="524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25" t="str">
        <f>+VLOOKUP($A49,Master!$D$27:$G$225,4,FALSE)</f>
        <v xml:space="preserve">Transferi institucijama, pojedincima, nevladinom i javnom sektoru </v>
      </c>
      <c r="C49" s="526"/>
      <c r="D49" s="526"/>
      <c r="E49" s="526"/>
      <c r="F49" s="526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25" t="str">
        <f>+VLOOKUP($A50,Master!$D$27:$G$225,4,FALSE)</f>
        <v>Kapitalni budžet</v>
      </c>
      <c r="C50" s="526"/>
      <c r="D50" s="526"/>
      <c r="E50" s="526"/>
      <c r="F50" s="526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7" t="str">
        <f>+VLOOKUP($A51,Master!$D$27:$G$225,4,FALSE)</f>
        <v>Pozajmice i krediti</v>
      </c>
      <c r="C51" s="508"/>
      <c r="D51" s="508"/>
      <c r="E51" s="508"/>
      <c r="F51" s="508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7" t="str">
        <f>+VLOOKUP($A52,Master!$D$27:$G$225,4,FALSE)</f>
        <v>Rezerve</v>
      </c>
      <c r="C52" s="508"/>
      <c r="D52" s="508"/>
      <c r="E52" s="508"/>
      <c r="F52" s="508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21" t="str">
        <f>+VLOOKUP($A53,Master!$D$27:$G$225,4,FALSE)</f>
        <v>Otplata garancija</v>
      </c>
      <c r="C53" s="522"/>
      <c r="D53" s="522"/>
      <c r="E53" s="522"/>
      <c r="F53" s="522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5" t="str">
        <f>+VLOOKUP($A54,Master!$D$27:$G$225,4,FALSE)</f>
        <v>Suficit / deficit</v>
      </c>
      <c r="C54" s="516"/>
      <c r="D54" s="516"/>
      <c r="E54" s="516"/>
      <c r="F54" s="516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7" t="str">
        <f>+VLOOKUP($A55,Master!$D$27:$G$225,4,FALSE)</f>
        <v>Primarni bilans</v>
      </c>
      <c r="C55" s="518"/>
      <c r="D55" s="518"/>
      <c r="E55" s="518"/>
      <c r="F55" s="518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9" t="str">
        <f>+VLOOKUP($A56,Master!$D$27:$G$225,4,FALSE)</f>
        <v>Otplata dugova</v>
      </c>
      <c r="C56" s="520"/>
      <c r="D56" s="520"/>
      <c r="E56" s="520"/>
      <c r="F56" s="520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9" t="str">
        <f>+VLOOKUP($A57,Master!$D$27:$G$225,4,FALSE)</f>
        <v>Otplata hartija od vrijednosti i kredita rezidentima</v>
      </c>
      <c r="C57" s="510"/>
      <c r="D57" s="510"/>
      <c r="E57" s="510"/>
      <c r="F57" s="510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7" t="str">
        <f>+VLOOKUP($A58,Master!$D$27:$G$225,4,FALSE)</f>
        <v>Otplata hartija od vrijednosti i kredita nerezidentima</v>
      </c>
      <c r="C58" s="508"/>
      <c r="D58" s="508"/>
      <c r="E58" s="508"/>
      <c r="F58" s="508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21" t="str">
        <f>+VLOOKUP($A59,Master!$D$27:$G$225,4,FALSE)</f>
        <v>Otplata obaveza iz prethodnih godina</v>
      </c>
      <c r="C59" s="522"/>
      <c r="D59" s="522"/>
      <c r="E59" s="522"/>
      <c r="F59" s="522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11" t="str">
        <f>+VLOOKUP($A60,Master!$D$27:$G$225,4,FALSE)</f>
        <v>Nedostajuća sredstva</v>
      </c>
      <c r="C60" s="512"/>
      <c r="D60" s="512"/>
      <c r="E60" s="512"/>
      <c r="F60" s="512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13" t="str">
        <f>+VLOOKUP($A61,Master!$D$27:$G$225,4,FALSE)</f>
        <v>Finansiranje</v>
      </c>
      <c r="C61" s="514"/>
      <c r="D61" s="514"/>
      <c r="E61" s="514"/>
      <c r="F61" s="514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9" t="str">
        <f>+VLOOKUP($A62,Master!$D$27:$G$225,4,FALSE)</f>
        <v>Pozajmice i krediti od domaćih izvora</v>
      </c>
      <c r="C62" s="510"/>
      <c r="D62" s="510"/>
      <c r="E62" s="510"/>
      <c r="F62" s="510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7" t="str">
        <f>+VLOOKUP($A63,Master!$D$27:$G$225,4,FALSE)</f>
        <v>Pozajmice i krediti od inostranih izvora</v>
      </c>
      <c r="C63" s="508"/>
      <c r="D63" s="508"/>
      <c r="E63" s="508"/>
      <c r="F63" s="508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7" t="str">
        <f>+VLOOKUP($A64,Master!$D$27:$G$225,4,FALSE)</f>
        <v>Primici od prodaje imovine</v>
      </c>
      <c r="C64" s="508"/>
      <c r="D64" s="508"/>
      <c r="E64" s="508"/>
      <c r="F64" s="508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62" t="str">
        <f>+Master!G252</f>
        <v>Plan ostvarenja budžeta</v>
      </c>
      <c r="C101" s="460"/>
      <c r="D101" s="460"/>
      <c r="E101" s="460"/>
      <c r="F101" s="460"/>
      <c r="G101" s="468">
        <v>2014</v>
      </c>
      <c r="H101" s="469"/>
      <c r="I101" s="469"/>
      <c r="J101" s="469"/>
      <c r="K101" s="469"/>
      <c r="L101" s="469"/>
      <c r="M101" s="469"/>
      <c r="N101" s="469"/>
      <c r="O101" s="469"/>
      <c r="P101" s="469"/>
      <c r="Q101" s="469"/>
      <c r="R101" s="472"/>
      <c r="S101" s="260" t="str">
        <f>+S7</f>
        <v>BDP</v>
      </c>
      <c r="T101" s="261">
        <v>3393200615</v>
      </c>
    </row>
    <row r="102" spans="1:20" ht="15.75" customHeight="1">
      <c r="A102" s="169"/>
      <c r="B102" s="461"/>
      <c r="C102" s="462"/>
      <c r="D102" s="462"/>
      <c r="E102" s="462"/>
      <c r="F102" s="463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68" t="str">
        <f>+Master!G246</f>
        <v>Jan - Dec</v>
      </c>
      <c r="T102" s="472">
        <f t="shared" si="16"/>
        <v>0</v>
      </c>
    </row>
    <row r="103" spans="1:20" ht="13.5" thickBot="1">
      <c r="A103" s="169"/>
      <c r="B103" s="464"/>
      <c r="C103" s="465"/>
      <c r="D103" s="465"/>
      <c r="E103" s="465"/>
      <c r="F103" s="466"/>
      <c r="G103" s="162" t="s">
        <v>423</v>
      </c>
      <c r="H103" s="162" t="s">
        <v>423</v>
      </c>
      <c r="I103" s="162" t="s">
        <v>423</v>
      </c>
      <c r="J103" s="162" t="s">
        <v>423</v>
      </c>
      <c r="K103" s="162" t="s">
        <v>423</v>
      </c>
      <c r="L103" s="162" t="s">
        <v>423</v>
      </c>
      <c r="M103" s="162" t="s">
        <v>423</v>
      </c>
      <c r="N103" s="162" t="s">
        <v>423</v>
      </c>
      <c r="O103" s="162" t="s">
        <v>423</v>
      </c>
      <c r="P103" s="162" t="s">
        <v>423</v>
      </c>
      <c r="Q103" s="162" t="s">
        <v>423</v>
      </c>
      <c r="R103" s="162" t="s">
        <v>423</v>
      </c>
      <c r="S103" s="262" t="s">
        <v>423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501" t="str">
        <f>+VLOOKUP(LEFT($A104,LEN(A104)-1)*1,Master!$D$27:$G$225,4,FALSE)</f>
        <v>Prihodi budžeta</v>
      </c>
      <c r="C104" s="502"/>
      <c r="D104" s="502"/>
      <c r="E104" s="502"/>
      <c r="F104" s="502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503" t="str">
        <f>+VLOOKUP(LEFT($A105,LEN(A105)-1)*1,Master!$D$27:$G$225,4,FALSE)</f>
        <v>Porezi</v>
      </c>
      <c r="C105" s="504"/>
      <c r="D105" s="504"/>
      <c r="E105" s="504"/>
      <c r="F105" s="504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9" t="str">
        <f>+VLOOKUP(LEFT($A106,LEN(A106)-1)*1,Master!$D$27:$G$225,4,FALSE)</f>
        <v>Porez na dohodak fizičkih lica</v>
      </c>
      <c r="C106" s="490"/>
      <c r="D106" s="490"/>
      <c r="E106" s="490"/>
      <c r="F106" s="490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9" t="str">
        <f>+VLOOKUP(LEFT($A107,LEN(A107)-1)*1,Master!$D$27:$G$225,4,FALSE)</f>
        <v>Porez na dobit pravnih lica</v>
      </c>
      <c r="C107" s="490"/>
      <c r="D107" s="490"/>
      <c r="E107" s="490"/>
      <c r="F107" s="490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9" t="str">
        <f>+VLOOKUP(LEFT($A108,LEN(A108)-1)*1,Master!$D$27:$G$225,4,FALSE)</f>
        <v>Porez na promet nepokretnosti</v>
      </c>
      <c r="C108" s="490"/>
      <c r="D108" s="490"/>
      <c r="E108" s="490"/>
      <c r="F108" s="490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9" t="str">
        <f>+VLOOKUP(LEFT($A109,LEN(A109)-1)*1,Master!$D$27:$G$225,4,FALSE)</f>
        <v>Porez na dodatu vrijednost</v>
      </c>
      <c r="C109" s="490"/>
      <c r="D109" s="490"/>
      <c r="E109" s="490"/>
      <c r="F109" s="490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9" t="str">
        <f>+VLOOKUP(LEFT($A110,LEN(A110)-1)*1,Master!$D$27:$G$225,4,FALSE)</f>
        <v>Akcize</v>
      </c>
      <c r="C110" s="490"/>
      <c r="D110" s="490"/>
      <c r="E110" s="490"/>
      <c r="F110" s="490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9" t="str">
        <f>+VLOOKUP(LEFT($A111,LEN(A111)-1)*1,Master!$D$27:$G$225,4,FALSE)</f>
        <v>Porez na međunarodnu trgovinu i transakcije</v>
      </c>
      <c r="C111" s="490"/>
      <c r="D111" s="490"/>
      <c r="E111" s="490"/>
      <c r="F111" s="490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9" t="e">
        <f>+VLOOKUP(LEFT($A112,LEN(A112)-1)*1,Master!$D$27:$G$225,4,FALSE)</f>
        <v>#N/A</v>
      </c>
      <c r="C112" s="490"/>
      <c r="D112" s="490"/>
      <c r="E112" s="490"/>
      <c r="F112" s="490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9" t="str">
        <f>+VLOOKUP(LEFT($A113,LEN(A113)-1)*1,Master!$D$27:$G$225,4,FALSE)</f>
        <v>Ostali državni porezi</v>
      </c>
      <c r="C113" s="490"/>
      <c r="D113" s="490"/>
      <c r="E113" s="490"/>
      <c r="F113" s="490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9" t="str">
        <f>+VLOOKUP(LEFT($A114,LEN(A114)-1)*1,Master!$D$27:$G$225,4,FALSE)</f>
        <v>Doprinosi</v>
      </c>
      <c r="C114" s="500"/>
      <c r="D114" s="500"/>
      <c r="E114" s="500"/>
      <c r="F114" s="500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9" t="str">
        <f>+VLOOKUP(LEFT($A115,LEN(A115)-1)*1,Master!$D$27:$G$225,4,FALSE)</f>
        <v>Doprinosi za penzijsko i invalidsko osiguranje</v>
      </c>
      <c r="C115" s="490"/>
      <c r="D115" s="490"/>
      <c r="E115" s="490"/>
      <c r="F115" s="490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9" t="str">
        <f>+VLOOKUP(LEFT($A116,LEN(A116)-1)*1,Master!$D$27:$G$225,4,FALSE)</f>
        <v>Doprinosi za zdravstveno osiguranje</v>
      </c>
      <c r="C116" s="490"/>
      <c r="D116" s="490"/>
      <c r="E116" s="490"/>
      <c r="F116" s="490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9" t="str">
        <f>+VLOOKUP(LEFT($A117,LEN(A117)-1)*1,Master!$D$27:$G$225,4,FALSE)</f>
        <v>Doprinosi za osiguranje od nezaposlenosti</v>
      </c>
      <c r="C117" s="490"/>
      <c r="D117" s="490"/>
      <c r="E117" s="490"/>
      <c r="F117" s="490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9" t="str">
        <f>+VLOOKUP(LEFT($A118,LEN(A118)-1)*1,Master!$D$27:$G$225,4,FALSE)</f>
        <v>Ostali doprinosi</v>
      </c>
      <c r="C118" s="490"/>
      <c r="D118" s="490"/>
      <c r="E118" s="490"/>
      <c r="F118" s="490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91" t="str">
        <f>+VLOOKUP(LEFT($A119,LEN(A119)-1)*1,Master!$D$27:$G$225,4,FALSE)</f>
        <v>Takse</v>
      </c>
      <c r="C119" s="492"/>
      <c r="D119" s="492"/>
      <c r="E119" s="492"/>
      <c r="F119" s="492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91" t="str">
        <f>+VLOOKUP(LEFT($A120,LEN(A120)-1)*1,Master!$D$27:$G$225,4,FALSE)</f>
        <v>Naknade</v>
      </c>
      <c r="C120" s="492"/>
      <c r="D120" s="492"/>
      <c r="E120" s="492"/>
      <c r="F120" s="492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91" t="str">
        <f>+VLOOKUP(LEFT($A121,LEN(A121)-1)*1,Master!$D$27:$G$225,4,FALSE)</f>
        <v>Ostali prihodi</v>
      </c>
      <c r="C121" s="492"/>
      <c r="D121" s="492"/>
      <c r="E121" s="492"/>
      <c r="F121" s="492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91" t="str">
        <f>+VLOOKUP(LEFT($A122,LEN(A122)-1)*1,Master!$D$27:$G$225,4,FALSE)</f>
        <v>Primici od otplate kredita i sredstva prenesena iz prethodne godine</v>
      </c>
      <c r="C122" s="492"/>
      <c r="D122" s="492"/>
      <c r="E122" s="492"/>
      <c r="F122" s="492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93" t="str">
        <f>+VLOOKUP(LEFT($A123,LEN(A123)-1)*1,Master!$D$27:$G$225,4,FALSE)</f>
        <v>Donacije i transferi</v>
      </c>
      <c r="C123" s="494"/>
      <c r="D123" s="494"/>
      <c r="E123" s="494"/>
      <c r="F123" s="494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9" t="str">
        <f>+VLOOKUP(LEFT($A124,LEN(A124)-1)*1,Master!$D$27:$G$225,4,FALSE)</f>
        <v>Budžetski izdaci</v>
      </c>
      <c r="C124" s="480"/>
      <c r="D124" s="480"/>
      <c r="E124" s="480"/>
      <c r="F124" s="480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5" t="str">
        <f>+VLOOKUP(LEFT($A125,LEN(A125)-1)*1,Master!$D$27:$G$225,4,FALSE)</f>
        <v>Tekući izdaci</v>
      </c>
      <c r="C125" s="496"/>
      <c r="D125" s="496"/>
      <c r="E125" s="496"/>
      <c r="F125" s="496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7" t="str">
        <f>+VLOOKUP(LEFT($A126,LEN(A126)-1)*1,Master!$D$27:$G$225,4,FALSE)</f>
        <v>Tekuća budžetska potrošnja</v>
      </c>
      <c r="C126" s="498"/>
      <c r="D126" s="498"/>
      <c r="E126" s="498"/>
      <c r="F126" s="498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9" t="str">
        <f>+VLOOKUP(LEFT($A127,LEN(A127)-1)*1,Master!$D$27:$G$225,4,FALSE)</f>
        <v>Bruto zarade i doprinosi na teret poslodavca</v>
      </c>
      <c r="C127" s="490"/>
      <c r="D127" s="490"/>
      <c r="E127" s="490"/>
      <c r="F127" s="490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9" t="str">
        <f>+VLOOKUP(LEFT($A128,LEN(A128)-1)*1,Master!$D$27:$G$225,4,FALSE)</f>
        <v>Ostala lična primanja</v>
      </c>
      <c r="C128" s="490"/>
      <c r="D128" s="490"/>
      <c r="E128" s="490"/>
      <c r="F128" s="490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9" t="str">
        <f>+VLOOKUP(LEFT($A129,LEN(A129)-1)*1,Master!$D$27:$G$225,4,FALSE)</f>
        <v>Rashodi za materijal</v>
      </c>
      <c r="C129" s="490"/>
      <c r="D129" s="490"/>
      <c r="E129" s="490"/>
      <c r="F129" s="490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9" t="str">
        <f>+VLOOKUP(LEFT($A130,LEN(A130)-1)*1,Master!$D$27:$G$225,4,FALSE)</f>
        <v>Rashodi za usluge</v>
      </c>
      <c r="C130" s="490"/>
      <c r="D130" s="490"/>
      <c r="E130" s="490"/>
      <c r="F130" s="490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9" t="str">
        <f>+VLOOKUP(LEFT($A131,LEN(A131)-1)*1,Master!$D$27:$G$225,4,FALSE)</f>
        <v>Rashodi za tekuće održavanje</v>
      </c>
      <c r="C131" s="490"/>
      <c r="D131" s="490"/>
      <c r="E131" s="490"/>
      <c r="F131" s="490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9" t="str">
        <f>+VLOOKUP(LEFT($A132,LEN(A132)-1)*1,Master!$D$27:$G$225,4,FALSE)</f>
        <v>Kamate</v>
      </c>
      <c r="C132" s="490"/>
      <c r="D132" s="490"/>
      <c r="E132" s="490"/>
      <c r="F132" s="490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9" t="str">
        <f>+VLOOKUP(LEFT($A133,LEN(A133)-1)*1,Master!$D$27:$G$225,4,FALSE)</f>
        <v>Renta</v>
      </c>
      <c r="C133" s="490"/>
      <c r="D133" s="490"/>
      <c r="E133" s="490"/>
      <c r="F133" s="490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9" t="str">
        <f>+VLOOKUP(LEFT($A134,LEN(A134)-1)*1,Master!$D$27:$G$225,4,FALSE)</f>
        <v>Subvencije</v>
      </c>
      <c r="C134" s="490"/>
      <c r="D134" s="490"/>
      <c r="E134" s="490"/>
      <c r="F134" s="490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9" t="str">
        <f>+VLOOKUP(LEFT($A135,LEN(A135)-1)*1,Master!$D$27:$G$225,4,FALSE)</f>
        <v>Ostali izdaci</v>
      </c>
      <c r="C135" s="490"/>
      <c r="D135" s="490"/>
      <c r="E135" s="490"/>
      <c r="F135" s="490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9" t="str">
        <f>+VLOOKUP(LEFT($A136,LEN(A136)-1)*1,Master!$D$27:$G$225,4,FALSE)</f>
        <v>Kapitalni izdaci u tekućem budžetu</v>
      </c>
      <c r="C136" s="490"/>
      <c r="D136" s="490"/>
      <c r="E136" s="490"/>
      <c r="F136" s="490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5" t="str">
        <f>+VLOOKUP(LEFT($A137,LEN(A137)-1)*1,Master!$D$27:$G$225,4,FALSE)</f>
        <v>Transferi za socijalnu zaštitu</v>
      </c>
      <c r="C137" s="486"/>
      <c r="D137" s="486"/>
      <c r="E137" s="486"/>
      <c r="F137" s="486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9" t="str">
        <f>+VLOOKUP(LEFT($A138,LEN(A138)-1)*1,Master!$D$27:$G$225,4,FALSE)</f>
        <v>Prava iz oblasti socijalne zaštite</v>
      </c>
      <c r="C138" s="490"/>
      <c r="D138" s="490"/>
      <c r="E138" s="490"/>
      <c r="F138" s="490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9" t="str">
        <f>+VLOOKUP(LEFT($A139,LEN(A139)-1)*1,Master!$D$27:$G$225,4,FALSE)</f>
        <v>Sredstva za tehnološke viškove</v>
      </c>
      <c r="C139" s="490"/>
      <c r="D139" s="490"/>
      <c r="E139" s="490"/>
      <c r="F139" s="490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9" t="str">
        <f>+VLOOKUP(LEFT($A140,LEN(A140)-1)*1,Master!$D$27:$G$225,4,FALSE)</f>
        <v>Prava iz oblasti penzijskog i invalidskog osiguranja</v>
      </c>
      <c r="C140" s="490"/>
      <c r="D140" s="490"/>
      <c r="E140" s="490"/>
      <c r="F140" s="490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9" t="str">
        <f>+VLOOKUP(LEFT($A141,LEN(A141)-1)*1,Master!$D$27:$G$225,4,FALSE)</f>
        <v>Ostala prava iz oblasti zdravstvene zaštite</v>
      </c>
      <c r="C141" s="490"/>
      <c r="D141" s="490"/>
      <c r="E141" s="490"/>
      <c r="F141" s="490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9" t="str">
        <f>+VLOOKUP(LEFT($A142,LEN(A142)-1)*1,Master!$D$27:$G$225,4,FALSE)</f>
        <v>Ostala prava iz zdravstvenog osiguranja</v>
      </c>
      <c r="C142" s="490"/>
      <c r="D142" s="490"/>
      <c r="E142" s="490"/>
      <c r="F142" s="490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7" t="str">
        <f>+VLOOKUP(LEFT($A143,LEN(A143)-1)*1,Master!$D$27:$G$225,4,FALSE)</f>
        <v xml:space="preserve">Transferi institucijama, pojedincima, nevladinom i javnom sektoru </v>
      </c>
      <c r="C143" s="488"/>
      <c r="D143" s="488"/>
      <c r="E143" s="488"/>
      <c r="F143" s="488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7" t="str">
        <f>+VLOOKUP(LEFT($A144,LEN(A144)-1)*1,Master!$D$27:$G$225,4,FALSE)</f>
        <v>Kapitalni budžet</v>
      </c>
      <c r="C144" s="488"/>
      <c r="D144" s="488"/>
      <c r="E144" s="488"/>
      <c r="F144" s="488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7" t="str">
        <f>+VLOOKUP(LEFT($A145,LEN(A145)-1)*1,Master!$D$27:$G$225,4,FALSE)</f>
        <v>Pozajmice i krediti</v>
      </c>
      <c r="C145" s="458"/>
      <c r="D145" s="458"/>
      <c r="E145" s="458"/>
      <c r="F145" s="458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7" t="str">
        <f>+VLOOKUP(LEFT($A146,LEN(A146)-1)*1,Master!$D$27:$G$225,4,FALSE)</f>
        <v>Rezerve</v>
      </c>
      <c r="C146" s="458"/>
      <c r="D146" s="458"/>
      <c r="E146" s="458"/>
      <c r="F146" s="458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5" t="str">
        <f>+VLOOKUP(LEFT($A147,LEN(A147)-1)*1,Master!$D$27:$G$225,4,FALSE)</f>
        <v>Otplata garancija</v>
      </c>
      <c r="C147" s="476"/>
      <c r="D147" s="476"/>
      <c r="E147" s="476"/>
      <c r="F147" s="476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81" t="str">
        <f>+VLOOKUP(LEFT($A148,LEN(A148)-1)*1,Master!$D$27:$G$225,4,FALSE)</f>
        <v>Suficit / deficit</v>
      </c>
      <c r="C148" s="482"/>
      <c r="D148" s="482"/>
      <c r="E148" s="482"/>
      <c r="F148" s="482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83" t="str">
        <f>+VLOOKUP(LEFT($A149,LEN(A149)-1)*1,Master!$D$27:$G$225,4,FALSE)</f>
        <v>Primarni bilans</v>
      </c>
      <c r="C149" s="484"/>
      <c r="D149" s="484"/>
      <c r="E149" s="484"/>
      <c r="F149" s="484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5" t="str">
        <f>+VLOOKUP(LEFT($A150,LEN(A150)-1)*1,Master!$D$27:$G$225,4,FALSE)</f>
        <v>Otplata dugova</v>
      </c>
      <c r="C150" s="486"/>
      <c r="D150" s="486"/>
      <c r="E150" s="486"/>
      <c r="F150" s="486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73" t="str">
        <f>+VLOOKUP(LEFT($A151,LEN(A151)-1)*1,Master!$D$27:$G$225,4,FALSE)</f>
        <v>Otplata hartija od vrijednosti i kredita rezidentima</v>
      </c>
      <c r="C151" s="474"/>
      <c r="D151" s="474"/>
      <c r="E151" s="474"/>
      <c r="F151" s="474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7" t="str">
        <f>+VLOOKUP(LEFT($A152,LEN(A152)-1)*1,Master!$D$27:$G$225,4,FALSE)</f>
        <v>Otplata hartija od vrijednosti i kredita nerezidentima</v>
      </c>
      <c r="C152" s="458"/>
      <c r="D152" s="458"/>
      <c r="E152" s="458"/>
      <c r="F152" s="458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5" t="str">
        <f>+VLOOKUP(LEFT($A153,LEN(A153)-1)*1,Master!$D$27:$G$225,4,FALSE)</f>
        <v>Otplata obaveza iz prethodnih godina</v>
      </c>
      <c r="C153" s="476"/>
      <c r="D153" s="476"/>
      <c r="E153" s="476"/>
      <c r="F153" s="476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7" t="str">
        <f>+VLOOKUP(LEFT($A154,LEN(A154)-1)*1,Master!$D$27:$G$225,4,FALSE)</f>
        <v>Nedostajuća sredstva</v>
      </c>
      <c r="C154" s="478"/>
      <c r="D154" s="478"/>
      <c r="E154" s="478"/>
      <c r="F154" s="478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9" t="str">
        <f>+VLOOKUP(LEFT($A155,LEN(A155)-1)*1,Master!$D$27:$G$225,4,FALSE)</f>
        <v>Finansiranje</v>
      </c>
      <c r="C155" s="480"/>
      <c r="D155" s="480"/>
      <c r="E155" s="480"/>
      <c r="F155" s="480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73" t="str">
        <f>+VLOOKUP(LEFT($A156,LEN(A156)-1)*1,Master!$D$27:$G$225,4,FALSE)</f>
        <v>Pozajmice i krediti od domaćih izvora</v>
      </c>
      <c r="C156" s="474"/>
      <c r="D156" s="474"/>
      <c r="E156" s="474"/>
      <c r="F156" s="474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7" t="str">
        <f>+VLOOKUP(LEFT($A157,LEN(A157)-1)*1,Master!$D$27:$G$225,4,FALSE)</f>
        <v>Pozajmice i krediti od inostranih izvora</v>
      </c>
      <c r="C157" s="458"/>
      <c r="D157" s="458"/>
      <c r="E157" s="458"/>
      <c r="F157" s="458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7" t="str">
        <f>+VLOOKUP(LEFT($A158,LEN(A158)-1)*1,Master!$D$27:$G$225,4,FALSE)</f>
        <v>Primici od prodaje imovine</v>
      </c>
      <c r="C158" s="458"/>
      <c r="D158" s="458"/>
      <c r="E158" s="458"/>
      <c r="F158" s="458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L160" sqref="FL160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1.140625" style="41" customWidth="1"/>
    <col min="164" max="164" width="13.85546875" style="41" customWidth="1"/>
    <col min="165" max="165" width="12.7109375" style="41" customWidth="1"/>
    <col min="166" max="166" width="13.85546875" style="41" customWidth="1"/>
    <col min="167" max="168" width="12.7109375" style="41" customWidth="1"/>
    <col min="169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8" t="s">
        <v>564</v>
      </c>
      <c r="F6" s="565">
        <v>2006</v>
      </c>
      <c r="G6" s="566"/>
      <c r="H6" s="566"/>
      <c r="I6" s="566"/>
      <c r="J6" s="566"/>
      <c r="K6" s="566"/>
      <c r="L6" s="566"/>
      <c r="M6" s="566"/>
      <c r="N6" s="566"/>
      <c r="O6" s="566"/>
      <c r="P6" s="566"/>
      <c r="Q6" s="567"/>
      <c r="R6" s="565">
        <v>2007</v>
      </c>
      <c r="S6" s="566"/>
      <c r="T6" s="566"/>
      <c r="U6" s="566"/>
      <c r="V6" s="566"/>
      <c r="W6" s="566"/>
      <c r="X6" s="566"/>
      <c r="Y6" s="566"/>
      <c r="Z6" s="566"/>
      <c r="AA6" s="566"/>
      <c r="AB6" s="566"/>
      <c r="AC6" s="567"/>
      <c r="AD6" s="565">
        <v>2008</v>
      </c>
      <c r="AE6" s="566"/>
      <c r="AF6" s="566"/>
      <c r="AG6" s="566"/>
      <c r="AH6" s="566"/>
      <c r="AI6" s="566"/>
      <c r="AJ6" s="566"/>
      <c r="AK6" s="566"/>
      <c r="AL6" s="566"/>
      <c r="AM6" s="566"/>
      <c r="AN6" s="566"/>
      <c r="AO6" s="567"/>
      <c r="AP6" s="565">
        <v>2009</v>
      </c>
      <c r="AQ6" s="566"/>
      <c r="AR6" s="566"/>
      <c r="AS6" s="566"/>
      <c r="AT6" s="566"/>
      <c r="AU6" s="566"/>
      <c r="AV6" s="566"/>
      <c r="AW6" s="566"/>
      <c r="AX6" s="566"/>
      <c r="AY6" s="566"/>
      <c r="AZ6" s="566"/>
      <c r="BA6" s="567"/>
      <c r="BB6" s="565">
        <v>2010</v>
      </c>
      <c r="BC6" s="566"/>
      <c r="BD6" s="566"/>
      <c r="BE6" s="566"/>
      <c r="BF6" s="566"/>
      <c r="BG6" s="566"/>
      <c r="BH6" s="566"/>
      <c r="BI6" s="566"/>
      <c r="BJ6" s="566"/>
      <c r="BK6" s="566"/>
      <c r="BL6" s="566"/>
      <c r="BM6" s="567"/>
      <c r="BN6" s="565">
        <v>2011</v>
      </c>
      <c r="BO6" s="566"/>
      <c r="BP6" s="566"/>
      <c r="BQ6" s="566"/>
      <c r="BR6" s="566"/>
      <c r="BS6" s="566"/>
      <c r="BT6" s="566"/>
      <c r="BU6" s="566"/>
      <c r="BV6" s="566"/>
      <c r="BW6" s="566"/>
      <c r="BX6" s="566"/>
      <c r="BY6" s="567"/>
      <c r="BZ6" s="566">
        <v>2012</v>
      </c>
      <c r="CA6" s="566"/>
      <c r="CB6" s="566"/>
      <c r="CC6" s="566"/>
      <c r="CD6" s="566"/>
      <c r="CE6" s="566"/>
      <c r="CF6" s="566"/>
      <c r="CG6" s="566"/>
      <c r="CH6" s="566"/>
      <c r="CI6" s="566"/>
      <c r="CJ6" s="566"/>
      <c r="CK6" s="566"/>
      <c r="CL6" s="565">
        <v>2013</v>
      </c>
      <c r="CM6" s="566"/>
      <c r="CN6" s="566"/>
      <c r="CO6" s="566"/>
      <c r="CP6" s="566"/>
      <c r="CQ6" s="566"/>
      <c r="CR6" s="566"/>
      <c r="CS6" s="566"/>
      <c r="CT6" s="566"/>
      <c r="CU6" s="566"/>
      <c r="CV6" s="566"/>
      <c r="CW6" s="567"/>
      <c r="CX6" s="565">
        <v>2014</v>
      </c>
      <c r="CY6" s="566"/>
      <c r="CZ6" s="566"/>
      <c r="DA6" s="566"/>
      <c r="DB6" s="566"/>
      <c r="DC6" s="566"/>
      <c r="DD6" s="566"/>
      <c r="DE6" s="566"/>
      <c r="DF6" s="566"/>
      <c r="DG6" s="566"/>
      <c r="DH6" s="566"/>
      <c r="DI6" s="567"/>
      <c r="DJ6" s="565">
        <v>2015</v>
      </c>
      <c r="DK6" s="566"/>
      <c r="DL6" s="566"/>
      <c r="DM6" s="566"/>
      <c r="DN6" s="566"/>
      <c r="DO6" s="566"/>
      <c r="DP6" s="566"/>
      <c r="DQ6" s="566"/>
      <c r="DR6" s="566"/>
      <c r="DS6" s="566"/>
      <c r="DT6" s="566"/>
      <c r="DU6" s="567"/>
    </row>
    <row r="7" spans="1:321">
      <c r="E7" s="568"/>
      <c r="F7" s="75" t="s">
        <v>429</v>
      </c>
      <c r="G7" s="76" t="s">
        <v>430</v>
      </c>
      <c r="H7" s="76" t="s">
        <v>431</v>
      </c>
      <c r="I7" s="76" t="s">
        <v>432</v>
      </c>
      <c r="J7" s="76" t="s">
        <v>433</v>
      </c>
      <c r="K7" s="76" t="s">
        <v>434</v>
      </c>
      <c r="L7" s="76" t="s">
        <v>435</v>
      </c>
      <c r="M7" s="76" t="s">
        <v>436</v>
      </c>
      <c r="N7" s="76" t="s">
        <v>437</v>
      </c>
      <c r="O7" s="76" t="s">
        <v>438</v>
      </c>
      <c r="P7" s="76" t="s">
        <v>439</v>
      </c>
      <c r="Q7" s="77" t="s">
        <v>440</v>
      </c>
      <c r="R7" s="75" t="s">
        <v>441</v>
      </c>
      <c r="S7" s="76" t="s">
        <v>442</v>
      </c>
      <c r="T7" s="76" t="s">
        <v>443</v>
      </c>
      <c r="U7" s="76" t="s">
        <v>444</v>
      </c>
      <c r="V7" s="76" t="s">
        <v>445</v>
      </c>
      <c r="W7" s="76" t="s">
        <v>446</v>
      </c>
      <c r="X7" s="76" t="s">
        <v>447</v>
      </c>
      <c r="Y7" s="76" t="s">
        <v>448</v>
      </c>
      <c r="Z7" s="76" t="s">
        <v>449</v>
      </c>
      <c r="AA7" s="76" t="s">
        <v>450</v>
      </c>
      <c r="AB7" s="76" t="s">
        <v>451</v>
      </c>
      <c r="AC7" s="77" t="s">
        <v>452</v>
      </c>
      <c r="AD7" s="75" t="s">
        <v>454</v>
      </c>
      <c r="AE7" s="76" t="s">
        <v>455</v>
      </c>
      <c r="AF7" s="76" t="s">
        <v>456</v>
      </c>
      <c r="AG7" s="76" t="s">
        <v>457</v>
      </c>
      <c r="AH7" s="76" t="s">
        <v>458</v>
      </c>
      <c r="AI7" s="76" t="s">
        <v>459</v>
      </c>
      <c r="AJ7" s="76" t="s">
        <v>460</v>
      </c>
      <c r="AK7" s="76" t="s">
        <v>461</v>
      </c>
      <c r="AL7" s="76" t="s">
        <v>462</v>
      </c>
      <c r="AM7" s="76" t="s">
        <v>463</v>
      </c>
      <c r="AN7" s="76" t="s">
        <v>464</v>
      </c>
      <c r="AO7" s="77" t="s">
        <v>453</v>
      </c>
      <c r="AP7" s="75" t="s">
        <v>465</v>
      </c>
      <c r="AQ7" s="76" t="s">
        <v>466</v>
      </c>
      <c r="AR7" s="76" t="s">
        <v>467</v>
      </c>
      <c r="AS7" s="76" t="s">
        <v>468</v>
      </c>
      <c r="AT7" s="76" t="s">
        <v>469</v>
      </c>
      <c r="AU7" s="76" t="s">
        <v>470</v>
      </c>
      <c r="AV7" s="76" t="s">
        <v>471</v>
      </c>
      <c r="AW7" s="76" t="s">
        <v>472</v>
      </c>
      <c r="AX7" s="76" t="s">
        <v>473</v>
      </c>
      <c r="AY7" s="76" t="s">
        <v>474</v>
      </c>
      <c r="AZ7" s="76" t="s">
        <v>475</v>
      </c>
      <c r="BA7" s="77" t="s">
        <v>476</v>
      </c>
      <c r="BB7" s="75" t="s">
        <v>477</v>
      </c>
      <c r="BC7" s="76" t="s">
        <v>478</v>
      </c>
      <c r="BD7" s="76" t="s">
        <v>479</v>
      </c>
      <c r="BE7" s="76" t="s">
        <v>480</v>
      </c>
      <c r="BF7" s="76" t="s">
        <v>481</v>
      </c>
      <c r="BG7" s="76" t="s">
        <v>482</v>
      </c>
      <c r="BH7" s="76" t="s">
        <v>483</v>
      </c>
      <c r="BI7" s="76" t="s">
        <v>484</v>
      </c>
      <c r="BJ7" s="76" t="s">
        <v>485</v>
      </c>
      <c r="BK7" s="76" t="s">
        <v>486</v>
      </c>
      <c r="BL7" s="76" t="s">
        <v>487</v>
      </c>
      <c r="BM7" s="77" t="s">
        <v>488</v>
      </c>
      <c r="BN7" s="75" t="s">
        <v>489</v>
      </c>
      <c r="BO7" s="76" t="s">
        <v>490</v>
      </c>
      <c r="BP7" s="76" t="s">
        <v>491</v>
      </c>
      <c r="BQ7" s="76" t="s">
        <v>492</v>
      </c>
      <c r="BR7" s="76" t="s">
        <v>493</v>
      </c>
      <c r="BS7" s="76" t="s">
        <v>494</v>
      </c>
      <c r="BT7" s="76" t="s">
        <v>495</v>
      </c>
      <c r="BU7" s="76" t="s">
        <v>496</v>
      </c>
      <c r="BV7" s="76" t="s">
        <v>497</v>
      </c>
      <c r="BW7" s="76" t="s">
        <v>498</v>
      </c>
      <c r="BX7" s="76" t="s">
        <v>499</v>
      </c>
      <c r="BY7" s="77" t="s">
        <v>500</v>
      </c>
      <c r="BZ7" s="76" t="s">
        <v>501</v>
      </c>
      <c r="CA7" s="76" t="s">
        <v>502</v>
      </c>
      <c r="CB7" s="76" t="s">
        <v>503</v>
      </c>
      <c r="CC7" s="76" t="s">
        <v>504</v>
      </c>
      <c r="CD7" s="76" t="s">
        <v>505</v>
      </c>
      <c r="CE7" s="76" t="s">
        <v>506</v>
      </c>
      <c r="CF7" s="76" t="s">
        <v>507</v>
      </c>
      <c r="CG7" s="76" t="s">
        <v>508</v>
      </c>
      <c r="CH7" s="76" t="s">
        <v>509</v>
      </c>
      <c r="CI7" s="76" t="s">
        <v>510</v>
      </c>
      <c r="CJ7" s="76" t="s">
        <v>511</v>
      </c>
      <c r="CK7" s="76" t="s">
        <v>512</v>
      </c>
      <c r="CL7" s="75" t="s">
        <v>513</v>
      </c>
      <c r="CM7" s="76" t="s">
        <v>514</v>
      </c>
      <c r="CN7" s="76" t="s">
        <v>515</v>
      </c>
      <c r="CO7" s="76" t="s">
        <v>516</v>
      </c>
      <c r="CP7" s="76" t="s">
        <v>517</v>
      </c>
      <c r="CQ7" s="76" t="s">
        <v>518</v>
      </c>
      <c r="CR7" s="76" t="s">
        <v>519</v>
      </c>
      <c r="CS7" s="76" t="s">
        <v>520</v>
      </c>
      <c r="CT7" s="76" t="s">
        <v>521</v>
      </c>
      <c r="CU7" s="76" t="s">
        <v>522</v>
      </c>
      <c r="CV7" s="76" t="s">
        <v>523</v>
      </c>
      <c r="CW7" s="77" t="s">
        <v>524</v>
      </c>
      <c r="CX7" s="75" t="s">
        <v>525</v>
      </c>
      <c r="CY7" s="76" t="s">
        <v>526</v>
      </c>
      <c r="CZ7" s="76" t="s">
        <v>527</v>
      </c>
      <c r="DA7" s="76" t="s">
        <v>528</v>
      </c>
      <c r="DB7" s="76" t="s">
        <v>529</v>
      </c>
      <c r="DC7" s="76" t="s">
        <v>530</v>
      </c>
      <c r="DD7" s="76" t="s">
        <v>531</v>
      </c>
      <c r="DE7" s="76" t="s">
        <v>532</v>
      </c>
      <c r="DF7" s="76" t="s">
        <v>533</v>
      </c>
      <c r="DG7" s="76" t="s">
        <v>534</v>
      </c>
      <c r="DH7" s="76" t="s">
        <v>535</v>
      </c>
      <c r="DI7" s="77" t="s">
        <v>536</v>
      </c>
      <c r="DJ7" s="75" t="s">
        <v>537</v>
      </c>
      <c r="DK7" s="76" t="s">
        <v>538</v>
      </c>
      <c r="DL7" s="76" t="s">
        <v>539</v>
      </c>
      <c r="DM7" s="76" t="s">
        <v>540</v>
      </c>
      <c r="DN7" s="76" t="s">
        <v>541</v>
      </c>
      <c r="DO7" s="76" t="s">
        <v>542</v>
      </c>
      <c r="DP7" s="76" t="s">
        <v>543</v>
      </c>
      <c r="DQ7" s="76" t="s">
        <v>544</v>
      </c>
      <c r="DR7" s="76" t="s">
        <v>545</v>
      </c>
      <c r="DS7" s="76" t="s">
        <v>546</v>
      </c>
      <c r="DT7" s="76" t="s">
        <v>547</v>
      </c>
      <c r="DU7" s="77" t="s">
        <v>548</v>
      </c>
      <c r="DV7" s="42" t="s">
        <v>703</v>
      </c>
      <c r="DW7" s="42" t="s">
        <v>704</v>
      </c>
      <c r="DX7" s="42" t="s">
        <v>705</v>
      </c>
      <c r="DY7" s="42" t="s">
        <v>706</v>
      </c>
      <c r="DZ7" s="42" t="s">
        <v>707</v>
      </c>
      <c r="EA7" s="42" t="s">
        <v>708</v>
      </c>
      <c r="EB7" s="42" t="s">
        <v>709</v>
      </c>
      <c r="EC7" s="42" t="s">
        <v>710</v>
      </c>
      <c r="ED7" s="42" t="s">
        <v>711</v>
      </c>
      <c r="EE7" s="42" t="s">
        <v>712</v>
      </c>
      <c r="EF7" s="42" t="s">
        <v>713</v>
      </c>
      <c r="EG7" s="42" t="s">
        <v>714</v>
      </c>
      <c r="EH7" s="42" t="s">
        <v>737</v>
      </c>
      <c r="EI7" s="42" t="s">
        <v>738</v>
      </c>
      <c r="EJ7" s="42" t="s">
        <v>739</v>
      </c>
      <c r="EK7" s="42" t="s">
        <v>740</v>
      </c>
      <c r="EL7" s="42" t="s">
        <v>741</v>
      </c>
      <c r="EM7" s="42" t="s">
        <v>742</v>
      </c>
      <c r="EN7" s="42" t="s">
        <v>743</v>
      </c>
      <c r="EO7" s="42" t="s">
        <v>744</v>
      </c>
      <c r="EP7" s="42" t="s">
        <v>745</v>
      </c>
      <c r="EQ7" s="42" t="s">
        <v>746</v>
      </c>
      <c r="ER7" s="42" t="s">
        <v>747</v>
      </c>
      <c r="ES7" s="42" t="s">
        <v>748</v>
      </c>
      <c r="ET7" s="393" t="s">
        <v>755</v>
      </c>
      <c r="EU7" s="393" t="s">
        <v>756</v>
      </c>
      <c r="EV7" s="393" t="s">
        <v>757</v>
      </c>
      <c r="EW7" s="393" t="s">
        <v>758</v>
      </c>
      <c r="EX7" s="393" t="s">
        <v>759</v>
      </c>
      <c r="EY7" s="393" t="s">
        <v>760</v>
      </c>
      <c r="EZ7" s="393" t="s">
        <v>761</v>
      </c>
      <c r="FA7" s="393" t="s">
        <v>762</v>
      </c>
      <c r="FB7" s="393" t="s">
        <v>763</v>
      </c>
      <c r="FC7" s="393" t="s">
        <v>764</v>
      </c>
      <c r="FD7" s="393" t="s">
        <v>765</v>
      </c>
      <c r="FE7" s="393" t="s">
        <v>766</v>
      </c>
      <c r="FF7" s="393" t="s">
        <v>778</v>
      </c>
      <c r="FG7" s="393" t="s">
        <v>779</v>
      </c>
      <c r="FH7" s="393" t="s">
        <v>780</v>
      </c>
      <c r="FI7" s="393" t="s">
        <v>781</v>
      </c>
      <c r="FJ7" s="393" t="s">
        <v>782</v>
      </c>
      <c r="FK7" s="393" t="s">
        <v>783</v>
      </c>
      <c r="FL7" s="393" t="s">
        <v>784</v>
      </c>
      <c r="FM7" s="393" t="s">
        <v>785</v>
      </c>
      <c r="FN7" s="393" t="s">
        <v>786</v>
      </c>
      <c r="FO7" s="393" t="s">
        <v>787</v>
      </c>
      <c r="FP7" s="393" t="s">
        <v>788</v>
      </c>
      <c r="FQ7" s="393" t="s">
        <v>789</v>
      </c>
    </row>
    <row r="8" spans="1:321">
      <c r="A8" s="74">
        <v>7</v>
      </c>
      <c r="B8" s="74" t="s">
        <v>94</v>
      </c>
      <c r="D8" s="74">
        <v>7</v>
      </c>
      <c r="E8" s="78" t="s">
        <v>19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21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23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378">
        <v>98709545.510000005</v>
      </c>
      <c r="FI10" s="378">
        <v>106791818.52</v>
      </c>
      <c r="FJ10" s="378">
        <v>94372185.030000001</v>
      </c>
      <c r="FK10" s="378">
        <v>89389439.689999998</v>
      </c>
      <c r="FL10" s="452">
        <v>115363471.45</v>
      </c>
      <c r="FM10" s="378">
        <v>118817091.44</v>
      </c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25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>
        <v>10210712.41</v>
      </c>
      <c r="FK11" s="376">
        <v>10125793.029999999</v>
      </c>
      <c r="FL11" s="451">
        <v>10986746.67</v>
      </c>
      <c r="FM11" s="376">
        <v>10477204.85</v>
      </c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27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>
        <v>4781744.7</v>
      </c>
      <c r="FK12" s="376">
        <v>3678815</v>
      </c>
      <c r="FL12" s="451">
        <v>3890710.55</v>
      </c>
      <c r="FM12" s="376">
        <v>3092994.24</v>
      </c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29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>
        <v>147510.5</v>
      </c>
      <c r="FK13" s="376">
        <v>158253.64000000001</v>
      </c>
      <c r="FL13" s="451">
        <v>152687.82</v>
      </c>
      <c r="FM13" s="376">
        <v>172408.19</v>
      </c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31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>
        <v>56428341.859999999</v>
      </c>
      <c r="FK14" s="376">
        <v>52810087.229999997</v>
      </c>
      <c r="FL14" s="451">
        <v>71626480.939999998</v>
      </c>
      <c r="FM14" s="376">
        <v>71690318.180000007</v>
      </c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33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>
        <v>19442485.359999999</v>
      </c>
      <c r="FK15" s="376">
        <v>19205497.870000001</v>
      </c>
      <c r="FL15" s="451">
        <v>24612824.059999999</v>
      </c>
      <c r="FM15" s="376">
        <v>29562766.32</v>
      </c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35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>
        <v>2502520.2799999998</v>
      </c>
      <c r="FK16" s="376">
        <v>2485583.9700000002</v>
      </c>
      <c r="FL16" s="451">
        <v>3088089.4</v>
      </c>
      <c r="FM16" s="376">
        <v>2788700.72</v>
      </c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37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>
        <v>858869.92</v>
      </c>
      <c r="FK17" s="376">
        <v>925408.95</v>
      </c>
      <c r="FL17" s="451">
        <v>1005932.01</v>
      </c>
      <c r="FM17" s="376">
        <v>1032698.94</v>
      </c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39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41912269.38000001</v>
      </c>
      <c r="FH18" s="378">
        <v>41047599.18</v>
      </c>
      <c r="FI18" s="378">
        <v>50290988.940000005</v>
      </c>
      <c r="FJ18" s="378">
        <v>37496285.130000003</v>
      </c>
      <c r="FK18" s="378">
        <v>45280786.510000005</v>
      </c>
      <c r="FL18" s="452">
        <v>48662139.43999999</v>
      </c>
      <c r="FM18" s="378">
        <v>45770745.839999996</v>
      </c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41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>
        <v>22104934.850000001</v>
      </c>
      <c r="FK19" s="376">
        <v>27009559.609999999</v>
      </c>
      <c r="FL19" s="451">
        <v>28964205.43</v>
      </c>
      <c r="FM19" s="376">
        <v>27519220.43</v>
      </c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43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>
        <v>13458982.5</v>
      </c>
      <c r="FK20" s="376">
        <v>15925774.34</v>
      </c>
      <c r="FL20" s="451">
        <v>17203285.449999999</v>
      </c>
      <c r="FM20" s="376">
        <v>15860674.26</v>
      </c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45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>
        <v>1026106.03</v>
      </c>
      <c r="FK21" s="376">
        <v>1222753.49</v>
      </c>
      <c r="FL21" s="451">
        <v>1316999.83</v>
      </c>
      <c r="FM21" s="376">
        <v>1256512.28</v>
      </c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47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>
        <v>906261.75</v>
      </c>
      <c r="FK22" s="376">
        <v>1122699.07</v>
      </c>
      <c r="FL22" s="451">
        <v>1177648.73</v>
      </c>
      <c r="FM22" s="376">
        <v>1134338.8700000001</v>
      </c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49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>
        <v>851162.27</v>
      </c>
      <c r="FG23" s="378">
        <v>1041125.3899999999</v>
      </c>
      <c r="FH23" s="378">
        <v>1066481.8799999999</v>
      </c>
      <c r="FI23" s="378">
        <v>1290371.49</v>
      </c>
      <c r="FJ23" s="378">
        <v>1208813.17</v>
      </c>
      <c r="FK23" s="378">
        <v>1252534.6599999999</v>
      </c>
      <c r="FL23" s="452">
        <v>1880947.5899999999</v>
      </c>
      <c r="FM23" s="378">
        <v>1630940.38</v>
      </c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51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>
        <v>855493.95</v>
      </c>
      <c r="FK24" s="376">
        <v>789796.19</v>
      </c>
      <c r="FL24" s="451">
        <v>1036831.79</v>
      </c>
      <c r="FM24" s="376">
        <v>732732.78</v>
      </c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53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>
        <v>89857.44</v>
      </c>
      <c r="FK25" s="376">
        <v>90814.91</v>
      </c>
      <c r="FL25" s="451">
        <v>102054.51</v>
      </c>
      <c r="FM25" s="376">
        <v>79880.09</v>
      </c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55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>
        <v>91165.22</v>
      </c>
      <c r="FK26" s="376">
        <v>178796.84</v>
      </c>
      <c r="FL26" s="451">
        <v>429493.67</v>
      </c>
      <c r="FM26" s="376">
        <v>521117.38</v>
      </c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>
        <v>172296.56</v>
      </c>
      <c r="FK27" s="376">
        <v>193126.72</v>
      </c>
      <c r="FL27" s="451">
        <v>312567.62</v>
      </c>
      <c r="FM27" s="376">
        <v>297210.13</v>
      </c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63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>
        <v>1792591.2</v>
      </c>
      <c r="FK28" s="378">
        <v>2081141.31</v>
      </c>
      <c r="FL28" s="452">
        <v>2697450.35</v>
      </c>
      <c r="FM28" s="378">
        <v>1985377.1099999999</v>
      </c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>
        <v>88788.45</v>
      </c>
      <c r="FK29" s="376">
        <v>110473.68</v>
      </c>
      <c r="FL29" s="451">
        <v>103362.04</v>
      </c>
      <c r="FM29" s="376">
        <v>105693.82</v>
      </c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>
        <v>290980.86</v>
      </c>
      <c r="FK30" s="376">
        <v>135939.44</v>
      </c>
      <c r="FL30" s="451">
        <v>445502.71999999997</v>
      </c>
      <c r="FM30" s="376">
        <v>356375.46</v>
      </c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69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>
        <v>48239.28</v>
      </c>
      <c r="FK31" s="376">
        <v>41465.49</v>
      </c>
      <c r="FL31" s="451">
        <v>41127.160000000003</v>
      </c>
      <c r="FM31" s="376">
        <v>9621.83</v>
      </c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767</v>
      </c>
      <c r="EN32" s="376" t="s">
        <v>768</v>
      </c>
      <c r="EO32" s="376">
        <v>608693.02</v>
      </c>
      <c r="EP32" s="376" t="s">
        <v>769</v>
      </c>
      <c r="EQ32" s="376">
        <v>179273.43</v>
      </c>
      <c r="ER32" s="376" t="s">
        <v>770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>
        <v>687337.58</v>
      </c>
      <c r="FK32" s="376">
        <v>695892.2</v>
      </c>
      <c r="FL32" s="451">
        <v>651540.54</v>
      </c>
      <c r="FM32" s="376">
        <v>767953.92000000004</v>
      </c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79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>
        <v>300826.94</v>
      </c>
      <c r="FK33" s="376">
        <v>367688.93</v>
      </c>
      <c r="FL33" s="451">
        <v>484007.96</v>
      </c>
      <c r="FM33" s="376">
        <v>406400.37</v>
      </c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81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>
        <v>376418.09</v>
      </c>
      <c r="FK34" s="376">
        <v>729681.57</v>
      </c>
      <c r="FL34" s="451">
        <v>971909.93</v>
      </c>
      <c r="FM34" s="376">
        <v>339331.71</v>
      </c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83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4014664.14</v>
      </c>
      <c r="FF35" s="378">
        <v>1567147.41</v>
      </c>
      <c r="FG35" s="378">
        <v>2199531.1</v>
      </c>
      <c r="FH35" s="378">
        <v>3193816.55</v>
      </c>
      <c r="FI35" s="378">
        <v>2385570.52</v>
      </c>
      <c r="FJ35" s="378">
        <v>7159071.0099999998</v>
      </c>
      <c r="FK35" s="378">
        <v>3262994.81</v>
      </c>
      <c r="FL35" s="452">
        <v>3734626.12</v>
      </c>
      <c r="FM35" s="378">
        <v>2985463.57</v>
      </c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318933.37</v>
      </c>
      <c r="FG36" s="376">
        <v>248883.21</v>
      </c>
      <c r="FH36" s="376">
        <v>186635.82</v>
      </c>
      <c r="FI36" s="376">
        <v>63899.67</v>
      </c>
      <c r="FJ36" s="376">
        <v>3605088.43</v>
      </c>
      <c r="FK36" s="376">
        <v>707894.38</v>
      </c>
      <c r="FL36" s="451">
        <v>165216.39000000001</v>
      </c>
      <c r="FM36" s="376">
        <v>38122.49</v>
      </c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87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>
        <v>1673986.28</v>
      </c>
      <c r="FK37" s="376">
        <v>1387978.01</v>
      </c>
      <c r="FL37" s="451">
        <v>2403586.64</v>
      </c>
      <c r="FM37" s="376">
        <v>2009408.55</v>
      </c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89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>
        <v>261152.7</v>
      </c>
      <c r="FJ38" s="376">
        <v>230706.4</v>
      </c>
      <c r="FK38" s="376">
        <v>289255.07</v>
      </c>
      <c r="FL38" s="451">
        <v>304530.33</v>
      </c>
      <c r="FM38" s="376">
        <v>221644.03</v>
      </c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474394.59</v>
      </c>
      <c r="FG39" s="376">
        <v>759602.89</v>
      </c>
      <c r="FH39" s="376">
        <v>1649538.05</v>
      </c>
      <c r="FI39" s="376">
        <v>1042118.97</v>
      </c>
      <c r="FJ39" s="376">
        <v>1649289.9</v>
      </c>
      <c r="FK39" s="376">
        <v>877867.35</v>
      </c>
      <c r="FL39" s="451">
        <v>861292.76</v>
      </c>
      <c r="FM39" s="376">
        <v>716288.5</v>
      </c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94</v>
      </c>
      <c r="D40" s="139">
        <v>72</v>
      </c>
      <c r="E40" s="140" t="s">
        <v>95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>
        <v>223780.48000000001</v>
      </c>
      <c r="FK40" s="378">
        <v>722176.42</v>
      </c>
      <c r="FL40" s="452">
        <v>359609.29</v>
      </c>
      <c r="FM40" s="378">
        <v>176786.46</v>
      </c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451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451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103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>
        <v>808656.23</v>
      </c>
      <c r="FK43" s="378">
        <v>1298753.81</v>
      </c>
      <c r="FL43" s="452">
        <v>134648.84</v>
      </c>
      <c r="FM43" s="378">
        <v>1295803.5900000001</v>
      </c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94</v>
      </c>
      <c r="C44" s="74">
        <v>731</v>
      </c>
      <c r="D44" s="74">
        <v>7311</v>
      </c>
      <c r="E44" s="78" t="s">
        <v>103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451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451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94</v>
      </c>
      <c r="D46" s="139">
        <v>74</v>
      </c>
      <c r="E46" s="140" t="s">
        <v>107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>
        <v>1388870.5</v>
      </c>
      <c r="FK46" s="378">
        <v>827810.06</v>
      </c>
      <c r="FL46" s="452">
        <v>1651160.65</v>
      </c>
      <c r="FM46" s="378">
        <v>1596012.32</v>
      </c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109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451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451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113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>
        <v>8784836.1999999993</v>
      </c>
      <c r="FL49" s="452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451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116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>
        <v>67815000</v>
      </c>
      <c r="FK51" s="376"/>
      <c r="FL51" s="451">
        <v>18000000</v>
      </c>
      <c r="FM51" s="376">
        <v>54000000</v>
      </c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>
        <v>25748930.140000001</v>
      </c>
      <c r="FG52" s="376">
        <v>3819449.69</v>
      </c>
      <c r="FH52" s="376">
        <v>14059999.119999999</v>
      </c>
      <c r="FI52" s="376">
        <v>6496285.4699999997</v>
      </c>
      <c r="FJ52" s="376">
        <v>7856343.8600000003</v>
      </c>
      <c r="FK52" s="376">
        <v>8784836.1999999993</v>
      </c>
      <c r="FL52" s="451">
        <v>2698966.86</v>
      </c>
      <c r="FM52" s="376">
        <v>32388565.289999999</v>
      </c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94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451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94</v>
      </c>
      <c r="B54" s="74">
        <v>41</v>
      </c>
      <c r="D54" s="74">
        <v>41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451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38898615.609999999</v>
      </c>
      <c r="FG55" s="376">
        <v>38602776.109999999</v>
      </c>
      <c r="FH55" s="376">
        <v>39176968.049999997</v>
      </c>
      <c r="FI55" s="376">
        <v>38923552.049999997</v>
      </c>
      <c r="FJ55" s="376">
        <v>39904782.170000002</v>
      </c>
      <c r="FK55" s="376">
        <v>41491994.170000002</v>
      </c>
      <c r="FL55" s="451">
        <v>38031107.149999999</v>
      </c>
      <c r="FM55" s="376">
        <v>37169894.039999999</v>
      </c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451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451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129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451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451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451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432711.77</v>
      </c>
      <c r="FG61" s="376">
        <v>1037317.51</v>
      </c>
      <c r="FH61" s="376">
        <v>740149.21</v>
      </c>
      <c r="FI61" s="376">
        <v>1606928.02</v>
      </c>
      <c r="FJ61" s="376">
        <v>1045480.66</v>
      </c>
      <c r="FK61" s="376">
        <v>650585.03</v>
      </c>
      <c r="FL61" s="450">
        <v>1612572.32</v>
      </c>
      <c r="FM61" s="376">
        <v>864258.85</v>
      </c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451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451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451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451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451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451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451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150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>
        <v>854167.64</v>
      </c>
      <c r="FG69" s="376">
        <v>2492370.9900000002</v>
      </c>
      <c r="FH69" s="376">
        <v>2599448.7799999998</v>
      </c>
      <c r="FI69" s="376">
        <v>2488394.38</v>
      </c>
      <c r="FJ69" s="376">
        <v>2262319.3199999998</v>
      </c>
      <c r="FK69" s="376">
        <v>3143597.69</v>
      </c>
      <c r="FL69" s="450">
        <v>2242317.38</v>
      </c>
      <c r="FM69" s="376">
        <v>2462726.48</v>
      </c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451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451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451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451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451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451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>
        <v>2813388.82</v>
      </c>
      <c r="FG76" s="376">
        <v>4317384.79</v>
      </c>
      <c r="FH76" s="376">
        <v>4690729.2300000004</v>
      </c>
      <c r="FI76" s="376">
        <v>4354180.1100000003</v>
      </c>
      <c r="FJ76" s="376">
        <v>6607764.25</v>
      </c>
      <c r="FK76" s="376">
        <v>6806179.8200000003</v>
      </c>
      <c r="FL76" s="450">
        <v>8577720.9299999997</v>
      </c>
      <c r="FM76" s="376">
        <v>3302685.24</v>
      </c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451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451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451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451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451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451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451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451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451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>
        <v>1534108.39</v>
      </c>
      <c r="FH86" s="376">
        <v>1553347.68</v>
      </c>
      <c r="FI86" s="376">
        <v>1602730.43</v>
      </c>
      <c r="FJ86" s="376">
        <v>1719004.83</v>
      </c>
      <c r="FK86" s="376">
        <v>1361111.43</v>
      </c>
      <c r="FL86" s="450">
        <v>2074263.46</v>
      </c>
      <c r="FM86" s="376">
        <v>1121425.77</v>
      </c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451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451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451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>
        <v>6154852.9000000004</v>
      </c>
      <c r="FG90" s="376">
        <v>999341.54</v>
      </c>
      <c r="FH90" s="376">
        <v>28695513.649999999</v>
      </c>
      <c r="FI90" s="376">
        <v>18435271.789999999</v>
      </c>
      <c r="FJ90" s="376">
        <v>10258844.07</v>
      </c>
      <c r="FK90" s="376">
        <v>5411766.9400000004</v>
      </c>
      <c r="FL90" s="450">
        <v>9047333.1999999993</v>
      </c>
      <c r="FM90" s="376">
        <v>1051267.33</v>
      </c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451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451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>
        <v>220526.46</v>
      </c>
      <c r="FG93" s="376">
        <v>779733.65</v>
      </c>
      <c r="FH93" s="376">
        <v>803370.53</v>
      </c>
      <c r="FI93" s="376">
        <v>1122402.21</v>
      </c>
      <c r="FJ93" s="376">
        <v>989005.29</v>
      </c>
      <c r="FK93" s="376">
        <v>608826.98</v>
      </c>
      <c r="FL93" s="450">
        <v>1399544.86</v>
      </c>
      <c r="FM93" s="376">
        <v>827493.89</v>
      </c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451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451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451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>
        <v>2194236.0299999998</v>
      </c>
      <c r="FK97" s="376">
        <v>1487101.06</v>
      </c>
      <c r="FL97" s="450">
        <v>3695060.6</v>
      </c>
      <c r="FM97" s="376">
        <v>1069449</v>
      </c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451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451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451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>
        <v>3360527.27</v>
      </c>
      <c r="FH101" s="376">
        <v>2294447.6800000002</v>
      </c>
      <c r="FI101" s="376">
        <v>5380146.8200000003</v>
      </c>
      <c r="FJ101" s="376">
        <v>2122463.62</v>
      </c>
      <c r="FK101" s="376">
        <v>4483387.37</v>
      </c>
      <c r="FL101" s="450">
        <v>3829539.86</v>
      </c>
      <c r="FM101" s="376">
        <v>4015195.5</v>
      </c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451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451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451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451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451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451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451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49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451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230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451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94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451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>
        <v>6410465.4699999997</v>
      </c>
      <c r="FK112" s="376">
        <v>6536921.0899999999</v>
      </c>
      <c r="FL112" s="450">
        <v>6798455.0999999996</v>
      </c>
      <c r="FM112" s="376">
        <v>6916329.6100000003</v>
      </c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94</v>
      </c>
      <c r="D113" s="74">
        <v>4211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451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451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451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451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451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451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451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734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451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>
        <v>1341095.6299999999</v>
      </c>
      <c r="FK121" s="376">
        <v>1381621.25</v>
      </c>
      <c r="FL121" s="450">
        <v>1512829.9</v>
      </c>
      <c r="FM121" s="376">
        <v>1577705.79</v>
      </c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451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451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451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451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451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261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>
        <v>35184087.420000002</v>
      </c>
      <c r="FK127" s="376">
        <v>35185457.75</v>
      </c>
      <c r="FL127" s="451">
        <v>35081479.57</v>
      </c>
      <c r="FM127" s="376">
        <v>35015332.57</v>
      </c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451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451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451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63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451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270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451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451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451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>
        <v>1914804.54</v>
      </c>
      <c r="FK135" s="376">
        <v>1732967.4</v>
      </c>
      <c r="FL135" s="450">
        <v>1746404.92</v>
      </c>
      <c r="FM135" s="376">
        <v>1448048.69</v>
      </c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451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1081000.8899999999</v>
      </c>
      <c r="FH137" s="376">
        <v>1075486.77</v>
      </c>
      <c r="FI137" s="376">
        <v>779978.55</v>
      </c>
      <c r="FJ137" s="376">
        <v>905277.52</v>
      </c>
      <c r="FK137" s="376">
        <v>909731.61</v>
      </c>
      <c r="FL137" s="450">
        <v>1039631.09</v>
      </c>
      <c r="FM137" s="376">
        <v>741808.15</v>
      </c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451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451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451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94</v>
      </c>
      <c r="B141" s="74">
        <v>43</v>
      </c>
      <c r="D141" s="74">
        <v>43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16108536.07</v>
      </c>
      <c r="FJ141" s="376">
        <v>17254969.68</v>
      </c>
      <c r="FK141" s="376">
        <v>13582731.800000001</v>
      </c>
      <c r="FL141" s="450">
        <v>25674739.879999999</v>
      </c>
      <c r="FM141" s="376">
        <v>14819789.789999999</v>
      </c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94</v>
      </c>
      <c r="B142" s="74" t="s">
        <v>94</v>
      </c>
      <c r="C142" s="74">
        <v>431</v>
      </c>
      <c r="D142" s="74">
        <v>431</v>
      </c>
      <c r="E142" s="78" t="s">
        <v>288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451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451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451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451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451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451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451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451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451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451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94</v>
      </c>
      <c r="B152" s="74" t="s">
        <v>94</v>
      </c>
      <c r="C152" s="74">
        <v>432</v>
      </c>
      <c r="D152" s="74">
        <v>432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451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451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451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451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451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451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451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729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>
        <v>26828354.949999999</v>
      </c>
      <c r="FG159" s="376">
        <v>3690450.01</v>
      </c>
      <c r="FH159" s="376">
        <v>14930197.6</v>
      </c>
      <c r="FI159" s="376">
        <v>12096117.390000001</v>
      </c>
      <c r="FJ159" s="376">
        <v>11464377.560000001</v>
      </c>
      <c r="FK159" s="41">
        <v>12842221.23</v>
      </c>
      <c r="FL159" s="451">
        <v>23205721.09</v>
      </c>
      <c r="FM159" s="376">
        <v>40874123.119999997</v>
      </c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420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>
        <v>720914.39</v>
      </c>
      <c r="FG160" s="376">
        <v>3462137.8600000003</v>
      </c>
      <c r="FH160" s="376">
        <v>1772948.37</v>
      </c>
      <c r="FI160" s="376">
        <v>2074285.0700000003</v>
      </c>
      <c r="FJ160" s="376">
        <v>1862038.5</v>
      </c>
      <c r="FK160" s="376">
        <v>3083998.55</v>
      </c>
      <c r="FL160" s="451">
        <v>2542191.46</v>
      </c>
      <c r="FM160" s="376">
        <v>4838634.8899999997</v>
      </c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324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451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451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451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451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451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451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451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451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451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94</v>
      </c>
      <c r="B170" s="74">
        <v>45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451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115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>
        <v>260000</v>
      </c>
      <c r="FK171" s="376">
        <v>358750</v>
      </c>
      <c r="FL171" s="450">
        <v>335000</v>
      </c>
      <c r="FM171" s="376">
        <v>145000</v>
      </c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344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451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451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451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451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>
        <v>80000</v>
      </c>
      <c r="FL176" s="451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94</v>
      </c>
      <c r="B177" s="74">
        <v>46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451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451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357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>
        <v>5836708.6600000001</v>
      </c>
      <c r="FK179" s="376">
        <v>1304074.52</v>
      </c>
      <c r="FL179" s="450">
        <v>18837613.199999999</v>
      </c>
      <c r="FM179" s="376">
        <v>54838105.140000001</v>
      </c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>
        <v>177846023.16</v>
      </c>
      <c r="FK180" s="376">
        <v>9790699.6799999997</v>
      </c>
      <c r="FL180" s="450">
        <v>61633418.82</v>
      </c>
      <c r="FM180" s="376">
        <v>2917512.03</v>
      </c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7180485.3399999999</v>
      </c>
      <c r="FI181" s="376"/>
      <c r="FJ181" s="376"/>
      <c r="FK181" s="376"/>
      <c r="FL181" s="451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451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451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>
        <v>1205053.3500000001</v>
      </c>
      <c r="FG184" s="376">
        <v>1334117.25</v>
      </c>
      <c r="FH184" s="376">
        <v>1736748.41</v>
      </c>
      <c r="FI184" s="376">
        <v>1788599.55</v>
      </c>
      <c r="FJ184" s="376">
        <v>1459507.08</v>
      </c>
      <c r="FK184" s="376">
        <v>1848609.33</v>
      </c>
      <c r="FL184" s="450">
        <v>4446503.8099999996</v>
      </c>
      <c r="FM184" s="376">
        <v>880815</v>
      </c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94</v>
      </c>
      <c r="B185" s="74">
        <v>47</v>
      </c>
      <c r="D185" s="74">
        <v>47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1806704.1</v>
      </c>
      <c r="FJ185" s="376">
        <v>1407800</v>
      </c>
      <c r="FK185" s="376">
        <v>1291723.94</v>
      </c>
      <c r="FL185" s="450">
        <v>6489528.9000000004</v>
      </c>
      <c r="FM185" s="376">
        <v>433973.31</v>
      </c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94</v>
      </c>
      <c r="B186" s="74" t="s">
        <v>94</v>
      </c>
      <c r="C186" s="74">
        <v>471</v>
      </c>
      <c r="D186" s="74">
        <v>4710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694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8" t="s">
        <v>685</v>
      </c>
      <c r="F215" s="565">
        <v>2006</v>
      </c>
      <c r="G215" s="566"/>
      <c r="H215" s="566"/>
      <c r="I215" s="566"/>
      <c r="J215" s="566"/>
      <c r="K215" s="566"/>
      <c r="L215" s="566"/>
      <c r="M215" s="566"/>
      <c r="N215" s="566"/>
      <c r="O215" s="566"/>
      <c r="P215" s="566"/>
      <c r="Q215" s="567"/>
      <c r="R215" s="565">
        <v>2007</v>
      </c>
      <c r="S215" s="566"/>
      <c r="T215" s="566"/>
      <c r="U215" s="566"/>
      <c r="V215" s="566"/>
      <c r="W215" s="566"/>
      <c r="X215" s="566"/>
      <c r="Y215" s="566"/>
      <c r="Z215" s="566"/>
      <c r="AA215" s="566"/>
      <c r="AB215" s="566"/>
      <c r="AC215" s="567"/>
      <c r="AD215" s="565">
        <v>2008</v>
      </c>
      <c r="AE215" s="566"/>
      <c r="AF215" s="566"/>
      <c r="AG215" s="566"/>
      <c r="AH215" s="566"/>
      <c r="AI215" s="566"/>
      <c r="AJ215" s="566"/>
      <c r="AK215" s="566"/>
      <c r="AL215" s="566"/>
      <c r="AM215" s="566"/>
      <c r="AN215" s="566"/>
      <c r="AO215" s="567"/>
      <c r="AP215" s="565">
        <v>2009</v>
      </c>
      <c r="AQ215" s="566"/>
      <c r="AR215" s="566"/>
      <c r="AS215" s="566"/>
      <c r="AT215" s="566"/>
      <c r="AU215" s="566"/>
      <c r="AV215" s="566"/>
      <c r="AW215" s="566"/>
      <c r="AX215" s="566"/>
      <c r="AY215" s="566"/>
      <c r="AZ215" s="566"/>
      <c r="BA215" s="567"/>
      <c r="BB215" s="565">
        <v>2010</v>
      </c>
      <c r="BC215" s="566"/>
      <c r="BD215" s="566"/>
      <c r="BE215" s="566"/>
      <c r="BF215" s="566"/>
      <c r="BG215" s="566"/>
      <c r="BH215" s="566"/>
      <c r="BI215" s="566"/>
      <c r="BJ215" s="566"/>
      <c r="BK215" s="566"/>
      <c r="BL215" s="566"/>
      <c r="BM215" s="567"/>
      <c r="BN215" s="565">
        <v>2011</v>
      </c>
      <c r="BO215" s="566"/>
      <c r="BP215" s="566"/>
      <c r="BQ215" s="566"/>
      <c r="BR215" s="566"/>
      <c r="BS215" s="566"/>
      <c r="BT215" s="566"/>
      <c r="BU215" s="566"/>
      <c r="BV215" s="566"/>
      <c r="BW215" s="566"/>
      <c r="BX215" s="566"/>
      <c r="BY215" s="567"/>
      <c r="BZ215" s="566">
        <v>2012</v>
      </c>
      <c r="CA215" s="566"/>
      <c r="CB215" s="566"/>
      <c r="CC215" s="566"/>
      <c r="CD215" s="566"/>
      <c r="CE215" s="566"/>
      <c r="CF215" s="566"/>
      <c r="CG215" s="566"/>
      <c r="CH215" s="566"/>
      <c r="CI215" s="566"/>
      <c r="CJ215" s="566"/>
      <c r="CK215" s="566"/>
      <c r="CL215" s="565">
        <v>2013</v>
      </c>
      <c r="CM215" s="566"/>
      <c r="CN215" s="566"/>
      <c r="CO215" s="566"/>
      <c r="CP215" s="566"/>
      <c r="CQ215" s="566"/>
      <c r="CR215" s="566"/>
      <c r="CS215" s="566"/>
      <c r="CT215" s="566"/>
      <c r="CU215" s="566"/>
      <c r="CV215" s="566"/>
      <c r="CW215" s="567"/>
      <c r="CX215" s="565">
        <v>2014</v>
      </c>
      <c r="CY215" s="566"/>
      <c r="CZ215" s="566"/>
      <c r="DA215" s="566"/>
      <c r="DB215" s="566"/>
      <c r="DC215" s="566"/>
      <c r="DD215" s="566"/>
      <c r="DE215" s="566"/>
      <c r="DF215" s="566"/>
      <c r="DG215" s="566"/>
      <c r="DH215" s="566"/>
      <c r="DI215" s="567"/>
      <c r="DJ215" s="565">
        <v>2015</v>
      </c>
      <c r="DK215" s="566"/>
      <c r="DL215" s="566"/>
      <c r="DM215" s="566"/>
      <c r="DN215" s="566"/>
      <c r="DO215" s="566"/>
      <c r="DP215" s="566"/>
      <c r="DQ215" s="566"/>
      <c r="DR215" s="566"/>
      <c r="DS215" s="566"/>
      <c r="DT215" s="566"/>
      <c r="DU215" s="567"/>
    </row>
    <row r="216" spans="1:175">
      <c r="E216" s="568"/>
      <c r="F216" s="75" t="s">
        <v>565</v>
      </c>
      <c r="G216" s="76" t="s">
        <v>566</v>
      </c>
      <c r="H216" s="76" t="s">
        <v>567</v>
      </c>
      <c r="I216" s="76" t="s">
        <v>568</v>
      </c>
      <c r="J216" s="76" t="s">
        <v>569</v>
      </c>
      <c r="K216" s="76" t="s">
        <v>570</v>
      </c>
      <c r="L216" s="76" t="s">
        <v>571</v>
      </c>
      <c r="M216" s="76" t="s">
        <v>572</v>
      </c>
      <c r="N216" s="76" t="s">
        <v>573</v>
      </c>
      <c r="O216" s="76" t="s">
        <v>574</v>
      </c>
      <c r="P216" s="76" t="s">
        <v>575</v>
      </c>
      <c r="Q216" s="77" t="s">
        <v>576</v>
      </c>
      <c r="R216" s="75" t="s">
        <v>577</v>
      </c>
      <c r="S216" s="76" t="s">
        <v>578</v>
      </c>
      <c r="T216" s="76" t="s">
        <v>579</v>
      </c>
      <c r="U216" s="76" t="s">
        <v>580</v>
      </c>
      <c r="V216" s="76" t="s">
        <v>581</v>
      </c>
      <c r="W216" s="76" t="s">
        <v>582</v>
      </c>
      <c r="X216" s="76" t="s">
        <v>583</v>
      </c>
      <c r="Y216" s="76" t="s">
        <v>584</v>
      </c>
      <c r="Z216" s="76" t="s">
        <v>585</v>
      </c>
      <c r="AA216" s="76" t="s">
        <v>586</v>
      </c>
      <c r="AB216" s="76" t="s">
        <v>587</v>
      </c>
      <c r="AC216" s="77" t="s">
        <v>588</v>
      </c>
      <c r="AD216" s="75" t="s">
        <v>589</v>
      </c>
      <c r="AE216" s="76" t="s">
        <v>590</v>
      </c>
      <c r="AF216" s="76" t="s">
        <v>591</v>
      </c>
      <c r="AG216" s="76" t="s">
        <v>592</v>
      </c>
      <c r="AH216" s="76" t="s">
        <v>593</v>
      </c>
      <c r="AI216" s="76" t="s">
        <v>594</v>
      </c>
      <c r="AJ216" s="76" t="s">
        <v>595</v>
      </c>
      <c r="AK216" s="76" t="s">
        <v>596</v>
      </c>
      <c r="AL216" s="76" t="s">
        <v>597</v>
      </c>
      <c r="AM216" s="76" t="s">
        <v>598</v>
      </c>
      <c r="AN216" s="76" t="s">
        <v>599</v>
      </c>
      <c r="AO216" s="77" t="s">
        <v>600</v>
      </c>
      <c r="AP216" s="75" t="s">
        <v>601</v>
      </c>
      <c r="AQ216" s="76" t="s">
        <v>602</v>
      </c>
      <c r="AR216" s="76" t="s">
        <v>603</v>
      </c>
      <c r="AS216" s="76" t="s">
        <v>604</v>
      </c>
      <c r="AT216" s="76" t="s">
        <v>605</v>
      </c>
      <c r="AU216" s="76" t="s">
        <v>606</v>
      </c>
      <c r="AV216" s="76" t="s">
        <v>607</v>
      </c>
      <c r="AW216" s="76" t="s">
        <v>608</v>
      </c>
      <c r="AX216" s="76" t="s">
        <v>609</v>
      </c>
      <c r="AY216" s="76" t="s">
        <v>610</v>
      </c>
      <c r="AZ216" s="76" t="s">
        <v>611</v>
      </c>
      <c r="BA216" s="77" t="s">
        <v>612</v>
      </c>
      <c r="BB216" s="75" t="s">
        <v>613</v>
      </c>
      <c r="BC216" s="76" t="s">
        <v>614</v>
      </c>
      <c r="BD216" s="76" t="s">
        <v>615</v>
      </c>
      <c r="BE216" s="76" t="s">
        <v>616</v>
      </c>
      <c r="BF216" s="76" t="s">
        <v>617</v>
      </c>
      <c r="BG216" s="76" t="s">
        <v>618</v>
      </c>
      <c r="BH216" s="76" t="s">
        <v>619</v>
      </c>
      <c r="BI216" s="76" t="s">
        <v>620</v>
      </c>
      <c r="BJ216" s="76" t="s">
        <v>621</v>
      </c>
      <c r="BK216" s="76" t="s">
        <v>622</v>
      </c>
      <c r="BL216" s="76" t="s">
        <v>623</v>
      </c>
      <c r="BM216" s="77" t="s">
        <v>624</v>
      </c>
      <c r="BN216" s="75" t="s">
        <v>625</v>
      </c>
      <c r="BO216" s="76" t="s">
        <v>626</v>
      </c>
      <c r="BP216" s="76" t="s">
        <v>627</v>
      </c>
      <c r="BQ216" s="76" t="s">
        <v>628</v>
      </c>
      <c r="BR216" s="76" t="s">
        <v>629</v>
      </c>
      <c r="BS216" s="76" t="s">
        <v>630</v>
      </c>
      <c r="BT216" s="76" t="s">
        <v>631</v>
      </c>
      <c r="BU216" s="76" t="s">
        <v>632</v>
      </c>
      <c r="BV216" s="76" t="s">
        <v>633</v>
      </c>
      <c r="BW216" s="76" t="s">
        <v>634</v>
      </c>
      <c r="BX216" s="76" t="s">
        <v>635</v>
      </c>
      <c r="BY216" s="77" t="s">
        <v>636</v>
      </c>
      <c r="BZ216" s="76" t="s">
        <v>637</v>
      </c>
      <c r="CA216" s="76" t="s">
        <v>638</v>
      </c>
      <c r="CB216" s="76" t="s">
        <v>639</v>
      </c>
      <c r="CC216" s="76" t="s">
        <v>640</v>
      </c>
      <c r="CD216" s="76" t="s">
        <v>641</v>
      </c>
      <c r="CE216" s="76" t="s">
        <v>642</v>
      </c>
      <c r="CF216" s="76" t="s">
        <v>643</v>
      </c>
      <c r="CG216" s="76" t="s">
        <v>644</v>
      </c>
      <c r="CH216" s="76" t="s">
        <v>645</v>
      </c>
      <c r="CI216" s="76" t="s">
        <v>646</v>
      </c>
      <c r="CJ216" s="76" t="s">
        <v>647</v>
      </c>
      <c r="CK216" s="76" t="s">
        <v>648</v>
      </c>
      <c r="CL216" s="75" t="s">
        <v>649</v>
      </c>
      <c r="CM216" s="76" t="s">
        <v>650</v>
      </c>
      <c r="CN216" s="76" t="s">
        <v>651</v>
      </c>
      <c r="CO216" s="76" t="s">
        <v>652</v>
      </c>
      <c r="CP216" s="76" t="s">
        <v>653</v>
      </c>
      <c r="CQ216" s="76" t="s">
        <v>654</v>
      </c>
      <c r="CR216" s="76" t="s">
        <v>655</v>
      </c>
      <c r="CS216" s="76" t="s">
        <v>656</v>
      </c>
      <c r="CT216" s="76" t="s">
        <v>657</v>
      </c>
      <c r="CU216" s="76" t="s">
        <v>658</v>
      </c>
      <c r="CV216" s="76" t="s">
        <v>659</v>
      </c>
      <c r="CW216" s="77" t="s">
        <v>660</v>
      </c>
      <c r="CX216" s="75" t="s">
        <v>661</v>
      </c>
      <c r="CY216" s="76" t="s">
        <v>662</v>
      </c>
      <c r="CZ216" s="76" t="s">
        <v>663</v>
      </c>
      <c r="DA216" s="76" t="s">
        <v>664</v>
      </c>
      <c r="DB216" s="76" t="s">
        <v>665</v>
      </c>
      <c r="DC216" s="76" t="s">
        <v>666</v>
      </c>
      <c r="DD216" s="76" t="s">
        <v>667</v>
      </c>
      <c r="DE216" s="76" t="s">
        <v>668</v>
      </c>
      <c r="DF216" s="76" t="s">
        <v>669</v>
      </c>
      <c r="DG216" s="76" t="s">
        <v>670</v>
      </c>
      <c r="DH216" s="76" t="s">
        <v>671</v>
      </c>
      <c r="DI216" s="77" t="s">
        <v>672</v>
      </c>
      <c r="DJ216" s="75" t="s">
        <v>673</v>
      </c>
      <c r="DK216" s="76" t="s">
        <v>674</v>
      </c>
      <c r="DL216" s="76" t="s">
        <v>675</v>
      </c>
      <c r="DM216" s="76" t="s">
        <v>676</v>
      </c>
      <c r="DN216" s="76" t="s">
        <v>677</v>
      </c>
      <c r="DO216" s="76" t="s">
        <v>678</v>
      </c>
      <c r="DP216" s="76" t="s">
        <v>679</v>
      </c>
      <c r="DQ216" s="76" t="s">
        <v>680</v>
      </c>
      <c r="DR216" s="76" t="s">
        <v>681</v>
      </c>
      <c r="DS216" s="76" t="s">
        <v>682</v>
      </c>
      <c r="DT216" s="76" t="s">
        <v>683</v>
      </c>
      <c r="DU216" s="77" t="s">
        <v>684</v>
      </c>
      <c r="DV216" s="42" t="s">
        <v>715</v>
      </c>
      <c r="DW216" s="42" t="s">
        <v>716</v>
      </c>
      <c r="DX216" s="42" t="s">
        <v>717</v>
      </c>
      <c r="DY216" s="42" t="s">
        <v>718</v>
      </c>
      <c r="DZ216" s="42" t="s">
        <v>719</v>
      </c>
      <c r="EA216" s="42" t="s">
        <v>720</v>
      </c>
      <c r="EB216" s="42" t="s">
        <v>721</v>
      </c>
      <c r="EC216" s="42" t="s">
        <v>722</v>
      </c>
      <c r="ED216" s="42" t="s">
        <v>723</v>
      </c>
      <c r="EE216" s="42" t="s">
        <v>724</v>
      </c>
      <c r="EF216" s="42" t="s">
        <v>725</v>
      </c>
      <c r="EG216" s="42" t="s">
        <v>726</v>
      </c>
      <c r="EH216" s="393" t="s">
        <v>737</v>
      </c>
      <c r="EI216" s="393" t="s">
        <v>738</v>
      </c>
      <c r="EJ216" s="393" t="s">
        <v>739</v>
      </c>
      <c r="EK216" s="393" t="s">
        <v>740</v>
      </c>
      <c r="EL216" s="393" t="s">
        <v>741</v>
      </c>
      <c r="EM216" s="393" t="s">
        <v>742</v>
      </c>
      <c r="EN216" s="393" t="s">
        <v>743</v>
      </c>
      <c r="EO216" s="393" t="s">
        <v>744</v>
      </c>
      <c r="EP216" s="393" t="s">
        <v>745</v>
      </c>
      <c r="EQ216" s="393" t="s">
        <v>746</v>
      </c>
      <c r="ER216" s="393" t="s">
        <v>747</v>
      </c>
      <c r="ES216" s="393" t="s">
        <v>748</v>
      </c>
      <c r="ET216" s="393" t="s">
        <v>755</v>
      </c>
      <c r="EU216" s="393" t="s">
        <v>756</v>
      </c>
      <c r="EV216" s="393" t="s">
        <v>757</v>
      </c>
      <c r="EW216" s="393" t="s">
        <v>758</v>
      </c>
      <c r="EX216" s="393" t="s">
        <v>759</v>
      </c>
      <c r="EY216" s="393" t="s">
        <v>760</v>
      </c>
      <c r="EZ216" s="393" t="s">
        <v>761</v>
      </c>
      <c r="FA216" s="393" t="s">
        <v>762</v>
      </c>
      <c r="FB216" s="393" t="s">
        <v>763</v>
      </c>
      <c r="FC216" s="393" t="s">
        <v>764</v>
      </c>
      <c r="FD216" s="393" t="s">
        <v>765</v>
      </c>
      <c r="FE216" s="393" t="s">
        <v>766</v>
      </c>
      <c r="FF216" s="393" t="s">
        <v>778</v>
      </c>
      <c r="FG216" s="393" t="s">
        <v>779</v>
      </c>
      <c r="FH216" s="393" t="s">
        <v>780</v>
      </c>
      <c r="FI216" s="393" t="s">
        <v>781</v>
      </c>
      <c r="FJ216" s="393" t="s">
        <v>782</v>
      </c>
      <c r="FK216" s="393" t="s">
        <v>783</v>
      </c>
      <c r="FL216" s="393" t="s">
        <v>784</v>
      </c>
      <c r="FM216" s="393" t="s">
        <v>785</v>
      </c>
      <c r="FN216" s="393" t="s">
        <v>786</v>
      </c>
      <c r="FO216" s="393" t="s">
        <v>787</v>
      </c>
      <c r="FP216" s="393" t="s">
        <v>788</v>
      </c>
      <c r="FQ216" s="393" t="s">
        <v>789</v>
      </c>
      <c r="FS216" s="444"/>
    </row>
    <row r="217" spans="1:175">
      <c r="A217" s="74">
        <v>7</v>
      </c>
      <c r="B217" s="74" t="s">
        <v>94</v>
      </c>
      <c r="D217" s="74" t="str">
        <f t="shared" ref="D217:D225" si="11">+CONCATENATE(D8,"p")</f>
        <v>7p</v>
      </c>
      <c r="E217" s="78" t="s">
        <v>19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23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72429730.420000002</v>
      </c>
      <c r="FG219" s="445">
        <v>68470908.439999998</v>
      </c>
      <c r="FH219" s="445">
        <v>98709545.510000005</v>
      </c>
      <c r="FI219" s="445">
        <v>106791818.52</v>
      </c>
      <c r="FJ219" s="445">
        <v>94372185.030000001</v>
      </c>
      <c r="FK219" s="445">
        <v>89389439.689999998</v>
      </c>
      <c r="FL219" s="445">
        <v>106366803.00672032</v>
      </c>
      <c r="FM219" s="445">
        <v>110847613.63774106</v>
      </c>
      <c r="FN219" s="445">
        <f>105712748.66474-4000000</f>
        <v>101712748.66474</v>
      </c>
      <c r="FO219" s="445">
        <f>92295636.2285859+4000000</f>
        <v>96295636.228585899</v>
      </c>
      <c r="FP219" s="445">
        <v>84393107.743797168</v>
      </c>
      <c r="FQ219" s="445">
        <v>92890414.095145509</v>
      </c>
    </row>
    <row r="220" spans="1:175">
      <c r="D220" s="74" t="str">
        <f t="shared" si="11"/>
        <v>7111p</v>
      </c>
      <c r="E220" s="78" t="s">
        <v>25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4240913.8099999996</v>
      </c>
      <c r="FG220" s="41">
        <v>9361661.1500000004</v>
      </c>
      <c r="FH220" s="41">
        <v>9044961.5800000001</v>
      </c>
      <c r="FI220" s="41">
        <v>10767101.800000001</v>
      </c>
      <c r="FJ220" s="41">
        <v>10210712.41</v>
      </c>
      <c r="FK220" s="41">
        <v>10125793.029999999</v>
      </c>
      <c r="FL220" s="41">
        <v>10562928.102170853</v>
      </c>
      <c r="FM220" s="41">
        <v>10477537.909352116</v>
      </c>
      <c r="FN220" s="41">
        <v>8957410.6319850832</v>
      </c>
      <c r="FO220" s="41">
        <v>9589847.5886837803</v>
      </c>
      <c r="FP220" s="41">
        <v>9803639.4384757541</v>
      </c>
      <c r="FQ220" s="41">
        <v>17095010.594302431</v>
      </c>
    </row>
    <row r="221" spans="1:175">
      <c r="D221" s="74" t="str">
        <f t="shared" si="11"/>
        <v>7112p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936843.13</v>
      </c>
      <c r="FG221" s="41">
        <v>1962550.32</v>
      </c>
      <c r="FH221" s="41">
        <v>22465664.23</v>
      </c>
      <c r="FI221" s="41">
        <v>20408432.98</v>
      </c>
      <c r="FJ221" s="41">
        <v>4781744.7</v>
      </c>
      <c r="FK221" s="41">
        <v>3678815</v>
      </c>
      <c r="FL221" s="41">
        <v>4457741.7110314406</v>
      </c>
      <c r="FM221" s="41">
        <v>2685443.6740218201</v>
      </c>
      <c r="FN221" s="41">
        <f>6555024.30670548-4000000</f>
        <v>2555024.3067054804</v>
      </c>
      <c r="FO221" s="41">
        <f>1099414.73043184+4000000</f>
        <v>5099414.7304318398</v>
      </c>
      <c r="FP221" s="41">
        <v>845177.9860074711</v>
      </c>
      <c r="FQ221" s="41">
        <v>1318007.3637119438</v>
      </c>
    </row>
    <row r="222" spans="1:175">
      <c r="D222" s="74" t="str">
        <f t="shared" si="11"/>
        <v>7113p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118243.45</v>
      </c>
      <c r="FG222" s="41">
        <v>169568.16</v>
      </c>
      <c r="FH222" s="41">
        <v>146352.49</v>
      </c>
      <c r="FI222" s="41">
        <v>204359.36</v>
      </c>
      <c r="FJ222" s="41">
        <v>147510.5</v>
      </c>
      <c r="FK222" s="41">
        <v>158253.64000000001</v>
      </c>
      <c r="FL222" s="41">
        <v>92289.827047712693</v>
      </c>
      <c r="FM222" s="41">
        <v>199872.32178424072</v>
      </c>
      <c r="FN222" s="41">
        <v>127416.86254210871</v>
      </c>
      <c r="FO222" s="41">
        <v>134863.8150111227</v>
      </c>
      <c r="FP222" s="41">
        <v>174166.77614709371</v>
      </c>
      <c r="FQ222" s="41">
        <v>189919.20786772171</v>
      </c>
    </row>
    <row r="223" spans="1:175">
      <c r="D223" s="74" t="str">
        <f t="shared" si="11"/>
        <v>7114p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49847223.18</v>
      </c>
      <c r="FG223" s="41">
        <v>38958365.399999999</v>
      </c>
      <c r="FH223" s="41">
        <v>50498218.18</v>
      </c>
      <c r="FI223" s="41">
        <v>55142838.460000001</v>
      </c>
      <c r="FJ223" s="41">
        <v>56428341.859999999</v>
      </c>
      <c r="FK223" s="41">
        <v>52810087.229999997</v>
      </c>
      <c r="FL223" s="41">
        <v>64608697.993098304</v>
      </c>
      <c r="FM223" s="41">
        <v>66890311.931873396</v>
      </c>
      <c r="FN223" s="41">
        <v>59747048.514482997</v>
      </c>
      <c r="FO223" s="41">
        <v>59046360.535818897</v>
      </c>
      <c r="FP223" s="41">
        <v>50298426.623042099</v>
      </c>
      <c r="FQ223" s="41">
        <v>53629737.7635343</v>
      </c>
    </row>
    <row r="224" spans="1:175">
      <c r="D224" s="74" t="str">
        <f t="shared" si="11"/>
        <v>7115p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15141217.210000001</v>
      </c>
      <c r="FG224" s="41">
        <v>13186126.23</v>
      </c>
      <c r="FH224" s="41">
        <v>13315087.640000001</v>
      </c>
      <c r="FI224" s="41">
        <v>16826313.73</v>
      </c>
      <c r="FJ224" s="41">
        <v>19442485.359999999</v>
      </c>
      <c r="FK224" s="41">
        <v>19205497.870000001</v>
      </c>
      <c r="FL224" s="41">
        <v>23502946.676267412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1424968.68</v>
      </c>
      <c r="FG225" s="41">
        <v>1733788.33</v>
      </c>
      <c r="FH225" s="41">
        <v>2462209.73</v>
      </c>
      <c r="FI225" s="41">
        <v>2531899.16</v>
      </c>
      <c r="FJ225" s="41">
        <v>2502520.2799999998</v>
      </c>
      <c r="FK225" s="41">
        <v>2485583.9700000002</v>
      </c>
      <c r="FL225" s="41">
        <v>2731455.7201732523</v>
      </c>
      <c r="FM225" s="41">
        <v>2787010.1046283157</v>
      </c>
      <c r="FN225" s="41">
        <v>2149778.7308390578</v>
      </c>
      <c r="FO225" s="41">
        <v>2505449.340977564</v>
      </c>
      <c r="FP225" s="41">
        <v>1854095.8458453817</v>
      </c>
      <c r="FQ225" s="41">
        <v>1998829.9373364251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37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720320.96</v>
      </c>
      <c r="FG227" s="41">
        <v>3098848.85</v>
      </c>
      <c r="FH227" s="41">
        <v>777051.66</v>
      </c>
      <c r="FI227" s="41">
        <v>910873.03</v>
      </c>
      <c r="FJ227" s="41">
        <v>858869.92</v>
      </c>
      <c r="FK227" s="41">
        <v>925408.95</v>
      </c>
      <c r="FL227" s="41">
        <v>410742.9769313393</v>
      </c>
      <c r="FM227" s="41">
        <v>392873.90234621655</v>
      </c>
      <c r="FN227" s="41">
        <v>354922.73324901523</v>
      </c>
      <c r="FO227" s="41">
        <v>325827.84998510586</v>
      </c>
      <c r="FP227" s="41">
        <v>340887.93377701013</v>
      </c>
      <c r="FQ227" s="41">
        <v>383274.83331131347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39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16498881.48</v>
      </c>
      <c r="FG228" s="445">
        <v>41912269.38000001</v>
      </c>
      <c r="FH228" s="445">
        <v>41047599.18</v>
      </c>
      <c r="FI228" s="445">
        <v>50290988.940000005</v>
      </c>
      <c r="FJ228" s="445">
        <v>37496285.130000003</v>
      </c>
      <c r="FK228" s="445">
        <v>45280786.510000005</v>
      </c>
      <c r="FL228" s="445">
        <v>46250891.035691187</v>
      </c>
      <c r="FM228" s="445">
        <v>44632014.674295112</v>
      </c>
      <c r="FN228" s="445">
        <v>41120271.333377153</v>
      </c>
      <c r="FO228" s="445">
        <v>46928850.635902815</v>
      </c>
      <c r="FP228" s="445">
        <v>44128259.697538294</v>
      </c>
      <c r="FQ228" s="445">
        <v>78626416.07852602</v>
      </c>
    </row>
    <row r="229" spans="1:174" ht="30">
      <c r="D229" s="74" t="str">
        <f t="shared" si="19"/>
        <v>7121p</v>
      </c>
      <c r="E229" s="78" t="s">
        <v>41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9695765.5800000001</v>
      </c>
      <c r="FG229" s="41">
        <v>24593790.260000002</v>
      </c>
      <c r="FH229" s="41">
        <v>23923752.719999999</v>
      </c>
      <c r="FI229" s="41">
        <v>29650595.870000001</v>
      </c>
      <c r="FJ229" s="41">
        <v>22104934.850000001</v>
      </c>
      <c r="FK229" s="41">
        <v>27009559.609999999</v>
      </c>
      <c r="FL229" s="41">
        <v>27482444.037160631</v>
      </c>
      <c r="FM229" s="41">
        <v>27981870.622507609</v>
      </c>
      <c r="FN229" s="41">
        <v>26275213.096976332</v>
      </c>
      <c r="FO229" s="41">
        <v>30509092.335605875</v>
      </c>
      <c r="FP229" s="41">
        <v>28690565.779876817</v>
      </c>
      <c r="FQ229" s="41">
        <v>49959164.412414543</v>
      </c>
    </row>
    <row r="230" spans="1:174" ht="30">
      <c r="D230" s="74" t="str">
        <f t="shared" si="19"/>
        <v>7122p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5963049.2000000002</v>
      </c>
      <c r="FG230" s="41">
        <v>15122476.890000001</v>
      </c>
      <c r="FH230" s="41">
        <v>14777265.789999999</v>
      </c>
      <c r="FI230" s="41">
        <v>17925167.550000001</v>
      </c>
      <c r="FJ230" s="41">
        <v>13458982.5</v>
      </c>
      <c r="FK230" s="41">
        <v>15925774.34</v>
      </c>
      <c r="FL230" s="41">
        <v>16394230.760278165</v>
      </c>
      <c r="FM230" s="41">
        <v>14239936.351746917</v>
      </c>
      <c r="FN230" s="41">
        <v>12682409.588332439</v>
      </c>
      <c r="FO230" s="41">
        <v>14130176.222576067</v>
      </c>
      <c r="FP230" s="41">
        <v>13398296.64486525</v>
      </c>
      <c r="FQ230" s="41">
        <v>24833575.886677179</v>
      </c>
    </row>
    <row r="231" spans="1:174" ht="30">
      <c r="D231" s="74" t="str">
        <f t="shared" si="19"/>
        <v>7123p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459881.42</v>
      </c>
      <c r="FG231" s="41">
        <v>1160315.8500000001</v>
      </c>
      <c r="FH231" s="41">
        <v>1135767.8899999999</v>
      </c>
      <c r="FI231" s="41">
        <v>1375720.59</v>
      </c>
      <c r="FJ231" s="41">
        <v>1026106.03</v>
      </c>
      <c r="FK231" s="41">
        <v>1222753.49</v>
      </c>
      <c r="FL231" s="41">
        <v>1142926.9664523243</v>
      </c>
      <c r="FM231" s="41">
        <v>1304199.4730337204</v>
      </c>
      <c r="FN231" s="41">
        <v>1183707.9939274685</v>
      </c>
      <c r="FO231" s="41">
        <v>1329191.3701360417</v>
      </c>
      <c r="FP231" s="41">
        <v>1263549.4031596093</v>
      </c>
      <c r="FQ231" s="41">
        <v>2346588.9629115779</v>
      </c>
    </row>
    <row r="232" spans="1:174">
      <c r="D232" s="74" t="str">
        <f t="shared" si="19"/>
        <v>7124p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380185.28</v>
      </c>
      <c r="FG232" s="41">
        <v>1035686.38</v>
      </c>
      <c r="FH232" s="41">
        <v>1210812.78</v>
      </c>
      <c r="FI232" s="41">
        <v>1339504.93</v>
      </c>
      <c r="FJ232" s="41">
        <v>906261.75</v>
      </c>
      <c r="FK232" s="41">
        <v>1122699.07</v>
      </c>
      <c r="FL232" s="41">
        <v>1231289.271800064</v>
      </c>
      <c r="FM232" s="41">
        <v>1106008.2270068659</v>
      </c>
      <c r="FN232" s="41">
        <v>978940.65414091514</v>
      </c>
      <c r="FO232" s="41">
        <v>960390.70758482651</v>
      </c>
      <c r="FP232" s="41">
        <v>775847.86963662016</v>
      </c>
      <c r="FQ232" s="41">
        <v>1487086.8165227156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49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851162.27</v>
      </c>
      <c r="FG233" s="445">
        <v>1041125.3899999999</v>
      </c>
      <c r="FH233" s="445">
        <v>1066481.8799999999</v>
      </c>
      <c r="FI233" s="445">
        <v>1290371.49</v>
      </c>
      <c r="FJ233" s="445">
        <v>1208813.17</v>
      </c>
      <c r="FK233" s="445">
        <v>1252534.6599999999</v>
      </c>
      <c r="FL233" s="445">
        <v>1795731.4641523927</v>
      </c>
      <c r="FM233" s="445">
        <v>1701456.5372229549</v>
      </c>
      <c r="FN233" s="445">
        <v>1388736.0694359436</v>
      </c>
      <c r="FO233" s="445">
        <v>1341528.8515351652</v>
      </c>
      <c r="FP233" s="445">
        <v>1134405.6022195939</v>
      </c>
      <c r="FQ233" s="445">
        <v>1246141.5409339513</v>
      </c>
    </row>
    <row r="234" spans="1:174">
      <c r="D234" s="74" t="str">
        <f t="shared" si="19"/>
        <v>7131p</v>
      </c>
      <c r="E234" s="78" t="s">
        <v>51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649124.48</v>
      </c>
      <c r="FG234" s="41">
        <v>818776.7</v>
      </c>
      <c r="FH234" s="41">
        <v>802029.06</v>
      </c>
      <c r="FI234" s="41">
        <v>949723.87</v>
      </c>
      <c r="FJ234" s="41">
        <v>855493.95</v>
      </c>
      <c r="FK234" s="41">
        <v>789796.19</v>
      </c>
      <c r="FL234" s="41">
        <v>984551.17228491185</v>
      </c>
      <c r="FM234" s="41">
        <v>853416.19822953595</v>
      </c>
      <c r="FN234" s="41">
        <v>738178.48497195612</v>
      </c>
      <c r="FO234" s="41">
        <v>784155.59545054846</v>
      </c>
      <c r="FP234" s="41">
        <v>651585.7245731533</v>
      </c>
      <c r="FQ234" s="41">
        <v>736653.25028989522</v>
      </c>
    </row>
    <row r="235" spans="1:174">
      <c r="D235" s="74" t="str">
        <f t="shared" si="19"/>
        <v>7132p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64695</v>
      </c>
      <c r="FG235" s="41">
        <v>85955.36</v>
      </c>
      <c r="FH235" s="41">
        <v>106907.98</v>
      </c>
      <c r="FI235" s="41">
        <v>128950.69</v>
      </c>
      <c r="FJ235" s="41">
        <v>89857.44</v>
      </c>
      <c r="FK235" s="41">
        <v>90814.91</v>
      </c>
      <c r="FL235" s="41">
        <v>134342.02832402792</v>
      </c>
      <c r="FM235" s="41">
        <v>96531.805736688621</v>
      </c>
      <c r="FN235" s="41">
        <v>116877.46348794091</v>
      </c>
      <c r="FO235" s="41">
        <v>123515.88313536895</v>
      </c>
      <c r="FP235" s="41">
        <v>136136.09683521438</v>
      </c>
      <c r="FQ235" s="41">
        <v>158708.71988075945</v>
      </c>
    </row>
    <row r="236" spans="1:174">
      <c r="D236" s="74" t="str">
        <f t="shared" si="19"/>
        <v>7133p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24775.52</v>
      </c>
      <c r="FG236" s="41">
        <v>28443.63</v>
      </c>
      <c r="FH236" s="41">
        <v>40268.589999999997</v>
      </c>
      <c r="FI236" s="41">
        <v>55742.67</v>
      </c>
      <c r="FJ236" s="41">
        <v>91165.22</v>
      </c>
      <c r="FK236" s="41">
        <v>178796.84</v>
      </c>
      <c r="FL236" s="41">
        <v>363731.36010368419</v>
      </c>
      <c r="FM236" s="41">
        <v>436758.62530417839</v>
      </c>
      <c r="FN236" s="41">
        <v>242124.49155094678</v>
      </c>
      <c r="FO236" s="41">
        <v>124295.83034558724</v>
      </c>
      <c r="FP236" s="41">
        <v>81230.494036135831</v>
      </c>
      <c r="FQ236" s="41">
        <v>33134.750159467534</v>
      </c>
    </row>
    <row r="237" spans="1:174">
      <c r="D237" s="74" t="str">
        <f t="shared" ref="D237:D268" si="26">+CONCATENATE(D27,"p")</f>
        <v>7136p</v>
      </c>
      <c r="E237" s="78" t="s">
        <v>61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112567.27</v>
      </c>
      <c r="FG237" s="41">
        <v>107949.7</v>
      </c>
      <c r="FH237" s="41">
        <v>117276.25</v>
      </c>
      <c r="FI237" s="41">
        <v>155954.26</v>
      </c>
      <c r="FJ237" s="41">
        <v>172296.56</v>
      </c>
      <c r="FK237" s="41">
        <v>193126.72</v>
      </c>
      <c r="FL237" s="41">
        <v>313106.90343976865</v>
      </c>
      <c r="FM237" s="41">
        <v>314749.90795255185</v>
      </c>
      <c r="FN237" s="41">
        <v>291555.62942509988</v>
      </c>
      <c r="FO237" s="41">
        <v>309561.54260366061</v>
      </c>
      <c r="FP237" s="41">
        <v>265453.28677509038</v>
      </c>
      <c r="FQ237" s="41">
        <v>317644.82060382888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63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2315003.25</v>
      </c>
      <c r="FG238" s="445">
        <v>1541397.86</v>
      </c>
      <c r="FH238" s="445">
        <v>2408517.5</v>
      </c>
      <c r="FI238" s="445">
        <v>3310133.38</v>
      </c>
      <c r="FJ238" s="445">
        <v>1792591.2</v>
      </c>
      <c r="FK238" s="445">
        <v>2081141.31</v>
      </c>
      <c r="FL238" s="445">
        <v>3811615.3822946725</v>
      </c>
      <c r="FM238" s="445">
        <v>2369139.8885664819</v>
      </c>
      <c r="FN238" s="445">
        <v>2509036.584840606</v>
      </c>
      <c r="FO238" s="445">
        <v>3286740.3746407013</v>
      </c>
      <c r="FP238" s="445">
        <v>2611990.4957672656</v>
      </c>
      <c r="FQ238" s="445">
        <v>3353537.6354902741</v>
      </c>
      <c r="FR238" s="445"/>
    </row>
    <row r="239" spans="1:174" ht="30">
      <c r="D239" s="74" t="str">
        <f t="shared" si="26"/>
        <v>7141p</v>
      </c>
      <c r="E239" s="78" t="s">
        <v>65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5596.5</v>
      </c>
      <c r="FG239" s="41">
        <v>10696.96</v>
      </c>
      <c r="FH239" s="41">
        <v>76041.279999999999</v>
      </c>
      <c r="FI239" s="41">
        <v>41798.769999999997</v>
      </c>
      <c r="FJ239" s="41">
        <v>88788.45</v>
      </c>
      <c r="FK239" s="41">
        <v>110473.68</v>
      </c>
      <c r="FL239" s="41">
        <v>109565.42037740815</v>
      </c>
      <c r="FM239" s="41">
        <v>124419.69208754679</v>
      </c>
      <c r="FN239" s="41">
        <v>85243.991563833144</v>
      </c>
      <c r="FO239" s="41">
        <v>60882.669422327868</v>
      </c>
      <c r="FP239" s="41">
        <v>95379.222478132157</v>
      </c>
      <c r="FQ239" s="41">
        <v>157547.37047075186</v>
      </c>
    </row>
    <row r="240" spans="1:174" ht="30">
      <c r="D240" s="74" t="str">
        <f t="shared" si="26"/>
        <v>7142p</v>
      </c>
      <c r="E240" s="78" t="s">
        <v>67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111165.46</v>
      </c>
      <c r="FG240" s="41">
        <v>101009.27</v>
      </c>
      <c r="FH240" s="41">
        <v>694197.59</v>
      </c>
      <c r="FI240" s="41">
        <v>315889.09000000003</v>
      </c>
      <c r="FJ240" s="41">
        <v>290980.86</v>
      </c>
      <c r="FK240" s="41">
        <v>135939.44</v>
      </c>
      <c r="FL240" s="41">
        <v>452053.82607907202</v>
      </c>
      <c r="FM240" s="41">
        <v>424603.35461978533</v>
      </c>
      <c r="FN240" s="41">
        <v>298337.42192308779</v>
      </c>
      <c r="FO240" s="41">
        <v>330273.50681300677</v>
      </c>
      <c r="FP240" s="41">
        <v>280701.63213949924</v>
      </c>
      <c r="FQ240" s="41">
        <v>1019182.998025549</v>
      </c>
    </row>
    <row r="241" spans="1:174">
      <c r="D241" s="74" t="str">
        <f t="shared" si="26"/>
        <v>7143p</v>
      </c>
      <c r="E241" s="78" t="s">
        <v>69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45324.14</v>
      </c>
      <c r="FG241" s="41">
        <v>46657.06</v>
      </c>
      <c r="FH241" s="41">
        <v>40888.620000000003</v>
      </c>
      <c r="FI241" s="41">
        <v>41064.94</v>
      </c>
      <c r="FJ241" s="41">
        <v>48239.28</v>
      </c>
      <c r="FK241" s="41">
        <v>41465.49</v>
      </c>
      <c r="FL241" s="41">
        <v>3829.6831968651454</v>
      </c>
      <c r="FM241" s="41">
        <v>1139.1263458106582</v>
      </c>
      <c r="FN241" s="41">
        <v>1590.8014385966756</v>
      </c>
      <c r="FO241" s="41">
        <v>39549.211171301606</v>
      </c>
      <c r="FP241" s="41">
        <v>24470.820853244768</v>
      </c>
      <c r="FQ241" s="41">
        <v>31293.971394181102</v>
      </c>
    </row>
    <row r="242" spans="1:174" ht="30">
      <c r="D242" s="74" t="str">
        <f t="shared" si="26"/>
        <v>7144p</v>
      </c>
      <c r="E242" s="78" t="s">
        <v>71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654304.80000000005</v>
      </c>
      <c r="FG242" s="41">
        <v>660078.18000000005</v>
      </c>
      <c r="FH242" s="41">
        <v>634606.16</v>
      </c>
      <c r="FI242" s="41">
        <v>1775211.97</v>
      </c>
      <c r="FJ242" s="41">
        <v>687337.58</v>
      </c>
      <c r="FK242" s="41">
        <v>695892.2</v>
      </c>
      <c r="FL242" s="41">
        <v>963999.18196154176</v>
      </c>
      <c r="FM242" s="41">
        <v>816976.60377219575</v>
      </c>
      <c r="FN242" s="41">
        <v>918213.34360661427</v>
      </c>
      <c r="FO242" s="41">
        <v>944800.52110534231</v>
      </c>
      <c r="FP242" s="41">
        <v>826436.47532958095</v>
      </c>
      <c r="FQ242" s="41">
        <v>903868.87682472612</v>
      </c>
    </row>
    <row r="243" spans="1:174">
      <c r="D243" s="74" t="str">
        <f t="shared" si="26"/>
        <v>7148p</v>
      </c>
      <c r="E243" s="78" t="s">
        <v>79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106207.67</v>
      </c>
      <c r="FG243" s="41">
        <v>203595.89</v>
      </c>
      <c r="FH243" s="41">
        <v>241900.04</v>
      </c>
      <c r="FI243" s="41">
        <v>248172.78</v>
      </c>
      <c r="FJ243" s="41">
        <v>300826.94</v>
      </c>
      <c r="FK243" s="41">
        <v>367688.93</v>
      </c>
      <c r="FL243" s="41">
        <v>437561.45783439319</v>
      </c>
      <c r="FM243" s="41">
        <v>373492.30937615345</v>
      </c>
      <c r="FN243" s="41">
        <v>267665.67148390395</v>
      </c>
      <c r="FO243" s="41">
        <v>283675.59637904644</v>
      </c>
      <c r="FP243" s="41">
        <v>240308.10538930705</v>
      </c>
      <c r="FQ243" s="41">
        <v>241438.34133719554</v>
      </c>
    </row>
    <row r="244" spans="1:174">
      <c r="D244" s="74" t="str">
        <f t="shared" si="26"/>
        <v>7149p</v>
      </c>
      <c r="E244" s="78" t="s">
        <v>81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1392404.68</v>
      </c>
      <c r="FG244" s="41">
        <v>519360.5</v>
      </c>
      <c r="FH244" s="41">
        <v>720883.81</v>
      </c>
      <c r="FI244" s="41">
        <v>887995.83</v>
      </c>
      <c r="FJ244" s="41">
        <v>376418.09</v>
      </c>
      <c r="FK244" s="41">
        <v>729681.57</v>
      </c>
      <c r="FL244" s="41">
        <v>1844605.8128453919</v>
      </c>
      <c r="FM244" s="41">
        <v>628508.80236498977</v>
      </c>
      <c r="FN244" s="41">
        <v>937985.35482457001</v>
      </c>
      <c r="FO244" s="41">
        <v>1627558.8697496764</v>
      </c>
      <c r="FP244" s="41">
        <v>1144694.2395775015</v>
      </c>
      <c r="FQ244" s="41">
        <v>1000206.07743787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83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1567288.04</v>
      </c>
      <c r="FG245" s="445">
        <v>2199531.1</v>
      </c>
      <c r="FH245" s="445">
        <v>3194097.81</v>
      </c>
      <c r="FI245" s="445">
        <v>2385711.15</v>
      </c>
      <c r="FJ245" s="445">
        <v>7159438.3900000006</v>
      </c>
      <c r="FK245" s="445">
        <v>3263135.44</v>
      </c>
      <c r="FL245" s="445">
        <v>3782335.0282840966</v>
      </c>
      <c r="FM245" s="445">
        <v>3340173.0404689522</v>
      </c>
      <c r="FN245" s="445">
        <f>37689732.0664406-35000000</f>
        <v>2689732.0664405972</v>
      </c>
      <c r="FO245" s="445">
        <f>2215962.80977053+35000000</f>
        <v>37215962.809770532</v>
      </c>
      <c r="FP245" s="445">
        <v>3512092.3071244648</v>
      </c>
      <c r="FQ245" s="445">
        <v>7138953.7303113183</v>
      </c>
      <c r="FR245" s="445"/>
    </row>
    <row r="246" spans="1:174">
      <c r="D246" s="74" t="str">
        <f t="shared" si="26"/>
        <v>7151p</v>
      </c>
      <c r="E246" s="78" t="s">
        <v>85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319074</v>
      </c>
      <c r="FG246" s="41">
        <v>248883.21</v>
      </c>
      <c r="FH246" s="41">
        <v>186917.08</v>
      </c>
      <c r="FI246" s="41">
        <v>63899.67</v>
      </c>
      <c r="FJ246" s="41">
        <v>3605086.71</v>
      </c>
      <c r="FK246" s="41">
        <v>707894.38</v>
      </c>
      <c r="FL246" s="41">
        <v>69107.90889139846</v>
      </c>
      <c r="FM246" s="41">
        <v>21215.989032920785</v>
      </c>
      <c r="FN246" s="41">
        <f>35641038.6596607-35000000</f>
        <v>641038.65966069698</v>
      </c>
      <c r="FO246" s="41">
        <f>29471.3771226292+35000000</f>
        <v>35029471.377122626</v>
      </c>
      <c r="FP246" s="41">
        <v>82517.189184354618</v>
      </c>
      <c r="FQ246" s="41">
        <v>4275778.4187080413</v>
      </c>
    </row>
    <row r="247" spans="1:174" ht="30">
      <c r="D247" s="74" t="str">
        <f t="shared" si="26"/>
        <v>7152p</v>
      </c>
      <c r="E247" s="78" t="s">
        <v>87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609800.16</v>
      </c>
      <c r="FG247" s="41">
        <v>943704.64</v>
      </c>
      <c r="FH247" s="41">
        <v>1029233.16</v>
      </c>
      <c r="FI247" s="41">
        <v>1018399.18</v>
      </c>
      <c r="FJ247" s="41">
        <v>1673986.28</v>
      </c>
      <c r="FK247" s="41">
        <v>1387978.01</v>
      </c>
      <c r="FL247" s="41">
        <v>1602217.3229380359</v>
      </c>
      <c r="FM247" s="41">
        <v>1482892.3832058141</v>
      </c>
      <c r="FN247" s="41">
        <v>873947.35952687939</v>
      </c>
      <c r="FO247" s="41">
        <v>916958.58916879038</v>
      </c>
      <c r="FP247" s="41">
        <v>740793.46413466823</v>
      </c>
      <c r="FQ247" s="41">
        <v>923598.4442258128</v>
      </c>
    </row>
    <row r="248" spans="1:174" ht="30">
      <c r="D248" s="74" t="str">
        <f t="shared" si="26"/>
        <v>7153p</v>
      </c>
      <c r="E248" s="78" t="s">
        <v>89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164019.29</v>
      </c>
      <c r="FG248" s="41">
        <v>247340.36</v>
      </c>
      <c r="FH248" s="41">
        <v>328409.52</v>
      </c>
      <c r="FI248" s="41">
        <v>261152.7</v>
      </c>
      <c r="FJ248" s="41">
        <v>230706.4</v>
      </c>
      <c r="FK248" s="41">
        <v>289255.07</v>
      </c>
      <c r="FL248" s="41">
        <v>467099.66567019705</v>
      </c>
      <c r="FM248" s="41">
        <v>259070.77173300716</v>
      </c>
      <c r="FN248" s="41">
        <v>301266.9436190718</v>
      </c>
      <c r="FO248" s="41">
        <v>321644.39806882903</v>
      </c>
      <c r="FP248" s="41">
        <v>283758.85796158406</v>
      </c>
      <c r="FQ248" s="41">
        <v>301622.23954731086</v>
      </c>
    </row>
    <row r="249" spans="1:174">
      <c r="D249" s="74" t="str">
        <f t="shared" si="26"/>
        <v>7155p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474394.59</v>
      </c>
      <c r="FG249" s="41">
        <v>759602.89</v>
      </c>
      <c r="FH249" s="41">
        <v>1649538.05</v>
      </c>
      <c r="FI249" s="41">
        <v>1042259.6</v>
      </c>
      <c r="FJ249" s="41">
        <v>1649659</v>
      </c>
      <c r="FK249" s="41">
        <v>878007.98</v>
      </c>
      <c r="FL249" s="41">
        <v>1643910.130784465</v>
      </c>
      <c r="FM249" s="41">
        <v>1576993.8964972103</v>
      </c>
      <c r="FN249" s="41">
        <v>873479.10363403056</v>
      </c>
      <c r="FO249" s="41">
        <v>947888.4454102806</v>
      </c>
      <c r="FP249" s="41">
        <v>2405022.7958438578</v>
      </c>
      <c r="FQ249" s="41">
        <v>1637954.6278301545</v>
      </c>
    </row>
    <row r="250" spans="1:174" s="9" customFormat="1">
      <c r="A250" s="139"/>
      <c r="B250" s="139">
        <v>72</v>
      </c>
      <c r="C250" s="139" t="s">
        <v>94</v>
      </c>
      <c r="D250" s="139" t="str">
        <f t="shared" si="26"/>
        <v>72p</v>
      </c>
      <c r="E250" s="140" t="s">
        <v>95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99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101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69158.880000000005</v>
      </c>
      <c r="FG253" s="9">
        <v>378338.04</v>
      </c>
      <c r="FH253" s="9">
        <v>257172.98</v>
      </c>
      <c r="FI253" s="9">
        <v>349238.34</v>
      </c>
      <c r="FJ253" s="9">
        <v>808656.23</v>
      </c>
      <c r="FK253" s="9">
        <v>1298753.81</v>
      </c>
      <c r="FL253" s="9">
        <v>142080.0960214606</v>
      </c>
      <c r="FM253" s="9">
        <v>117083.56784272524</v>
      </c>
      <c r="FN253" s="9">
        <v>723504.94882674748</v>
      </c>
      <c r="FO253" s="9">
        <v>419152.39381785714</v>
      </c>
      <c r="FP253" s="9">
        <v>3373987.8037220733</v>
      </c>
      <c r="FQ253" s="9">
        <v>574536.91176913551</v>
      </c>
    </row>
    <row r="254" spans="1:174">
      <c r="B254" s="74" t="s">
        <v>94</v>
      </c>
      <c r="C254" s="74">
        <v>731</v>
      </c>
      <c r="D254" s="74" t="str">
        <f t="shared" si="26"/>
        <v>7311p</v>
      </c>
      <c r="E254" s="78" t="s">
        <v>103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69158.880000000005</v>
      </c>
      <c r="FG254" s="41">
        <v>378338.04</v>
      </c>
      <c r="FH254" s="41">
        <v>257172.98</v>
      </c>
      <c r="FI254" s="41">
        <v>349238.34</v>
      </c>
      <c r="FJ254" s="41">
        <v>808656.23</v>
      </c>
      <c r="FK254" s="41">
        <v>1298753.81</v>
      </c>
      <c r="FL254" s="41">
        <v>142080.0960214606</v>
      </c>
      <c r="FM254" s="41">
        <v>117083.56784272524</v>
      </c>
      <c r="FN254" s="41">
        <v>723504.94882674748</v>
      </c>
      <c r="FO254" s="41">
        <v>419152.39381785714</v>
      </c>
      <c r="FP254" s="41">
        <v>3373987.8037220733</v>
      </c>
      <c r="FQ254" s="41">
        <v>574536.91176913551</v>
      </c>
    </row>
    <row r="255" spans="1:174" ht="30">
      <c r="C255" s="74">
        <v>732</v>
      </c>
      <c r="D255" s="74" t="str">
        <f t="shared" si="26"/>
        <v>7321p</v>
      </c>
      <c r="E255" s="78" t="s">
        <v>105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94</v>
      </c>
      <c r="D256" s="139" t="str">
        <f t="shared" si="26"/>
        <v>74p</v>
      </c>
      <c r="E256" s="140" t="s">
        <v>107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13526711.25</v>
      </c>
      <c r="FG256" s="9">
        <v>1001055.74</v>
      </c>
      <c r="FH256" s="9">
        <v>861265.77</v>
      </c>
      <c r="FI256" s="9">
        <v>627154.51</v>
      </c>
      <c r="FJ256" s="9">
        <v>1388870.5</v>
      </c>
      <c r="FK256" s="9">
        <v>827810.06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9532777.6842971519</v>
      </c>
    </row>
    <row r="257" spans="1:174">
      <c r="C257" s="74">
        <v>741</v>
      </c>
      <c r="D257" s="74" t="str">
        <f t="shared" si="26"/>
        <v>7411p</v>
      </c>
      <c r="E257" s="78" t="s">
        <v>109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13526711.25</v>
      </c>
      <c r="FG257" s="41">
        <v>1001055.74</v>
      </c>
      <c r="FH257" s="41">
        <v>861265.77</v>
      </c>
      <c r="FI257" s="41">
        <v>627154.51</v>
      </c>
      <c r="FJ257" s="41">
        <v>1388870.5</v>
      </c>
      <c r="FK257" s="41">
        <v>827810.06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9532777.6842971519</v>
      </c>
    </row>
    <row r="258" spans="1:174">
      <c r="C258" s="74">
        <v>742</v>
      </c>
      <c r="D258" s="74" t="str">
        <f t="shared" si="26"/>
        <v>7421p</v>
      </c>
      <c r="E258" s="78" t="s">
        <v>111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113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115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13983087.501553783</v>
      </c>
    </row>
    <row r="261" spans="1:174" ht="30">
      <c r="D261" s="74" t="str">
        <f t="shared" si="26"/>
        <v>7511p</v>
      </c>
      <c r="E261" s="78" t="s">
        <v>116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118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13983087.501553783</v>
      </c>
    </row>
    <row r="263" spans="1:174">
      <c r="A263" s="74">
        <v>4</v>
      </c>
      <c r="B263" s="74" t="s">
        <v>94</v>
      </c>
      <c r="D263" s="74" t="str">
        <f t="shared" si="26"/>
        <v>p</v>
      </c>
      <c r="E263" s="78" t="s">
        <v>120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94</v>
      </c>
      <c r="B264" s="74">
        <v>41</v>
      </c>
      <c r="D264" s="74" t="str">
        <f t="shared" si="26"/>
        <v>41p</v>
      </c>
      <c r="E264" s="78" t="s">
        <v>122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124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38858179.001666702</v>
      </c>
      <c r="FR265" s="403">
        <v>472059398.15000004</v>
      </c>
    </row>
    <row r="266" spans="1:174">
      <c r="D266" s="74" t="str">
        <f t="shared" si="26"/>
        <v>4111p</v>
      </c>
      <c r="E266" s="78" t="s">
        <v>126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128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129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135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1240174.31083333</v>
      </c>
      <c r="FR271" s="403">
        <v>15072625.449999999</v>
      </c>
    </row>
    <row r="272" spans="1:174">
      <c r="D272" s="74" t="str">
        <f t="shared" si="41"/>
        <v>4121p</v>
      </c>
      <c r="E272" s="78" t="s">
        <v>137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139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147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81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150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152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154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156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158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160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162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164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5059087.2374999989</v>
      </c>
      <c r="FM286" s="403">
        <v>5071091.2374999989</v>
      </c>
      <c r="FN286" s="403">
        <v>5175886.7374999989</v>
      </c>
      <c r="FO286" s="403">
        <v>5062253.3274999987</v>
      </c>
      <c r="FP286" s="403">
        <v>5061881.6574999988</v>
      </c>
      <c r="FQ286" s="403">
        <v>5000451.0074999994</v>
      </c>
      <c r="FR286" s="403">
        <v>63045731.57</v>
      </c>
    </row>
    <row r="287" spans="1:174">
      <c r="D287" s="74" t="str">
        <f t="shared" si="41"/>
        <v>4141p</v>
      </c>
      <c r="E287" s="78" t="s">
        <v>166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168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176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178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184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188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192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196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198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204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206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208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210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214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4122049.5508333351</v>
      </c>
      <c r="FM311" s="403">
        <v>3027649.6708333334</v>
      </c>
      <c r="FN311" s="403">
        <v>2986649.6408333336</v>
      </c>
      <c r="FO311" s="403">
        <v>2977759.6208333336</v>
      </c>
      <c r="FP311" s="403">
        <v>3014504.6508333334</v>
      </c>
      <c r="FQ311" s="403">
        <v>2914612.7408333337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218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226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228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49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94</v>
      </c>
      <c r="D321" s="139" t="str">
        <f t="shared" si="57"/>
        <v>p</v>
      </c>
      <c r="E321" s="140" t="s">
        <v>232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47329512.010000005</v>
      </c>
      <c r="FP321" s="403">
        <v>47329512.010000005</v>
      </c>
      <c r="FQ321" s="403">
        <v>47329512.010000005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234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94</v>
      </c>
      <c r="D323" s="74" t="str">
        <f t="shared" si="57"/>
        <v>4211p</v>
      </c>
      <c r="E323" s="78" t="s">
        <v>236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238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248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250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2359394.0699999998</v>
      </c>
      <c r="FP330" s="403">
        <v>2359394.0699999998</v>
      </c>
      <c r="FQ330" s="403">
        <v>2359394.0699999998</v>
      </c>
      <c r="FR330" s="403">
        <v>14832382.369999997</v>
      </c>
    </row>
    <row r="331" spans="1:174">
      <c r="D331" s="74" t="str">
        <f t="shared" si="73"/>
        <v>4221p</v>
      </c>
      <c r="E331" s="78" t="s">
        <v>252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258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261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263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265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267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63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276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278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280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94</v>
      </c>
      <c r="B350" s="139">
        <v>43</v>
      </c>
      <c r="C350" s="139"/>
      <c r="D350" s="139" t="str">
        <f t="shared" si="73"/>
        <v>43p</v>
      </c>
      <c r="E350" s="140" t="s">
        <v>288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22848909.595000003</v>
      </c>
      <c r="FM350" s="403">
        <v>17972208.524999999</v>
      </c>
      <c r="FN350" s="403">
        <v>17992208.524999999</v>
      </c>
      <c r="FO350" s="403">
        <v>17923875.184999999</v>
      </c>
      <c r="FP350" s="403">
        <v>17866375.204999998</v>
      </c>
      <c r="FQ350" s="403">
        <v>18024758.024999999</v>
      </c>
      <c r="FR350" s="403">
        <v>208898534.95999995</v>
      </c>
    </row>
    <row r="351" spans="1:174" s="9" customFormat="1" ht="45">
      <c r="A351" s="139" t="s">
        <v>94</v>
      </c>
      <c r="B351" s="139" t="s">
        <v>94</v>
      </c>
      <c r="C351" s="139">
        <v>431</v>
      </c>
      <c r="D351" s="139" t="str">
        <f t="shared" si="73"/>
        <v>431p</v>
      </c>
      <c r="E351" s="140" t="s">
        <v>288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298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94</v>
      </c>
      <c r="B361" s="139" t="s">
        <v>94</v>
      </c>
      <c r="C361" s="139">
        <v>432</v>
      </c>
      <c r="D361" s="139" t="str">
        <f t="shared" si="73"/>
        <v>432p</v>
      </c>
      <c r="E361" s="140" t="s">
        <v>308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318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320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549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14243749.989999998</v>
      </c>
      <c r="FQ368" s="403">
        <v>14243750.109999999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420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5014205.3275000015</v>
      </c>
      <c r="FM369" s="403">
        <v>4967667.1475000018</v>
      </c>
      <c r="FN369" s="403">
        <v>4972709.1475000018</v>
      </c>
      <c r="FO369" s="403">
        <v>4947709.1475000018</v>
      </c>
      <c r="FP369" s="403">
        <v>4786209.1475000018</v>
      </c>
      <c r="FQ369" s="403">
        <v>4798442.6775000012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328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338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94</v>
      </c>
      <c r="B379" s="139">
        <v>45</v>
      </c>
      <c r="C379" s="139"/>
      <c r="D379" s="139" t="str">
        <f t="shared" si="95"/>
        <v>p</v>
      </c>
      <c r="E379" s="140" t="s">
        <v>342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115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348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94</v>
      </c>
      <c r="B386" s="139">
        <v>46</v>
      </c>
      <c r="C386" s="139"/>
      <c r="D386" s="139" t="str">
        <f t="shared" si="95"/>
        <v>p</v>
      </c>
      <c r="E386" s="140" t="s">
        <v>354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356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357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359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361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2253720.0299999998</v>
      </c>
      <c r="FG390" s="9">
        <v>0</v>
      </c>
      <c r="FH390" s="9">
        <v>7180952.3800000008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363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365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367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1533053.84</v>
      </c>
      <c r="FR393" s="403">
        <v>18530001</v>
      </c>
    </row>
    <row r="394" spans="1:174" s="9" customFormat="1">
      <c r="A394" s="139" t="s">
        <v>94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369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4650583.3333333302</v>
      </c>
      <c r="FM394" s="403">
        <v>1650583.3333333333</v>
      </c>
      <c r="FN394" s="403">
        <v>1650583.3333333333</v>
      </c>
      <c r="FO394" s="403">
        <v>2317250</v>
      </c>
      <c r="FP394" s="403">
        <v>2317250</v>
      </c>
      <c r="FQ394" s="403">
        <v>2317250</v>
      </c>
      <c r="FR394" s="403">
        <v>20000000</v>
      </c>
    </row>
    <row r="395" spans="1:174">
      <c r="A395" s="74" t="s">
        <v>94</v>
      </c>
      <c r="B395" s="74" t="s">
        <v>94</v>
      </c>
      <c r="C395" s="74">
        <v>471</v>
      </c>
      <c r="D395" s="74" t="str">
        <f t="shared" si="113"/>
        <v>4710p</v>
      </c>
      <c r="E395" s="78" t="s">
        <v>371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f>1650583.33333333+3000000</f>
        <v>4650583.3333333302</v>
      </c>
      <c r="FM395" s="446">
        <v>1650583.3333333333</v>
      </c>
      <c r="FN395" s="446">
        <v>1650583.3333333333</v>
      </c>
      <c r="FO395" s="446">
        <f>3317250-1000000</f>
        <v>2317250</v>
      </c>
      <c r="FP395" s="446">
        <f>3317250-1000000</f>
        <v>2317250</v>
      </c>
      <c r="FQ395" s="446">
        <f>3317250-1000000</f>
        <v>2317250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373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694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9" activePane="bottomLeft" state="frozen"/>
      <selection pane="bottomLeft" activeCell="F82" sqref="F82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689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792</v>
      </c>
      <c r="F8" s="34" t="s">
        <v>793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41"/>
      <c r="E11" s="11" t="s">
        <v>776</v>
      </c>
      <c r="F11" s="12" t="s">
        <v>777</v>
      </c>
      <c r="G11" s="52" t="str">
        <f t="shared" si="0"/>
        <v>Mjesečni podaci 2019</v>
      </c>
    </row>
    <row r="12" spans="2:7">
      <c r="D12" s="41"/>
      <c r="E12" s="11" t="s">
        <v>774</v>
      </c>
      <c r="F12" s="12" t="s">
        <v>775</v>
      </c>
      <c r="G12" s="52" t="str">
        <f t="shared" si="0"/>
        <v>Mjesečni podaci 2018</v>
      </c>
    </row>
    <row r="13" spans="2:7">
      <c r="D13" s="41"/>
      <c r="E13" s="11" t="s">
        <v>749</v>
      </c>
      <c r="F13" s="12" t="s">
        <v>750</v>
      </c>
      <c r="G13" s="52" t="str">
        <f t="shared" si="0"/>
        <v>Mjesečni podaci 2017</v>
      </c>
    </row>
    <row r="14" spans="2:7">
      <c r="D14" s="41"/>
      <c r="E14" s="11" t="s">
        <v>727</v>
      </c>
      <c r="F14" s="12" t="s">
        <v>728</v>
      </c>
      <c r="G14" s="52" t="str">
        <f t="shared" si="0"/>
        <v>Mjesečni podaci 2016</v>
      </c>
    </row>
    <row r="15" spans="2:7">
      <c r="E15" s="11" t="s">
        <v>698</v>
      </c>
      <c r="F15" s="12" t="s">
        <v>699</v>
      </c>
      <c r="G15" s="52" t="str">
        <f t="shared" si="0"/>
        <v>Mjesečni podaci 2015</v>
      </c>
    </row>
    <row r="16" spans="2:7">
      <c r="E16" s="11" t="s">
        <v>12</v>
      </c>
      <c r="F16" s="12" t="s">
        <v>13</v>
      </c>
      <c r="G16" s="52" t="str">
        <f t="shared" si="0"/>
        <v>Mjesečni podaci 2014</v>
      </c>
    </row>
    <row r="17" spans="2:7">
      <c r="E17" s="11" t="s">
        <v>14</v>
      </c>
      <c r="F17" s="12" t="s">
        <v>15</v>
      </c>
      <c r="G17" s="52" t="str">
        <f t="shared" si="0"/>
        <v>Mjesečni podaci 2013</v>
      </c>
    </row>
    <row r="18" spans="2:7">
      <c r="E18" s="11" t="s">
        <v>751</v>
      </c>
      <c r="F18" s="12" t="s">
        <v>752</v>
      </c>
      <c r="G18" s="52" t="str">
        <f t="shared" si="0"/>
        <v>Mjesečni podaci 2012</v>
      </c>
    </row>
    <row r="19" spans="2:7">
      <c r="E19" s="11" t="s">
        <v>753</v>
      </c>
      <c r="F19" s="12" t="s">
        <v>754</v>
      </c>
      <c r="G19" s="52" t="str">
        <f t="shared" si="0"/>
        <v>Mjesečni podaci 2011</v>
      </c>
    </row>
    <row r="20" spans="2:7">
      <c r="E20" s="11" t="s">
        <v>16</v>
      </c>
      <c r="F20" s="12" t="s">
        <v>407</v>
      </c>
      <c r="G20" s="52" t="str">
        <f t="shared" si="0"/>
        <v>Istorijski podaci, od 2006</v>
      </c>
    </row>
    <row r="21" spans="2:7">
      <c r="E21" s="11" t="s">
        <v>17</v>
      </c>
      <c r="F21" s="12" t="s">
        <v>18</v>
      </c>
      <c r="G21" s="52" t="str">
        <f t="shared" si="0"/>
        <v>Javni dug</v>
      </c>
    </row>
    <row r="22" spans="2:7">
      <c r="E22" s="11" t="s">
        <v>414</v>
      </c>
      <c r="F22" s="12" t="s">
        <v>414</v>
      </c>
      <c r="G22" s="52" t="str">
        <f t="shared" si="0"/>
        <v>Plan</v>
      </c>
    </row>
    <row r="23" spans="2:7">
      <c r="E23" s="11" t="s">
        <v>415</v>
      </c>
      <c r="F23" s="12" t="s">
        <v>416</v>
      </c>
      <c r="G23" s="52" t="str">
        <f t="shared" si="0"/>
        <v>Ostvarenje</v>
      </c>
    </row>
    <row r="24" spans="2:7">
      <c r="D24" s="43"/>
      <c r="E24" s="33" t="s">
        <v>417</v>
      </c>
      <c r="F24" s="34" t="s">
        <v>418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690</v>
      </c>
      <c r="F27" s="16" t="s">
        <v>20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21</v>
      </c>
      <c r="F28" s="16" t="s">
        <v>22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23</v>
      </c>
      <c r="F29" s="19" t="s">
        <v>24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25</v>
      </c>
      <c r="F30" s="22" t="s">
        <v>26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27</v>
      </c>
      <c r="F31" s="22" t="s">
        <v>28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29</v>
      </c>
      <c r="F32" s="22" t="s">
        <v>30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31</v>
      </c>
      <c r="F33" s="22" t="s">
        <v>32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33</v>
      </c>
      <c r="F34" s="22" t="s">
        <v>34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35</v>
      </c>
      <c r="F35" s="22" t="s">
        <v>36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733</v>
      </c>
      <c r="F37" s="22" t="s">
        <v>38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39</v>
      </c>
      <c r="F38" s="19" t="s">
        <v>40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41</v>
      </c>
      <c r="F39" s="22" t="s">
        <v>42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43</v>
      </c>
      <c r="F40" s="22" t="s">
        <v>44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45</v>
      </c>
      <c r="F41" s="22" t="s">
        <v>46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47</v>
      </c>
      <c r="F42" s="22" t="s">
        <v>48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49</v>
      </c>
      <c r="F43" s="19" t="s">
        <v>50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51</v>
      </c>
      <c r="F44" s="22" t="s">
        <v>52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53</v>
      </c>
      <c r="F45" s="22" t="s">
        <v>54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55</v>
      </c>
      <c r="F46" s="22" t="s">
        <v>56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57</v>
      </c>
      <c r="F47" s="22" t="s">
        <v>58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59</v>
      </c>
      <c r="F48" s="22" t="s">
        <v>60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61</v>
      </c>
      <c r="F49" s="22" t="s">
        <v>62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63</v>
      </c>
      <c r="F50" s="19" t="s">
        <v>64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65</v>
      </c>
      <c r="F51" s="22" t="s">
        <v>66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67</v>
      </c>
      <c r="F52" s="22" t="s">
        <v>68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69</v>
      </c>
      <c r="F53" s="22" t="s">
        <v>70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71</v>
      </c>
      <c r="F54" s="22" t="s">
        <v>72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73</v>
      </c>
      <c r="F55" s="22" t="s">
        <v>74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75</v>
      </c>
      <c r="F56" s="22" t="s">
        <v>76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77</v>
      </c>
      <c r="F57" s="22" t="s">
        <v>78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79</v>
      </c>
      <c r="F58" s="22" t="s">
        <v>80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81</v>
      </c>
      <c r="F59" s="22" t="s">
        <v>82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83</v>
      </c>
      <c r="F60" s="19" t="s">
        <v>84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85</v>
      </c>
      <c r="F61" s="22" t="s">
        <v>86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87</v>
      </c>
      <c r="F62" s="22" t="s">
        <v>88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89</v>
      </c>
      <c r="F63" s="22" t="s">
        <v>90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91</v>
      </c>
      <c r="F64" s="22" t="s">
        <v>92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83</v>
      </c>
      <c r="F65" s="22" t="s">
        <v>93</v>
      </c>
      <c r="G65" s="52" t="str">
        <f t="shared" si="0"/>
        <v>Ostali prihodi</v>
      </c>
    </row>
    <row r="66" spans="2:7">
      <c r="B66" s="20"/>
      <c r="C66" s="45" t="s">
        <v>94</v>
      </c>
      <c r="D66" s="45">
        <v>72</v>
      </c>
      <c r="E66" s="23" t="s">
        <v>95</v>
      </c>
      <c r="F66" s="16" t="s">
        <v>96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97</v>
      </c>
      <c r="F67" s="22" t="s">
        <v>98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99</v>
      </c>
      <c r="F68" s="22" t="s">
        <v>100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101</v>
      </c>
      <c r="F69" s="16" t="s">
        <v>102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103</v>
      </c>
      <c r="F70" s="22" t="s">
        <v>104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105</v>
      </c>
      <c r="F71" s="22" t="s">
        <v>106</v>
      </c>
      <c r="G71" s="52" t="str">
        <f t="shared" si="0"/>
        <v>Sredstva prenesena iz prethodne godine</v>
      </c>
    </row>
    <row r="72" spans="2:7">
      <c r="B72" s="20"/>
      <c r="C72" s="45" t="s">
        <v>94</v>
      </c>
      <c r="D72" s="45">
        <v>74</v>
      </c>
      <c r="E72" s="23" t="s">
        <v>107</v>
      </c>
      <c r="F72" s="16" t="s">
        <v>108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109</v>
      </c>
      <c r="F73" s="22" t="s">
        <v>110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111</v>
      </c>
      <c r="F74" s="22" t="s">
        <v>112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113</v>
      </c>
      <c r="F75" s="16" t="s">
        <v>114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115</v>
      </c>
      <c r="F76" s="19" t="s">
        <v>114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116</v>
      </c>
      <c r="F77" s="22" t="s">
        <v>117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118</v>
      </c>
      <c r="F78" s="62" t="s">
        <v>119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771</v>
      </c>
      <c r="F79" s="16" t="s">
        <v>121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796</v>
      </c>
      <c r="F80" s="16" t="s">
        <v>797</v>
      </c>
      <c r="G80" s="52" t="str">
        <f t="shared" si="1"/>
        <v>Tekuća budžetska potrošnja</v>
      </c>
    </row>
    <row r="81" spans="2:7">
      <c r="B81" s="13"/>
      <c r="C81" s="44"/>
      <c r="D81" s="44">
        <v>41</v>
      </c>
      <c r="E81" s="15" t="s">
        <v>122</v>
      </c>
      <c r="F81" s="16" t="s">
        <v>123</v>
      </c>
      <c r="G81" s="52" t="str">
        <f t="shared" si="1"/>
        <v>Tekući izdaci</v>
      </c>
    </row>
    <row r="82" spans="2:7">
      <c r="B82" s="14" t="s">
        <v>94</v>
      </c>
      <c r="C82" s="46"/>
      <c r="D82" s="44">
        <v>411</v>
      </c>
      <c r="E82" s="18" t="s">
        <v>124</v>
      </c>
      <c r="F82" s="19" t="s">
        <v>125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126</v>
      </c>
      <c r="F83" s="22" t="s">
        <v>127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128</v>
      </c>
      <c r="F84" s="22" t="s">
        <v>26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129</v>
      </c>
      <c r="F85" s="22" t="s">
        <v>130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131</v>
      </c>
      <c r="F86" s="22" t="s">
        <v>132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133</v>
      </c>
      <c r="F87" s="22" t="s">
        <v>134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135</v>
      </c>
      <c r="F88" s="19" t="s">
        <v>136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137</v>
      </c>
      <c r="F89" s="22" t="s">
        <v>138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139</v>
      </c>
      <c r="F90" s="22" t="s">
        <v>140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141</v>
      </c>
      <c r="F91" s="22" t="s">
        <v>142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143</v>
      </c>
      <c r="F92" s="22" t="s">
        <v>144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145</v>
      </c>
      <c r="F93" s="22" t="s">
        <v>146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147</v>
      </c>
      <c r="F94" s="22" t="s">
        <v>148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81</v>
      </c>
      <c r="F95" s="22" t="s">
        <v>149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730</v>
      </c>
      <c r="F96" s="22" t="s">
        <v>732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150</v>
      </c>
      <c r="F97" s="19" t="s">
        <v>151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152</v>
      </c>
      <c r="F98" s="22" t="s">
        <v>153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154</v>
      </c>
      <c r="F99" s="22" t="s">
        <v>155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156</v>
      </c>
      <c r="F100" s="22" t="s">
        <v>157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158</v>
      </c>
      <c r="F101" s="22" t="s">
        <v>159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160</v>
      </c>
      <c r="F102" s="22" t="s">
        <v>161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162</v>
      </c>
      <c r="F103" s="22" t="s">
        <v>163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164</v>
      </c>
      <c r="F104" s="19" t="s">
        <v>165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166</v>
      </c>
      <c r="F105" s="22" t="s">
        <v>167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168</v>
      </c>
      <c r="F106" s="22" t="s">
        <v>169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170</v>
      </c>
      <c r="F107" s="22" t="s">
        <v>171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172</v>
      </c>
      <c r="F108" s="22" t="s">
        <v>173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174</v>
      </c>
      <c r="F109" s="22" t="s">
        <v>175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176</v>
      </c>
      <c r="F110" s="22" t="s">
        <v>177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178</v>
      </c>
      <c r="F111" s="22" t="s">
        <v>179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180</v>
      </c>
      <c r="F112" s="22" t="s">
        <v>181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182</v>
      </c>
      <c r="F113" s="22" t="s">
        <v>183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184</v>
      </c>
      <c r="F114" s="19" t="s">
        <v>185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186</v>
      </c>
      <c r="F115" s="22" t="s">
        <v>187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188</v>
      </c>
      <c r="F116" s="22" t="s">
        <v>189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190</v>
      </c>
      <c r="F117" s="22" t="s">
        <v>191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192</v>
      </c>
      <c r="F118" s="19" t="s">
        <v>193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194</v>
      </c>
      <c r="F119" s="22" t="s">
        <v>195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196</v>
      </c>
      <c r="F120" s="22" t="s">
        <v>197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198</v>
      </c>
      <c r="F121" s="19" t="s">
        <v>199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200</v>
      </c>
      <c r="F122" s="22" t="s">
        <v>201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202</v>
      </c>
      <c r="F123" s="22" t="s">
        <v>203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204</v>
      </c>
      <c r="F124" s="22" t="s">
        <v>205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206</v>
      </c>
      <c r="F125" s="19" t="s">
        <v>207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208</v>
      </c>
      <c r="F126" s="22" t="s">
        <v>209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210</v>
      </c>
      <c r="F127" s="22" t="s">
        <v>211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212</v>
      </c>
      <c r="F128" s="22" t="s">
        <v>213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214</v>
      </c>
      <c r="F129" s="19" t="s">
        <v>215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216</v>
      </c>
      <c r="F130" s="22" t="s">
        <v>217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218</v>
      </c>
      <c r="F131" s="22" t="s">
        <v>219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220</v>
      </c>
      <c r="F132" s="22" t="s">
        <v>221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222</v>
      </c>
      <c r="F133" s="22" t="s">
        <v>223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224</v>
      </c>
      <c r="F134" s="22" t="s">
        <v>225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226</v>
      </c>
      <c r="F135" s="22" t="s">
        <v>227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228</v>
      </c>
      <c r="F136" s="22" t="s">
        <v>229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49</v>
      </c>
      <c r="F137" s="22" t="s">
        <v>64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230</v>
      </c>
      <c r="F138" s="22" t="s">
        <v>231</v>
      </c>
      <c r="G138" s="52" t="str">
        <f t="shared" si="1"/>
        <v>Ostalo</v>
      </c>
    </row>
    <row r="139" spans="2:7">
      <c r="B139" s="25"/>
      <c r="C139" s="44" t="s">
        <v>94</v>
      </c>
      <c r="D139" s="44">
        <v>42</v>
      </c>
      <c r="E139" s="15" t="s">
        <v>232</v>
      </c>
      <c r="F139" s="16" t="s">
        <v>233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234</v>
      </c>
      <c r="F140" s="19" t="s">
        <v>235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94</v>
      </c>
      <c r="D141" s="49">
        <v>4211</v>
      </c>
      <c r="E141" s="21" t="s">
        <v>236</v>
      </c>
      <c r="F141" s="22" t="s">
        <v>237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238</v>
      </c>
      <c r="F142" s="22" t="s">
        <v>239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240</v>
      </c>
      <c r="F143" s="22" t="s">
        <v>241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242</v>
      </c>
      <c r="F144" s="22" t="s">
        <v>243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244</v>
      </c>
      <c r="F145" s="22" t="s">
        <v>245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246</v>
      </c>
      <c r="F146" s="22" t="s">
        <v>247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248</v>
      </c>
      <c r="F147" s="22" t="s">
        <v>249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730</v>
      </c>
      <c r="F148" s="22" t="s">
        <v>731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250</v>
      </c>
      <c r="F149" s="19" t="s">
        <v>251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252</v>
      </c>
      <c r="F150" s="22" t="s">
        <v>253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254</v>
      </c>
      <c r="F151" s="22" t="s">
        <v>255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256</v>
      </c>
      <c r="F152" s="22" t="s">
        <v>257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258</v>
      </c>
      <c r="F153" s="22" t="s">
        <v>259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230</v>
      </c>
      <c r="F154" s="22" t="s">
        <v>260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261</v>
      </c>
      <c r="F155" s="19" t="s">
        <v>262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263</v>
      </c>
      <c r="F156" s="22" t="s">
        <v>264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265</v>
      </c>
      <c r="F157" s="22" t="s">
        <v>266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267</v>
      </c>
      <c r="F158" s="22" t="s">
        <v>268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63</v>
      </c>
      <c r="F159" s="22" t="s">
        <v>269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270</v>
      </c>
      <c r="F160" s="22" t="s">
        <v>271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272</v>
      </c>
      <c r="F161" s="22" t="s">
        <v>273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274</v>
      </c>
      <c r="F162" s="22" t="s">
        <v>275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276</v>
      </c>
      <c r="F163" s="19" t="s">
        <v>277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278</v>
      </c>
      <c r="F164" s="22" t="s">
        <v>279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280</v>
      </c>
      <c r="F165" s="19" t="s">
        <v>281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282</v>
      </c>
      <c r="F166" s="22" t="s">
        <v>283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284</v>
      </c>
      <c r="F167" s="22" t="s">
        <v>285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286</v>
      </c>
      <c r="F168" s="22" t="s">
        <v>287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288</v>
      </c>
      <c r="F169" s="16" t="s">
        <v>289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94</v>
      </c>
      <c r="C170" s="46"/>
      <c r="D170" s="44">
        <v>431</v>
      </c>
      <c r="E170" s="18" t="s">
        <v>288</v>
      </c>
      <c r="F170" s="19" t="s">
        <v>289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94</v>
      </c>
      <c r="C171" s="49"/>
      <c r="D171" s="49">
        <v>4311</v>
      </c>
      <c r="E171" s="21" t="s">
        <v>290</v>
      </c>
      <c r="F171" s="22" t="s">
        <v>291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292</v>
      </c>
      <c r="F172" s="22" t="s">
        <v>293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294</v>
      </c>
      <c r="F173" s="22" t="s">
        <v>295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296</v>
      </c>
      <c r="F174" s="22" t="s">
        <v>297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298</v>
      </c>
      <c r="F175" s="22" t="s">
        <v>299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300</v>
      </c>
      <c r="F176" s="22" t="s">
        <v>301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302</v>
      </c>
      <c r="F177" s="22" t="s">
        <v>303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304</v>
      </c>
      <c r="F178" s="22" t="s">
        <v>305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306</v>
      </c>
      <c r="F179" s="22" t="s">
        <v>307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308</v>
      </c>
      <c r="F180" s="19" t="s">
        <v>309</v>
      </c>
      <c r="G180" s="52" t="str">
        <f t="shared" si="2"/>
        <v xml:space="preserve">Ostali transferi </v>
      </c>
    </row>
    <row r="181" spans="2:7" ht="23.25">
      <c r="B181" s="14" t="s">
        <v>94</v>
      </c>
      <c r="C181" s="49"/>
      <c r="D181" s="49">
        <v>4321</v>
      </c>
      <c r="E181" s="21" t="s">
        <v>310</v>
      </c>
      <c r="F181" s="22" t="s">
        <v>311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312</v>
      </c>
      <c r="F182" s="22" t="s">
        <v>313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314</v>
      </c>
      <c r="F183" s="22" t="s">
        <v>315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316</v>
      </c>
      <c r="F184" s="22" t="s">
        <v>317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318</v>
      </c>
      <c r="F185" s="22" t="s">
        <v>319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320</v>
      </c>
      <c r="F186" s="22" t="s">
        <v>321</v>
      </c>
      <c r="G186" s="52" t="str">
        <f t="shared" si="2"/>
        <v>Transferi javnim preduzećima</v>
      </c>
    </row>
    <row r="187" spans="2:7">
      <c r="B187" s="25"/>
      <c r="C187" s="44" t="s">
        <v>94</v>
      </c>
      <c r="D187" s="44">
        <v>44</v>
      </c>
      <c r="E187" s="15" t="s">
        <v>549</v>
      </c>
      <c r="F187" s="16" t="s">
        <v>323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420</v>
      </c>
      <c r="F188" s="16" t="s">
        <v>421</v>
      </c>
      <c r="G188" s="52" t="str">
        <f t="shared" si="2"/>
        <v>Kapitalni izdaci u tekućem budžetu</v>
      </c>
    </row>
    <row r="189" spans="2:7">
      <c r="B189" s="14" t="s">
        <v>94</v>
      </c>
      <c r="C189" s="46"/>
      <c r="D189" s="44">
        <v>441</v>
      </c>
      <c r="E189" s="18" t="s">
        <v>322</v>
      </c>
      <c r="F189" s="19" t="s">
        <v>323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324</v>
      </c>
      <c r="F190" s="22" t="s">
        <v>325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326</v>
      </c>
      <c r="F191" s="22" t="s">
        <v>327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328</v>
      </c>
      <c r="F192" s="22" t="s">
        <v>329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330</v>
      </c>
      <c r="F193" s="22" t="s">
        <v>331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332</v>
      </c>
      <c r="F194" s="22" t="s">
        <v>333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334</v>
      </c>
      <c r="F195" s="22" t="s">
        <v>335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336</v>
      </c>
      <c r="F196" s="22" t="s">
        <v>337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338</v>
      </c>
      <c r="F197" s="22" t="s">
        <v>339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340</v>
      </c>
      <c r="F198" s="22" t="s">
        <v>341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342</v>
      </c>
      <c r="F199" s="16" t="s">
        <v>343</v>
      </c>
      <c r="G199" s="52" t="str">
        <f t="shared" si="2"/>
        <v>Krediti i pozajmice</v>
      </c>
    </row>
    <row r="200" spans="2:7">
      <c r="B200" s="14" t="s">
        <v>94</v>
      </c>
      <c r="C200" s="46"/>
      <c r="D200" s="44">
        <v>451</v>
      </c>
      <c r="E200" s="18" t="s">
        <v>115</v>
      </c>
      <c r="F200" s="19" t="s">
        <v>343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344</v>
      </c>
      <c r="F201" s="22" t="s">
        <v>345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346</v>
      </c>
      <c r="F202" s="22" t="s">
        <v>347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348</v>
      </c>
      <c r="F203" s="22" t="s">
        <v>349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350</v>
      </c>
      <c r="F204" s="22" t="s">
        <v>351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352</v>
      </c>
      <c r="F205" s="22" t="s">
        <v>353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354</v>
      </c>
      <c r="F206" s="16" t="s">
        <v>355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94</v>
      </c>
      <c r="C207" s="46"/>
      <c r="D207" s="44">
        <v>461</v>
      </c>
      <c r="E207" s="18" t="s">
        <v>356</v>
      </c>
      <c r="F207" s="19" t="s">
        <v>355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357</v>
      </c>
      <c r="F208" s="22" t="s">
        <v>358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359</v>
      </c>
      <c r="F209" s="22" t="s">
        <v>360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361</v>
      </c>
      <c r="F210" s="19" t="s">
        <v>362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363</v>
      </c>
      <c r="F211" s="22" t="s">
        <v>364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365</v>
      </c>
      <c r="F212" s="22" t="s">
        <v>366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367</v>
      </c>
      <c r="F213" s="19" t="s">
        <v>368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369</v>
      </c>
      <c r="F214" s="29" t="s">
        <v>370</v>
      </c>
      <c r="G214" s="52" t="str">
        <f t="shared" si="3"/>
        <v>Rezerve</v>
      </c>
    </row>
    <row r="215" spans="2:7">
      <c r="B215" s="14" t="s">
        <v>94</v>
      </c>
      <c r="C215" s="49">
        <v>471</v>
      </c>
      <c r="D215" s="49">
        <v>4710</v>
      </c>
      <c r="E215" s="30" t="s">
        <v>371</v>
      </c>
      <c r="F215" s="31" t="s">
        <v>372</v>
      </c>
      <c r="G215" s="52" t="str">
        <f t="shared" si="3"/>
        <v>Tekuća budžetska rezerva</v>
      </c>
    </row>
    <row r="216" spans="2:7">
      <c r="B216" s="25" t="s">
        <v>94</v>
      </c>
      <c r="C216" s="49">
        <v>472</v>
      </c>
      <c r="D216" s="49">
        <v>4720</v>
      </c>
      <c r="E216" s="30" t="s">
        <v>373</v>
      </c>
      <c r="F216" s="31" t="s">
        <v>374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375</v>
      </c>
      <c r="F217" s="36" t="s">
        <v>376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552</v>
      </c>
      <c r="F219" s="96" t="s">
        <v>553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554</v>
      </c>
      <c r="F220" s="96" t="s">
        <v>555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94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550</v>
      </c>
      <c r="F222" s="96" t="s">
        <v>556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551</v>
      </c>
      <c r="F223" s="96" t="s">
        <v>557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558</v>
      </c>
      <c r="F225" s="96" t="s">
        <v>559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694</v>
      </c>
      <c r="F227" s="96" t="s">
        <v>695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422</v>
      </c>
      <c r="D231" s="49">
        <v>1</v>
      </c>
      <c r="E231" s="9" t="s">
        <v>377</v>
      </c>
      <c r="F231" s="10" t="s">
        <v>378</v>
      </c>
      <c r="G231" s="52" t="str">
        <f t="shared" si="3"/>
        <v>Januar</v>
      </c>
    </row>
    <row r="232" spans="2:7">
      <c r="C232" s="41" t="s">
        <v>427</v>
      </c>
      <c r="D232" s="49">
        <v>2</v>
      </c>
      <c r="E232" s="9" t="s">
        <v>379</v>
      </c>
      <c r="F232" s="10" t="s">
        <v>380</v>
      </c>
      <c r="G232" s="52" t="str">
        <f t="shared" si="3"/>
        <v>Februar</v>
      </c>
    </row>
    <row r="233" spans="2:7">
      <c r="C233" s="41" t="s">
        <v>428</v>
      </c>
      <c r="D233" s="49">
        <v>3</v>
      </c>
      <c r="E233" s="9" t="s">
        <v>381</v>
      </c>
      <c r="F233" s="10" t="s">
        <v>382</v>
      </c>
      <c r="G233" s="52" t="str">
        <f t="shared" si="3"/>
        <v>Mart</v>
      </c>
    </row>
    <row r="234" spans="2:7">
      <c r="D234" s="49">
        <v>4</v>
      </c>
      <c r="E234" s="9" t="s">
        <v>383</v>
      </c>
      <c r="F234" s="10" t="s">
        <v>383</v>
      </c>
      <c r="G234" s="52" t="str">
        <f t="shared" si="3"/>
        <v>April</v>
      </c>
    </row>
    <row r="235" spans="2:7">
      <c r="D235" s="49">
        <v>5</v>
      </c>
      <c r="E235" s="9" t="s">
        <v>384</v>
      </c>
      <c r="F235" s="10" t="s">
        <v>385</v>
      </c>
      <c r="G235" s="52" t="str">
        <f t="shared" si="3"/>
        <v>Maj</v>
      </c>
    </row>
    <row r="236" spans="2:7">
      <c r="D236" s="49">
        <v>6</v>
      </c>
      <c r="E236" s="9" t="s">
        <v>386</v>
      </c>
      <c r="F236" s="10" t="s">
        <v>387</v>
      </c>
      <c r="G236" s="52" t="str">
        <f t="shared" si="3"/>
        <v>Jun</v>
      </c>
    </row>
    <row r="237" spans="2:7">
      <c r="D237" s="49">
        <v>7</v>
      </c>
      <c r="E237" s="9" t="s">
        <v>388</v>
      </c>
      <c r="F237" s="10" t="s">
        <v>389</v>
      </c>
      <c r="G237" s="52" t="str">
        <f t="shared" si="3"/>
        <v>Jul</v>
      </c>
    </row>
    <row r="238" spans="2:7">
      <c r="D238" s="49">
        <v>8</v>
      </c>
      <c r="E238" s="9" t="s">
        <v>390</v>
      </c>
      <c r="F238" s="10" t="s">
        <v>391</v>
      </c>
      <c r="G238" s="52" t="str">
        <f t="shared" si="3"/>
        <v>Avgust</v>
      </c>
    </row>
    <row r="239" spans="2:7">
      <c r="D239" s="49">
        <v>9</v>
      </c>
      <c r="E239" s="9" t="s">
        <v>392</v>
      </c>
      <c r="F239" s="10" t="s">
        <v>393</v>
      </c>
      <c r="G239" s="52" t="str">
        <f t="shared" si="3"/>
        <v>Septembar</v>
      </c>
    </row>
    <row r="240" spans="2:7">
      <c r="D240" s="49">
        <v>10</v>
      </c>
      <c r="E240" s="9" t="s">
        <v>394</v>
      </c>
      <c r="F240" s="10" t="s">
        <v>395</v>
      </c>
      <c r="G240" s="52" t="str">
        <f t="shared" si="3"/>
        <v>Oktobar</v>
      </c>
    </row>
    <row r="241" spans="4:7">
      <c r="D241" s="49">
        <v>11</v>
      </c>
      <c r="E241" s="9" t="s">
        <v>396</v>
      </c>
      <c r="F241" s="10" t="s">
        <v>397</v>
      </c>
      <c r="G241" s="52" t="str">
        <f t="shared" si="3"/>
        <v>Novembar</v>
      </c>
    </row>
    <row r="242" spans="4:7">
      <c r="D242" s="49">
        <v>12</v>
      </c>
      <c r="E242" s="9" t="s">
        <v>398</v>
      </c>
      <c r="F242" s="10" t="s">
        <v>399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Avgust</v>
      </c>
    </row>
    <row r="245" spans="4:7">
      <c r="D245" s="49"/>
      <c r="E245" s="9"/>
      <c r="F245" s="10"/>
      <c r="G245" s="52" t="str">
        <f>+CONCATENATE("Jan - ",LEFT(G244,3))</f>
        <v>Jan - Avg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425</v>
      </c>
      <c r="F248" s="10" t="s">
        <v>426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563</v>
      </c>
      <c r="F251" s="10" t="s">
        <v>560</v>
      </c>
      <c r="G251" s="52" t="str">
        <f t="shared" si="3"/>
        <v>Ostvarenje budžeta</v>
      </c>
    </row>
    <row r="252" spans="4:7">
      <c r="D252" s="46"/>
      <c r="E252" s="9" t="s">
        <v>561</v>
      </c>
      <c r="F252" s="10" t="s">
        <v>562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Avgust</v>
      </c>
      <c r="F253" s="10" t="str">
        <f>+CONCATENATE("Analytics for period ",G244)</f>
        <v>Analytics for period Avgust</v>
      </c>
      <c r="G253" s="52" t="str">
        <f>+IF(ISBLANK(IF($B$2=1,E253,F253)),"",IF($B$2=1,E253,F253))</f>
        <v>Analitika za period Avgust</v>
      </c>
    </row>
    <row r="254" spans="4:7">
      <c r="D254" s="46"/>
      <c r="E254" s="9" t="str">
        <f>+CONCATENATE("Analitika za period ",G245)</f>
        <v>Analitika za period Jan - Avg</v>
      </c>
      <c r="F254" s="10" t="str">
        <f>+CONCATENATE("Analytics for period ",G245)</f>
        <v>Analytics for period Jan - Avg</v>
      </c>
      <c r="G254" s="52" t="str">
        <f>+IF(ISBLANK(IF($B$2=1,E254,F254)),"",IF($B$2=1,E254,F254))</f>
        <v>Analitika za period Jan - Avg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414</v>
      </c>
      <c r="F257" s="10" t="s">
        <v>414</v>
      </c>
      <c r="G257" s="52" t="str">
        <f t="shared" si="3"/>
        <v>Plan</v>
      </c>
    </row>
    <row r="258" spans="4:7">
      <c r="D258" s="46"/>
      <c r="E258" s="9" t="s">
        <v>415</v>
      </c>
      <c r="F258" s="10" t="s">
        <v>416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686</v>
      </c>
      <c r="F260" s="10" t="s">
        <v>687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691</v>
      </c>
      <c r="F262" s="10" t="s">
        <v>692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424</v>
      </c>
      <c r="E269" s="9" t="s">
        <v>400</v>
      </c>
      <c r="F269" s="10" t="s">
        <v>401</v>
      </c>
      <c r="G269" s="52" t="str">
        <f>+CONCATENATE(IF(ISBLANK(IF($B$2=1,E269,F269)),"",IF($B$2=1,E269,F269))," ",$G$244)</f>
        <v>Prihodi za mjesec Avgust</v>
      </c>
    </row>
    <row r="270" spans="4:7">
      <c r="E270" s="9" t="s">
        <v>402</v>
      </c>
      <c r="F270" s="10" t="s">
        <v>403</v>
      </c>
      <c r="G270" s="52" t="str">
        <f>+CONCATENATE(IF(ISBLANK(IF($B$2=1,E270,F270)),"",IF($B$2=1,E270,F270))," ",$G$244)</f>
        <v>Rashodi za mjesec Avgust</v>
      </c>
    </row>
    <row r="271" spans="4:7">
      <c r="E271" s="9" t="s">
        <v>736</v>
      </c>
      <c r="F271" s="10" t="s">
        <v>404</v>
      </c>
      <c r="G271" s="52" t="str">
        <f>+CONCATENATE(IF(ISBLANK(IF($B$2=1,E271,F271)),"",IF($B$2=1,E271,F271))," ",$G$244)</f>
        <v>Suficit/Deficit za mjesec Avgust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",$G$244)</f>
        <v>Prihodi za period Januar - Avgust</v>
      </c>
    </row>
    <row r="274" spans="5:7">
      <c r="E274" s="9" t="s">
        <v>406</v>
      </c>
      <c r="F274" s="10" t="s">
        <v>409</v>
      </c>
      <c r="G274" s="52" t="str">
        <f>+CONCATENATE(IF(ISBLANK(IF($B$2=1,E274,F274)),"",IF($B$2=1,E274,F274))," ",$G$244)</f>
        <v>Rashodi za period Januar - Avgust</v>
      </c>
    </row>
    <row r="275" spans="5:7">
      <c r="E275" s="9" t="s">
        <v>794</v>
      </c>
      <c r="F275" s="10" t="s">
        <v>795</v>
      </c>
      <c r="G275" s="52" t="str">
        <f>+CONCATENATE(IF(ISBLANK(IF($B$2=1,E275,F275)),"",IF($B$2=1,E275,F275))," ",$G$244)</f>
        <v>Suficit/Deficit za period Januar - Avgust</v>
      </c>
    </row>
    <row r="277" spans="5:7">
      <c r="E277" s="9" t="s">
        <v>412</v>
      </c>
      <c r="F277" s="10" t="s">
        <v>413</v>
      </c>
      <c r="G277" s="52" t="str">
        <f t="shared" si="3"/>
        <v>Stanje javnog duga (% BDP)</v>
      </c>
    </row>
    <row r="279" spans="5:7">
      <c r="E279" s="9" t="s">
        <v>410</v>
      </c>
      <c r="F279" s="10" t="s">
        <v>411</v>
      </c>
      <c r="G279" s="52" t="str">
        <f t="shared" si="3"/>
        <v>Pregled</v>
      </c>
    </row>
    <row r="281" spans="5:7" ht="60">
      <c r="E281" s="301" t="s">
        <v>696</v>
      </c>
      <c r="F281" s="60" t="s">
        <v>697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D34" sqref="D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državni budžet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Avgust</v>
      </c>
      <c r="E11" s="157"/>
      <c r="F11" s="157"/>
      <c r="G11" s="157"/>
      <c r="H11" s="318" t="str">
        <f>+Master!G273</f>
        <v>Prihodi za period Januar - Avgust</v>
      </c>
      <c r="I11" s="319"/>
      <c r="J11" s="307"/>
      <c r="K11" s="158"/>
    </row>
    <row r="12" spans="3:11">
      <c r="C12" s="156"/>
      <c r="D12" s="160">
        <f>+'Analitika - 2019'!N10</f>
        <v>174081434.25</v>
      </c>
      <c r="E12" s="161">
        <f>+D12/'2019'!T7</f>
        <v>3.6242049060021236E-2</v>
      </c>
      <c r="F12" s="157"/>
      <c r="G12" s="157"/>
      <c r="H12" s="320">
        <f>+'Analitika - 2019'!G10</f>
        <v>1172217907.79</v>
      </c>
      <c r="I12" s="321">
        <f>+H12/'2019'!T7</f>
        <v>0.24404428367788811</v>
      </c>
      <c r="J12" s="307"/>
      <c r="K12" s="158"/>
    </row>
    <row r="13" spans="3:11">
      <c r="C13" s="156"/>
      <c r="D13" s="162" t="s">
        <v>423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Avgust</v>
      </c>
      <c r="E15" s="157"/>
      <c r="F15" s="157"/>
      <c r="G15" s="157"/>
      <c r="H15" s="318" t="str">
        <f>+Master!G274</f>
        <v>Rashodi za period Januar - Avgust</v>
      </c>
      <c r="I15" s="319"/>
      <c r="J15" s="307"/>
      <c r="K15" s="158"/>
    </row>
    <row r="16" spans="3:11">
      <c r="C16" s="156"/>
      <c r="D16" s="160">
        <f>+'Analitika - 2019'!N29</f>
        <v>159575957.02000001</v>
      </c>
      <c r="E16" s="161">
        <f>+D16/'2019'!T7</f>
        <v>3.3222150817146551E-2</v>
      </c>
      <c r="F16" s="157"/>
      <c r="G16" s="157"/>
      <c r="H16" s="320">
        <f>+'Analitika - 2019'!G29</f>
        <v>1227285695.52</v>
      </c>
      <c r="I16" s="321">
        <f>+H16/'2019'!T7</f>
        <v>0.25550885756042718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Avgust</v>
      </c>
      <c r="E19" s="157"/>
      <c r="F19" s="157"/>
      <c r="G19" s="157"/>
      <c r="H19" s="318" t="str">
        <f>+Master!G275</f>
        <v>Suficit/Deficit za period Januar - Avgust</v>
      </c>
      <c r="I19" s="319"/>
      <c r="J19" s="307"/>
      <c r="K19" s="158"/>
    </row>
    <row r="20" spans="3:11">
      <c r="C20" s="156"/>
      <c r="D20" s="160">
        <f>+'Analitika - 2019'!N55</f>
        <v>14505477.229999989</v>
      </c>
      <c r="E20" s="161">
        <f>+D20/'2019'!T7</f>
        <v>3.0198982428746883E-3</v>
      </c>
      <c r="F20" s="157"/>
      <c r="G20" s="157"/>
      <c r="H20" s="320">
        <f>+'Analitika - 2019'!G55</f>
        <v>-55067787.730000034</v>
      </c>
      <c r="I20" s="321">
        <f>+H20/'2019'!T7</f>
        <v>-1.1464573882539094E-2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05"/>
      <c r="E22" s="506"/>
      <c r="F22" s="506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3"/>
  <sheetViews>
    <sheetView zoomScaleNormal="100" workbookViewId="0">
      <pane ySplit="5" topLeftCell="A9" activePane="bottomLeft" state="frozen"/>
      <selection activeCell="DK219" sqref="DK219"/>
      <selection pane="bottomLeft" activeCell="H30" sqref="H3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2019-08</v>
      </c>
      <c r="O6" s="168" t="str">
        <f>+CONCATENATE(N6,"p")</f>
        <v>2019-08p</v>
      </c>
      <c r="P6" s="152"/>
      <c r="Q6" s="152"/>
      <c r="R6" s="168" t="str">
        <f>+IF(Master!B3-10&gt;=0,CONCATENATE(Master!B4-1,"-",Master!B3),CONCATENATE(Master!B4-1,"-0",Master!B3))</f>
        <v>2018-08</v>
      </c>
      <c r="S6" s="152"/>
      <c r="T6" s="152"/>
    </row>
    <row r="7" spans="1:20">
      <c r="A7" s="169"/>
      <c r="B7" s="459" t="str">
        <f>+Master!G253</f>
        <v>Analitika za period Avgust</v>
      </c>
      <c r="C7" s="460"/>
      <c r="D7" s="460"/>
      <c r="E7" s="460"/>
      <c r="F7" s="460"/>
      <c r="G7" s="468" t="str">
        <f>+Master!G245</f>
        <v>Jan - Avg</v>
      </c>
      <c r="H7" s="469"/>
      <c r="I7" s="469"/>
      <c r="J7" s="469"/>
      <c r="K7" s="469"/>
      <c r="L7" s="469"/>
      <c r="M7" s="470"/>
      <c r="N7" s="471" t="str">
        <f>+Master!G244</f>
        <v>Avgust</v>
      </c>
      <c r="O7" s="469"/>
      <c r="P7" s="469"/>
      <c r="Q7" s="469"/>
      <c r="R7" s="469"/>
      <c r="S7" s="469"/>
      <c r="T7" s="472"/>
    </row>
    <row r="8" spans="1:20">
      <c r="A8" s="169"/>
      <c r="B8" s="461"/>
      <c r="C8" s="462"/>
      <c r="D8" s="462"/>
      <c r="E8" s="462"/>
      <c r="F8" s="463"/>
      <c r="G8" s="170" t="str">
        <f>+Master!G23</f>
        <v>Ostvarenje</v>
      </c>
      <c r="H8" s="170" t="str">
        <f>+Master!G22</f>
        <v>Plan</v>
      </c>
      <c r="I8" s="455" t="str">
        <f>+Master!G260</f>
        <v>Odstupanje</v>
      </c>
      <c r="J8" s="455"/>
      <c r="K8" s="170" t="str">
        <f>+CONCATENATE(Master!G245," ",Master!B4-1)</f>
        <v>Jan - Avg 2018</v>
      </c>
      <c r="L8" s="455" t="str">
        <f>+I8</f>
        <v>Odstupanje</v>
      </c>
      <c r="M8" s="467"/>
      <c r="N8" s="171" t="str">
        <f>+G8</f>
        <v>Ostvarenje</v>
      </c>
      <c r="O8" s="170" t="str">
        <f>+H8</f>
        <v>Plan</v>
      </c>
      <c r="P8" s="455" t="str">
        <f>+I8</f>
        <v>Odstupanje</v>
      </c>
      <c r="Q8" s="455"/>
      <c r="R8" s="170" t="str">
        <f>+CONCATENATE(Master!G244," ",Master!B4-1)</f>
        <v>Avgust 2018</v>
      </c>
      <c r="S8" s="455" t="str">
        <f>+P8</f>
        <v>Odstupanje</v>
      </c>
      <c r="T8" s="456"/>
    </row>
    <row r="9" spans="1:20" ht="15.7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501" t="str">
        <f>+VLOOKUP($A10,Master!$D$27:$G$225,4,FALSE)</f>
        <v>Prihodi budžeta</v>
      </c>
      <c r="C10" s="502"/>
      <c r="D10" s="502"/>
      <c r="E10" s="502"/>
      <c r="F10" s="502"/>
      <c r="G10" s="176">
        <f>+SUMPRODUCT(('2019'!$G10:$R10)*('2019'!$G$5:$R$5&lt;=Master!$B$3)*($A10='2019'!$A$10:$A$66))</f>
        <v>1172217907.79</v>
      </c>
      <c r="H10" s="176">
        <f>+SUMPRODUCT(('2019'!$G105:$R105)*('2019'!$G$5:$R$5&lt;=Master!$B$3))</f>
        <v>1152151987.655961</v>
      </c>
      <c r="I10" s="177">
        <f>+G10-H10</f>
        <v>20065920.134038925</v>
      </c>
      <c r="J10" s="178">
        <f>+IF(ISNUMBER(G10/H10-1),G10/H10-1,"…")</f>
        <v>1.7416035687151554E-2</v>
      </c>
      <c r="K10" s="176">
        <f>+SUMPRODUCT(('2018'!$G10:$R10)*('2018'!$G$5:$R$5&lt;=Master!$B$3))</f>
        <v>1085728098.3400002</v>
      </c>
      <c r="L10" s="177">
        <f>+G10-K10</f>
        <v>86489809.449999809</v>
      </c>
      <c r="M10" s="179">
        <f>+IF(ISNUMBER(G10/K10-1),G10/K10-1,"…")</f>
        <v>7.9660653143486471E-2</v>
      </c>
      <c r="N10" s="176">
        <f>+INDEX('2019'!$1:$1048576,MATCH('Analitika - 2019'!$A10,'2019'!$A:$A,0),MATCH('Analitika - 2019'!$N$6,'2019'!$6:$6,0))</f>
        <v>174081434.25</v>
      </c>
      <c r="O10" s="176">
        <f>+INDEX('2019'!$1:$1048576,MATCH(CONCATENATE('Analitika - 2019'!$A10,"p"),'2019'!$A:$A,0),MATCH('Analitika - 2019'!$O$6,'2019'!$101:$101,0))</f>
        <v>164502209.05473346</v>
      </c>
      <c r="P10" s="177">
        <f>+N10-O10</f>
        <v>9579225.1952665448</v>
      </c>
      <c r="Q10" s="178">
        <f>+IF(ISNUMBER(N10/O10-1),N10/O10-1,"…")</f>
        <v>5.8231590021258217E-2</v>
      </c>
      <c r="R10" s="176">
        <f>+INDEX('2018'!$1:$1048576,MATCH('Analitika - 2019'!$A10,'2018'!$A:$A,0),MATCH('Analitika - 2019'!$R$6,'2018'!$6:$6,0))</f>
        <v>161263780.17000002</v>
      </c>
      <c r="S10" s="177">
        <f>+N10-R10</f>
        <v>12817654.079999983</v>
      </c>
      <c r="T10" s="179">
        <f>+IF(ISNUMBER(N10/R10-1),N10/R10-1,"…")</f>
        <v>7.948253517614412E-2</v>
      </c>
    </row>
    <row r="11" spans="1:20">
      <c r="A11" s="175">
        <v>711</v>
      </c>
      <c r="B11" s="503" t="str">
        <f>+VLOOKUP($A11,Master!$D$27:$G$225,4,FALSE)</f>
        <v>Porezi</v>
      </c>
      <c r="C11" s="504"/>
      <c r="D11" s="504"/>
      <c r="E11" s="504"/>
      <c r="F11" s="504"/>
      <c r="G11" s="341">
        <f>+SUMPRODUCT(('2019'!$G11:$R11)*('2019'!$G$5:$R$5&lt;=Master!$B$3)*($A11='2019'!$A$10:$A$66))</f>
        <v>764344190.5</v>
      </c>
      <c r="H11" s="341">
        <f>+SUMPRODUCT(('2019'!$G106:$R106)*('2019'!$G$5:$R$5&lt;=Master!$B$3))</f>
        <v>747378044.25446141</v>
      </c>
      <c r="I11" s="183">
        <f t="shared" ref="I11:I59" si="0">+G11-H11</f>
        <v>16966146.245538592</v>
      </c>
      <c r="J11" s="184">
        <f t="shared" ref="J11:J59" si="1">+IF(ISNUMBER(G11/H11-1),G11/H11-1,"…")</f>
        <v>2.270088929687919E-2</v>
      </c>
      <c r="K11" s="341">
        <f>+SUMPRODUCT(('2018'!$G11:$R11)*('2018'!$G$5:$R$5&lt;=Master!$B$3))</f>
        <v>703178644.24000001</v>
      </c>
      <c r="L11" s="183">
        <f>+G11-K11</f>
        <v>61165546.25999999</v>
      </c>
      <c r="M11" s="185">
        <f t="shared" ref="M11:M59" si="2">+IF(ISNUMBER(G11/K11-1),G11/K11-1,"…")</f>
        <v>8.69843627377338E-2</v>
      </c>
      <c r="N11" s="341">
        <f>+INDEX('2019'!$1:$1048576,MATCH('Analitika - 2019'!$A11,'2019'!$A:$A,0),MATCH('Analitika - 2019'!$N$6,'2019'!$6:$6,0))</f>
        <v>118817091.44</v>
      </c>
      <c r="O11" s="341">
        <f>+INDEX('2019'!$1:$1048576,MATCH(CONCATENATE('Analitika - 2019'!$A11,"p"),'2019'!$A:$A,0),MATCH('Analitika - 2019'!$O$6,'2019'!$101:$101,0))</f>
        <v>110847613.63774106</v>
      </c>
      <c r="P11" s="183">
        <f t="shared" ref="P11:P59" si="3">+N11-O11</f>
        <v>7969477.8022589386</v>
      </c>
      <c r="Q11" s="184">
        <f t="shared" ref="Q11:Q59" si="4">+IF(ISNUMBER(N11/O11-1),N11/O11-1,"…")</f>
        <v>7.1895799473896016E-2</v>
      </c>
      <c r="R11" s="341">
        <f>+INDEX('2018'!$1:$1048576,MATCH('Analitika - 2019'!$A11,'2018'!$A:$A,0),MATCH('Analitika - 2019'!$R$6,'2018'!$6:$6,0))</f>
        <v>107951400.74000001</v>
      </c>
      <c r="S11" s="183">
        <f t="shared" ref="S11:S59" si="5">+N11-R11</f>
        <v>10865690.699999988</v>
      </c>
      <c r="T11" s="185">
        <f t="shared" ref="T11:T59" si="6">+IF(ISNUMBER(N11/R11-1),N11/R11-1,"…")</f>
        <v>0.10065354062584064</v>
      </c>
    </row>
    <row r="12" spans="1:20">
      <c r="A12" s="175">
        <v>7111</v>
      </c>
      <c r="B12" s="489" t="str">
        <f>+VLOOKUP($A12,Master!$D$27:$G$225,4,FALSE)</f>
        <v>Porez na dohodak fizičkih lica</v>
      </c>
      <c r="C12" s="490"/>
      <c r="D12" s="490"/>
      <c r="E12" s="490"/>
      <c r="F12" s="490"/>
      <c r="G12" s="188">
        <f>+SUMPRODUCT(('2019'!$G12:$R12)*('2019'!$G$5:$R$5&lt;=Master!$B$3)*($A12='2019'!$A$10:$A$66))</f>
        <v>75215095.299999997</v>
      </c>
      <c r="H12" s="188">
        <f>+SUMPRODUCT(('2019'!$G107:$R107)*('2019'!$G$5:$R$5&lt;=Master!$B$3))</f>
        <v>74791609.79152298</v>
      </c>
      <c r="I12" s="189">
        <f t="shared" si="0"/>
        <v>423485.50847701728</v>
      </c>
      <c r="J12" s="190">
        <f t="shared" si="1"/>
        <v>5.6622060904620852E-3</v>
      </c>
      <c r="K12" s="188">
        <f>+SUMPRODUCT(('2018'!$G12:$R12)*('2018'!$G$5:$R$5&lt;=Master!$B$3))</f>
        <v>75646863.760000005</v>
      </c>
      <c r="L12" s="189">
        <f>+G12-K12</f>
        <v>-431768.46000000834</v>
      </c>
      <c r="M12" s="191">
        <f t="shared" si="2"/>
        <v>-5.7076848733590424E-3</v>
      </c>
      <c r="N12" s="188">
        <f>+INDEX('2019'!$1:$1048576,MATCH('Analitika - 2019'!$A12,'2019'!$A:$A,0),MATCH('Analitika - 2019'!$N$6,'2019'!$6:$6,0))</f>
        <v>10477204.85</v>
      </c>
      <c r="O12" s="188">
        <f>+INDEX('2019'!$1:$1048576,MATCH(CONCATENATE('Analitika - 2019'!$A12,"p"),'2019'!$A:$A,0),MATCH('Analitika - 2019'!$O$6,'2019'!$101:$101,0))</f>
        <v>10477537.909352116</v>
      </c>
      <c r="P12" s="189">
        <f t="shared" si="3"/>
        <v>-333.05935211665928</v>
      </c>
      <c r="Q12" s="190">
        <f t="shared" si="4"/>
        <v>-3.1787940544591997E-5</v>
      </c>
      <c r="R12" s="188">
        <f>+INDEX('2018'!$1:$1048576,MATCH('Analitika - 2019'!$A12,'2018'!$A:$A,0),MATCH('Analitika - 2019'!$R$6,'2018'!$6:$6,0))</f>
        <v>11227078</v>
      </c>
      <c r="S12" s="189">
        <f t="shared" si="5"/>
        <v>-749873.15000000037</v>
      </c>
      <c r="T12" s="191">
        <f t="shared" si="6"/>
        <v>-6.679147949270503E-2</v>
      </c>
    </row>
    <row r="13" spans="1:20">
      <c r="A13" s="175">
        <v>7112</v>
      </c>
      <c r="B13" s="489" t="str">
        <f>+VLOOKUP($A13,Master!$D$27:$G$225,4,FALSE)</f>
        <v>Porez na dobit pravnih lica</v>
      </c>
      <c r="C13" s="490"/>
      <c r="D13" s="490"/>
      <c r="E13" s="490"/>
      <c r="F13" s="490"/>
      <c r="G13" s="188">
        <f>+SUMPRODUCT(('2019'!$G13:$R13)*('2019'!$G$5:$R$5&lt;=Master!$B$3)*($A13='2019'!$A$10:$A$66))</f>
        <v>61217755.149999999</v>
      </c>
      <c r="H13" s="188">
        <f>+SUMPRODUCT(('2019'!$G108:$R108)*('2019'!$G$5:$R$5&lt;=Master!$B$3))</f>
        <v>61377235.745053254</v>
      </c>
      <c r="I13" s="189">
        <f t="shared" si="0"/>
        <v>-159480.59505325556</v>
      </c>
      <c r="J13" s="190">
        <f t="shared" si="1"/>
        <v>-2.5983671815345E-3</v>
      </c>
      <c r="K13" s="188">
        <f>+SUMPRODUCT(('2018'!$G13:$R13)*('2018'!$G$5:$R$5&lt;=Master!$B$3))</f>
        <v>57340206.93999999</v>
      </c>
      <c r="L13" s="189">
        <f t="shared" ref="L13:L59" si="7">+G13-K13</f>
        <v>3877548.2100000083</v>
      </c>
      <c r="M13" s="191">
        <f t="shared" si="2"/>
        <v>6.7623547540688556E-2</v>
      </c>
      <c r="N13" s="188">
        <f>+INDEX('2019'!$1:$1048576,MATCH('Analitika - 2019'!$A13,'2019'!$A:$A,0),MATCH('Analitika - 2019'!$N$6,'2019'!$6:$6,0))</f>
        <v>3092994.24</v>
      </c>
      <c r="O13" s="188">
        <f>+INDEX('2019'!$1:$1048576,MATCH(CONCATENATE('Analitika - 2019'!$A13,"p"),'2019'!$A:$A,0),MATCH('Analitika - 2019'!$O$6,'2019'!$101:$101,0))</f>
        <v>2685443.6740218201</v>
      </c>
      <c r="P13" s="189">
        <f t="shared" si="3"/>
        <v>407550.56597818015</v>
      </c>
      <c r="Q13" s="190">
        <f t="shared" si="4"/>
        <v>0.15176284273645457</v>
      </c>
      <c r="R13" s="188">
        <f>+INDEX('2018'!$1:$1048576,MATCH('Analitika - 2019'!$A13,'2018'!$A:$A,0),MATCH('Analitika - 2019'!$R$6,'2018'!$6:$6,0))</f>
        <v>3499255.87</v>
      </c>
      <c r="S13" s="189">
        <f t="shared" si="5"/>
        <v>-406261.62999999989</v>
      </c>
      <c r="T13" s="191">
        <f t="shared" si="6"/>
        <v>-0.1160994351636252</v>
      </c>
    </row>
    <row r="14" spans="1:20">
      <c r="A14" s="175">
        <v>7113</v>
      </c>
      <c r="B14" s="489" t="str">
        <f>+VLOOKUP($A14,Master!$D$27:$G$225,4,FALSE)</f>
        <v>Porez na promet nepokretnosti</v>
      </c>
      <c r="C14" s="490"/>
      <c r="D14" s="490"/>
      <c r="E14" s="490"/>
      <c r="F14" s="490"/>
      <c r="G14" s="188">
        <f>+SUMPRODUCT(('2019'!$G14:$R14)*('2019'!$G$5:$R$5&lt;=Master!$B$3)*($A14='2019'!$A$10:$A$66))</f>
        <v>1269383.6099999999</v>
      </c>
      <c r="H14" s="188">
        <f>+SUMPRODUCT(('2019'!$G109:$R109)*('2019'!$G$5:$R$5&lt;=Master!$B$3))</f>
        <v>1236449.7488319534</v>
      </c>
      <c r="I14" s="189">
        <f t="shared" si="0"/>
        <v>32933.861168046482</v>
      </c>
      <c r="J14" s="190">
        <f t="shared" si="1"/>
        <v>2.6635826647349203E-2</v>
      </c>
      <c r="K14" s="188">
        <f>+SUMPRODUCT(('2018'!$G14:$R14)*('2018'!$G$5:$R$5&lt;=Master!$B$3))</f>
        <v>1129613.1099999999</v>
      </c>
      <c r="L14" s="189">
        <f t="shared" si="7"/>
        <v>139770.5</v>
      </c>
      <c r="M14" s="191">
        <f t="shared" si="2"/>
        <v>0.12373307175940984</v>
      </c>
      <c r="N14" s="188">
        <f>+INDEX('2019'!$1:$1048576,MATCH('Analitika - 2019'!$A14,'2019'!$A:$A,0),MATCH('Analitika - 2019'!$N$6,'2019'!$6:$6,0))</f>
        <v>172408.19</v>
      </c>
      <c r="O14" s="188">
        <f>+INDEX('2019'!$1:$1048576,MATCH(CONCATENATE('Analitika - 2019'!$A14,"p"),'2019'!$A:$A,0),MATCH('Analitika - 2019'!$O$6,'2019'!$101:$101,0))</f>
        <v>199872.32178424072</v>
      </c>
      <c r="P14" s="189">
        <f t="shared" si="3"/>
        <v>-27464.131784240715</v>
      </c>
      <c r="Q14" s="190">
        <f t="shared" si="4"/>
        <v>-0.13740837920463966</v>
      </c>
      <c r="R14" s="188">
        <f>+INDEX('2018'!$1:$1048576,MATCH('Analitika - 2019'!$A14,'2018'!$A:$A,0),MATCH('Analitika - 2019'!$R$6,'2018'!$6:$6,0))</f>
        <v>218611.11</v>
      </c>
      <c r="S14" s="189">
        <f t="shared" si="5"/>
        <v>-46202.919999999984</v>
      </c>
      <c r="T14" s="191">
        <f t="shared" si="6"/>
        <v>-0.21134753855831012</v>
      </c>
    </row>
    <row r="15" spans="1:20">
      <c r="A15" s="175">
        <v>7114</v>
      </c>
      <c r="B15" s="489" t="str">
        <f>+VLOOKUP($A15,Master!$D$27:$G$225,4,FALSE)</f>
        <v>Porez na dodatu vrijednost</v>
      </c>
      <c r="C15" s="490"/>
      <c r="D15" s="490"/>
      <c r="E15" s="490"/>
      <c r="F15" s="490"/>
      <c r="G15" s="188">
        <f>+SUMPRODUCT(('2019'!$G15:$R15)*('2019'!$G$5:$R$5&lt;=Master!$B$3)*($A15='2019'!$A$10:$A$66))</f>
        <v>447001873.43000001</v>
      </c>
      <c r="H15" s="188">
        <f>+SUMPRODUCT(('2019'!$G110:$R110)*('2019'!$G$5:$R$5&lt;=Master!$B$3))</f>
        <v>435184084.2349717</v>
      </c>
      <c r="I15" s="189">
        <f t="shared" si="0"/>
        <v>11817789.195028305</v>
      </c>
      <c r="J15" s="190">
        <f t="shared" si="1"/>
        <v>2.7155839616247235E-2</v>
      </c>
      <c r="K15" s="188">
        <f>+SUMPRODUCT(('2018'!$G15:$R15)*('2018'!$G$5:$R$5&lt;=Master!$B$3))</f>
        <v>404066394.24000001</v>
      </c>
      <c r="L15" s="189">
        <f t="shared" si="7"/>
        <v>42935479.189999998</v>
      </c>
      <c r="M15" s="191">
        <f t="shared" si="2"/>
        <v>0.10625847583973536</v>
      </c>
      <c r="N15" s="188">
        <f>+INDEX('2019'!$1:$1048576,MATCH('Analitika - 2019'!$A15,'2019'!$A:$A,0),MATCH('Analitika - 2019'!$N$6,'2019'!$6:$6,0))</f>
        <v>71690318.180000007</v>
      </c>
      <c r="O15" s="188">
        <f>+INDEX('2019'!$1:$1048576,MATCH(CONCATENATE('Analitika - 2019'!$A15,"p"),'2019'!$A:$A,0),MATCH('Analitika - 2019'!$O$6,'2019'!$101:$101,0))</f>
        <v>66890311.931873396</v>
      </c>
      <c r="P15" s="189">
        <f t="shared" si="3"/>
        <v>4800006.2481266111</v>
      </c>
      <c r="Q15" s="190">
        <f t="shared" si="4"/>
        <v>7.1759364091698918E-2</v>
      </c>
      <c r="R15" s="188">
        <f>+INDEX('2018'!$1:$1048576,MATCH('Analitika - 2019'!$A15,'2018'!$A:$A,0),MATCH('Analitika - 2019'!$R$6,'2018'!$6:$6,0))</f>
        <v>64152277.310000002</v>
      </c>
      <c r="S15" s="189">
        <f t="shared" si="5"/>
        <v>7538040.8700000048</v>
      </c>
      <c r="T15" s="191">
        <f t="shared" si="6"/>
        <v>0.11750231147016477</v>
      </c>
    </row>
    <row r="16" spans="1:20">
      <c r="A16" s="175">
        <v>7115</v>
      </c>
      <c r="B16" s="489" t="str">
        <f>+VLOOKUP($A16,Master!$D$27:$G$225,4,FALSE)</f>
        <v>Akcize</v>
      </c>
      <c r="C16" s="490"/>
      <c r="D16" s="490"/>
      <c r="E16" s="490"/>
      <c r="F16" s="490"/>
      <c r="G16" s="188">
        <f>+SUMPRODUCT(('2019'!$G16:$R16)*('2019'!$G$5:$R$5&lt;=Master!$B$3)*($A16='2019'!$A$10:$A$66))</f>
        <v>151292318.42000002</v>
      </c>
      <c r="H16" s="188">
        <f>+SUMPRODUCT(('2019'!$G111:$R111)*('2019'!$G$5:$R$5&lt;=Master!$B$3))</f>
        <v>148034238.51000237</v>
      </c>
      <c r="I16" s="189">
        <f t="shared" si="0"/>
        <v>3258079.909997642</v>
      </c>
      <c r="J16" s="190">
        <f t="shared" si="1"/>
        <v>2.2008961864437238E-2</v>
      </c>
      <c r="K16" s="188">
        <f>+SUMPRODUCT(('2018'!$G16:$R16)*('2018'!$G$5:$R$5&lt;=Master!$B$3))</f>
        <v>140992258.06</v>
      </c>
      <c r="L16" s="189">
        <f t="shared" si="7"/>
        <v>10300060.360000014</v>
      </c>
      <c r="M16" s="191">
        <f t="shared" si="2"/>
        <v>7.3054084683265241E-2</v>
      </c>
      <c r="N16" s="188">
        <f>+INDEX('2019'!$1:$1048576,MATCH('Analitika - 2019'!$A16,'2019'!$A:$A,0),MATCH('Analitika - 2019'!$N$6,'2019'!$6:$6,0))</f>
        <v>29562766.32</v>
      </c>
      <c r="O16" s="188">
        <f>+INDEX('2019'!$1:$1048576,MATCH(CONCATENATE('Analitika - 2019'!$A16,"p"),'2019'!$A:$A,0),MATCH('Analitika - 2019'!$O$6,'2019'!$101:$101,0))</f>
        <v>27414563.793734949</v>
      </c>
      <c r="P16" s="189">
        <f t="shared" si="3"/>
        <v>2148202.5262650512</v>
      </c>
      <c r="Q16" s="190">
        <f t="shared" si="4"/>
        <v>7.835990178169383E-2</v>
      </c>
      <c r="R16" s="188">
        <f>+INDEX('2018'!$1:$1048576,MATCH('Analitika - 2019'!$A16,'2018'!$A:$A,0),MATCH('Analitika - 2019'!$R$6,'2018'!$6:$6,0))</f>
        <v>25150486.629999999</v>
      </c>
      <c r="S16" s="189">
        <f t="shared" si="5"/>
        <v>4412279.6900000013</v>
      </c>
      <c r="T16" s="191">
        <f t="shared" si="6"/>
        <v>0.17543516174899554</v>
      </c>
    </row>
    <row r="17" spans="1:20">
      <c r="A17" s="175">
        <v>7116</v>
      </c>
      <c r="B17" s="489" t="str">
        <f>+VLOOKUP($A17,Master!$D$27:$G$225,4,FALSE)</f>
        <v>Porez na međunarodnu trgovinu i transakcije</v>
      </c>
      <c r="C17" s="490"/>
      <c r="D17" s="490"/>
      <c r="E17" s="490"/>
      <c r="F17" s="490"/>
      <c r="G17" s="188">
        <f>+SUMPRODUCT(('2019'!$G17:$R17)*('2019'!$G$5:$R$5&lt;=Master!$B$3)*($A17='2019'!$A$10:$A$66))</f>
        <v>19017760.27</v>
      </c>
      <c r="H17" s="188">
        <f>+SUMPRODUCT(('2019'!$G112:$R112)*('2019'!$G$5:$R$5&lt;=Master!$B$3))</f>
        <v>18659435.97480157</v>
      </c>
      <c r="I17" s="189">
        <f t="shared" si="0"/>
        <v>358324.29519842938</v>
      </c>
      <c r="J17" s="190">
        <f t="shared" si="1"/>
        <v>1.9203382979117167E-2</v>
      </c>
      <c r="K17" s="188">
        <f>+SUMPRODUCT(('2018'!$G17:$R17)*('2018'!$G$5:$R$5&lt;=Master!$B$3))</f>
        <v>17907325.41</v>
      </c>
      <c r="L17" s="189">
        <f t="shared" si="7"/>
        <v>1110434.8599999994</v>
      </c>
      <c r="M17" s="191">
        <f t="shared" si="2"/>
        <v>6.2010089981382688E-2</v>
      </c>
      <c r="N17" s="188">
        <f>+INDEX('2019'!$1:$1048576,MATCH('Analitika - 2019'!$A17,'2019'!$A:$A,0),MATCH('Analitika - 2019'!$N$6,'2019'!$6:$6,0))</f>
        <v>2788700.72</v>
      </c>
      <c r="O17" s="188">
        <f>+INDEX('2019'!$1:$1048576,MATCH(CONCATENATE('Analitika - 2019'!$A17,"p"),'2019'!$A:$A,0),MATCH('Analitika - 2019'!$O$6,'2019'!$101:$101,0))</f>
        <v>2787010.1046283157</v>
      </c>
      <c r="P17" s="189">
        <f t="shared" si="3"/>
        <v>1690.6153716845438</v>
      </c>
      <c r="Q17" s="190">
        <f t="shared" si="4"/>
        <v>6.0660539725954088E-4</v>
      </c>
      <c r="R17" s="188">
        <f>+INDEX('2018'!$1:$1048576,MATCH('Analitika - 2019'!$A17,'2018'!$A:$A,0),MATCH('Analitika - 2019'!$R$6,'2018'!$6:$6,0))</f>
        <v>2858882.98</v>
      </c>
      <c r="S17" s="189">
        <f t="shared" si="5"/>
        <v>-70182.259999999776</v>
      </c>
      <c r="T17" s="191">
        <f t="shared" si="6"/>
        <v>-2.4548839701021841E-2</v>
      </c>
    </row>
    <row r="18" spans="1:20">
      <c r="A18" s="175">
        <v>7118</v>
      </c>
      <c r="B18" s="489" t="str">
        <f>+VLOOKUP($A18,Master!$D$27:$G$225,4,FALSE)</f>
        <v>Ostali državni porezi</v>
      </c>
      <c r="C18" s="490"/>
      <c r="D18" s="490"/>
      <c r="E18" s="490"/>
      <c r="F18" s="490"/>
      <c r="G18" s="188">
        <f>+SUMPRODUCT(('2019'!$G18:$R18)*('2019'!$G$5:$R$5&lt;=Master!$B$3)*($A18='2019'!$A$10:$A$66))</f>
        <v>9330004.3200000003</v>
      </c>
      <c r="H18" s="188">
        <f>+SUMPRODUCT(('2019'!$G113:$R113)*('2019'!$G$5:$R$5&lt;=Master!$B$3))</f>
        <v>8094990.2492775554</v>
      </c>
      <c r="I18" s="189">
        <f t="shared" si="0"/>
        <v>1235014.0707224449</v>
      </c>
      <c r="J18" s="190">
        <f t="shared" si="1"/>
        <v>0.15256523265518007</v>
      </c>
      <c r="K18" s="188">
        <f>+SUMPRODUCT(('2018'!$G18:$R18)*('2018'!$G$5:$R$5&lt;=Master!$B$3))</f>
        <v>6095982.7199999997</v>
      </c>
      <c r="L18" s="189">
        <f t="shared" si="7"/>
        <v>3234021.6000000006</v>
      </c>
      <c r="M18" s="191">
        <f t="shared" si="2"/>
        <v>0.5305168581580233</v>
      </c>
      <c r="N18" s="188">
        <f>+INDEX('2019'!$1:$1048576,MATCH('Analitika - 2019'!$A18,'2019'!$A:$A,0),MATCH('Analitika - 2019'!$N$6,'2019'!$6:$6,0))</f>
        <v>1032698.94</v>
      </c>
      <c r="O18" s="188">
        <f>+INDEX('2019'!$1:$1048576,MATCH(CONCATENATE('Analitika - 2019'!$A18,"p"),'2019'!$A:$A,0),MATCH('Analitika - 2019'!$O$6,'2019'!$101:$101,0))</f>
        <v>392873.90234621655</v>
      </c>
      <c r="P18" s="189">
        <f t="shared" si="3"/>
        <v>639825.03765378334</v>
      </c>
      <c r="Q18" s="190">
        <f t="shared" si="4"/>
        <v>1.6285760744930911</v>
      </c>
      <c r="R18" s="188">
        <f>+INDEX('2018'!$1:$1048576,MATCH('Analitika - 2019'!$A18,'2018'!$A:$A,0),MATCH('Analitika - 2019'!$R$6,'2018'!$6:$6,0))</f>
        <v>844808.84</v>
      </c>
      <c r="S18" s="189">
        <f t="shared" si="5"/>
        <v>187890.09999999998</v>
      </c>
      <c r="T18" s="191">
        <f t="shared" si="6"/>
        <v>0.22240546157163799</v>
      </c>
    </row>
    <row r="19" spans="1:20">
      <c r="A19" s="175">
        <v>712</v>
      </c>
      <c r="B19" s="499" t="str">
        <f>+VLOOKUP($A19,Master!$D$27:$G$225,4,FALSE)</f>
        <v>Doprinosi</v>
      </c>
      <c r="C19" s="500"/>
      <c r="D19" s="500"/>
      <c r="E19" s="500"/>
      <c r="F19" s="500"/>
      <c r="G19" s="194">
        <f>+SUMPRODUCT(('2019'!$G19:$R19)*('2019'!$G$5:$R$5&lt;=Master!$B$3)*($A19='2019'!$A$10:$A$66))</f>
        <v>326959695.89999998</v>
      </c>
      <c r="H19" s="194">
        <f>+SUMPRODUCT(('2019'!$G114:$R114)*('2019'!$G$5:$R$5&lt;=Master!$B$3))</f>
        <v>323409716.32998633</v>
      </c>
      <c r="I19" s="195">
        <f t="shared" si="0"/>
        <v>3549979.5700136423</v>
      </c>
      <c r="J19" s="196">
        <f t="shared" si="1"/>
        <v>1.0976725159337786E-2</v>
      </c>
      <c r="K19" s="194">
        <f>+SUMPRODUCT(('2018'!$G19:$R19)*('2018'!$G$5:$R$5&lt;=Master!$B$3))</f>
        <v>309366966.58999997</v>
      </c>
      <c r="L19" s="195">
        <f t="shared" si="7"/>
        <v>17592729.310000002</v>
      </c>
      <c r="M19" s="197">
        <f t="shared" si="2"/>
        <v>5.6866864306541975E-2</v>
      </c>
      <c r="N19" s="194">
        <f>+INDEX('2019'!$1:$1048576,MATCH('Analitika - 2019'!$A19,'2019'!$A:$A,0),MATCH('Analitika - 2019'!$N$6,'2019'!$6:$6,0))</f>
        <v>45770745.839999996</v>
      </c>
      <c r="O19" s="194">
        <f>+INDEX('2019'!$1:$1048576,MATCH(CONCATENATE('Analitika - 2019'!$A19,"p"),'2019'!$A:$A,0),MATCH('Analitika - 2019'!$O$6,'2019'!$101:$101,0))</f>
        <v>44632014.674295112</v>
      </c>
      <c r="P19" s="195">
        <f t="shared" si="3"/>
        <v>1138731.1657048836</v>
      </c>
      <c r="Q19" s="196">
        <f t="shared" si="4"/>
        <v>2.5513774675305356E-2</v>
      </c>
      <c r="R19" s="194">
        <f>+INDEX('2018'!$1:$1048576,MATCH('Analitika - 2019'!$A19,'2018'!$A:$A,0),MATCH('Analitika - 2019'!$R$6,'2018'!$6:$6,0))</f>
        <v>45633852.549999997</v>
      </c>
      <c r="S19" s="195">
        <f t="shared" si="5"/>
        <v>136893.28999999911</v>
      </c>
      <c r="T19" s="197">
        <f t="shared" si="6"/>
        <v>2.9998188263857806E-3</v>
      </c>
    </row>
    <row r="20" spans="1:20">
      <c r="A20" s="175">
        <v>7121</v>
      </c>
      <c r="B20" s="489" t="str">
        <f>+VLOOKUP($A20,Master!$D$27:$G$225,4,FALSE)</f>
        <v>Doprinosi za penzijsko i invalidsko osiguranje</v>
      </c>
      <c r="C20" s="490"/>
      <c r="D20" s="490"/>
      <c r="E20" s="490"/>
      <c r="F20" s="490"/>
      <c r="G20" s="188">
        <f>+SUMPRODUCT(('2019'!$G20:$R20)*('2019'!$G$5:$R$5&lt;=Master!$B$3)*($A20='2019'!$A$10:$A$66))</f>
        <v>193461824.75</v>
      </c>
      <c r="H20" s="188">
        <f>+SUMPRODUCT(('2019'!$G115:$R115)*('2019'!$G$5:$R$5&lt;=Master!$B$3))</f>
        <v>192442713.54966822</v>
      </c>
      <c r="I20" s="189">
        <f t="shared" si="0"/>
        <v>1019111.2003317773</v>
      </c>
      <c r="J20" s="190">
        <f t="shared" si="1"/>
        <v>5.2956601033831152E-3</v>
      </c>
      <c r="K20" s="188">
        <f>+SUMPRODUCT(('2018'!$G20:$R20)*('2018'!$G$5:$R$5&lt;=Master!$B$3))</f>
        <v>186150330.21000001</v>
      </c>
      <c r="L20" s="189">
        <f t="shared" si="7"/>
        <v>7311494.5399999917</v>
      </c>
      <c r="M20" s="191">
        <f t="shared" si="2"/>
        <v>3.9277365405431919E-2</v>
      </c>
      <c r="N20" s="188">
        <f>+INDEX('2019'!$1:$1048576,MATCH('Analitika - 2019'!$A20,'2019'!$A:$A,0),MATCH('Analitika - 2019'!$N$6,'2019'!$6:$6,0))</f>
        <v>27519220.43</v>
      </c>
      <c r="O20" s="188">
        <f>+INDEX('2019'!$1:$1048576,MATCH(CONCATENATE('Analitika - 2019'!$A20,"p"),'2019'!$A:$A,0),MATCH('Analitika - 2019'!$O$6,'2019'!$101:$101,0))</f>
        <v>27981870.622507609</v>
      </c>
      <c r="P20" s="189">
        <f t="shared" si="3"/>
        <v>-462650.19250760972</v>
      </c>
      <c r="Q20" s="190">
        <f t="shared" si="4"/>
        <v>-1.6533926510812758E-2</v>
      </c>
      <c r="R20" s="188">
        <f>+INDEX('2018'!$1:$1048576,MATCH('Analitika - 2019'!$A20,'2018'!$A:$A,0),MATCH('Analitika - 2019'!$R$6,'2018'!$6:$6,0))</f>
        <v>27031179.09</v>
      </c>
      <c r="S20" s="189">
        <f t="shared" si="5"/>
        <v>488041.33999999985</v>
      </c>
      <c r="T20" s="191">
        <f t="shared" si="6"/>
        <v>1.8054755894112873E-2</v>
      </c>
    </row>
    <row r="21" spans="1:20">
      <c r="A21" s="175">
        <v>7122</v>
      </c>
      <c r="B21" s="489" t="str">
        <f>+VLOOKUP($A21,Master!$D$27:$G$225,4,FALSE)</f>
        <v>Doprinosi za zdravstveno osiguranje</v>
      </c>
      <c r="C21" s="490"/>
      <c r="D21" s="490"/>
      <c r="E21" s="490"/>
      <c r="F21" s="490"/>
      <c r="G21" s="188">
        <f>+SUMPRODUCT(('2019'!$G21:$R21)*('2019'!$G$5:$R$5&lt;=Master!$B$3)*($A21='2019'!$A$10:$A$66))</f>
        <v>116236675.98</v>
      </c>
      <c r="H21" s="188">
        <f>+SUMPRODUCT(('2019'!$G116:$R116)*('2019'!$G$5:$R$5&lt;=Master!$B$3))</f>
        <v>113806883.38202508</v>
      </c>
      <c r="I21" s="189">
        <f t="shared" si="0"/>
        <v>2429792.5979749262</v>
      </c>
      <c r="J21" s="190">
        <f t="shared" si="1"/>
        <v>2.1350137406176417E-2</v>
      </c>
      <c r="K21" s="188">
        <f>+SUMPRODUCT(('2018'!$G21:$R21)*('2018'!$G$5:$R$5&lt;=Master!$B$3))</f>
        <v>107783333.59</v>
      </c>
      <c r="L21" s="189">
        <f t="shared" si="7"/>
        <v>8453342.3900000006</v>
      </c>
      <c r="M21" s="191">
        <f t="shared" si="2"/>
        <v>7.8429030801328681E-2</v>
      </c>
      <c r="N21" s="188">
        <f>+INDEX('2019'!$1:$1048576,MATCH('Analitika - 2019'!$A21,'2019'!$A:$A,0),MATCH('Analitika - 2019'!$N$6,'2019'!$6:$6,0))</f>
        <v>15860674.26</v>
      </c>
      <c r="O21" s="188">
        <f>+INDEX('2019'!$1:$1048576,MATCH(CONCATENATE('Analitika - 2019'!$A21,"p"),'2019'!$A:$A,0),MATCH('Analitika - 2019'!$O$6,'2019'!$101:$101,0))</f>
        <v>14239936.351746917</v>
      </c>
      <c r="P21" s="189">
        <f t="shared" si="3"/>
        <v>1620737.908253083</v>
      </c>
      <c r="Q21" s="190">
        <f t="shared" si="4"/>
        <v>0.11381637306646075</v>
      </c>
      <c r="R21" s="188">
        <f>+INDEX('2018'!$1:$1048576,MATCH('Analitika - 2019'!$A21,'2018'!$A:$A,0),MATCH('Analitika - 2019'!$R$6,'2018'!$6:$6,0))</f>
        <v>16257992.279999999</v>
      </c>
      <c r="S21" s="189">
        <f t="shared" si="5"/>
        <v>-397318.01999999955</v>
      </c>
      <c r="T21" s="191">
        <f t="shared" si="6"/>
        <v>-2.4438320129402835E-2</v>
      </c>
    </row>
    <row r="22" spans="1:20">
      <c r="A22" s="175">
        <v>7123</v>
      </c>
      <c r="B22" s="489" t="str">
        <f>+VLOOKUP($A22,Master!$D$27:$G$225,4,FALSE)</f>
        <v>Doprinosi za osiguranje od nezaposlenosti</v>
      </c>
      <c r="C22" s="490"/>
      <c r="D22" s="490"/>
      <c r="E22" s="490"/>
      <c r="F22" s="490"/>
      <c r="G22" s="188">
        <f>+SUMPRODUCT(('2019'!$G22:$R22)*('2019'!$G$5:$R$5&lt;=Master!$B$3)*($A22='2019'!$A$10:$A$66))</f>
        <v>8954057.3800000008</v>
      </c>
      <c r="H22" s="188">
        <f>+SUMPRODUCT(('2019'!$G117:$R117)*('2019'!$G$5:$R$5&lt;=Master!$B$3))</f>
        <v>8827671.7094860449</v>
      </c>
      <c r="I22" s="189">
        <f t="shared" si="0"/>
        <v>126385.67051395588</v>
      </c>
      <c r="J22" s="190">
        <f t="shared" si="1"/>
        <v>1.4316988065850245E-2</v>
      </c>
      <c r="K22" s="188">
        <f>+SUMPRODUCT(('2018'!$G22:$R22)*('2018'!$G$5:$R$5&lt;=Master!$B$3))</f>
        <v>7982722.3600000003</v>
      </c>
      <c r="L22" s="189">
        <f t="shared" si="7"/>
        <v>971335.02000000048</v>
      </c>
      <c r="M22" s="191">
        <f t="shared" si="2"/>
        <v>0.12167966969103006</v>
      </c>
      <c r="N22" s="188">
        <f>+INDEX('2019'!$1:$1048576,MATCH('Analitika - 2019'!$A22,'2019'!$A:$A,0),MATCH('Analitika - 2019'!$N$6,'2019'!$6:$6,0))</f>
        <v>1256512.28</v>
      </c>
      <c r="O22" s="188">
        <f>+INDEX('2019'!$1:$1048576,MATCH(CONCATENATE('Analitika - 2019'!$A22,"p"),'2019'!$A:$A,0),MATCH('Analitika - 2019'!$O$6,'2019'!$101:$101,0))</f>
        <v>1304199.4730337204</v>
      </c>
      <c r="P22" s="189">
        <f t="shared" si="3"/>
        <v>-47687.193033720367</v>
      </c>
      <c r="Q22" s="190">
        <f t="shared" si="4"/>
        <v>-3.6564340056658984E-2</v>
      </c>
      <c r="R22" s="188">
        <f>+INDEX('2018'!$1:$1048576,MATCH('Analitika - 2019'!$A22,'2018'!$A:$A,0),MATCH('Analitika - 2019'!$R$6,'2018'!$6:$6,0))</f>
        <v>1194470.45</v>
      </c>
      <c r="S22" s="189">
        <f t="shared" si="5"/>
        <v>62041.830000000075</v>
      </c>
      <c r="T22" s="191">
        <f t="shared" si="6"/>
        <v>5.1940866347928605E-2</v>
      </c>
    </row>
    <row r="23" spans="1:20">
      <c r="A23" s="175">
        <v>7124</v>
      </c>
      <c r="B23" s="489" t="str">
        <f>+VLOOKUP($A23,Master!$D$27:$G$225,4,FALSE)</f>
        <v>Ostali doprinosi</v>
      </c>
      <c r="C23" s="490"/>
      <c r="D23" s="490"/>
      <c r="E23" s="490"/>
      <c r="F23" s="490"/>
      <c r="G23" s="188">
        <f>+SUMPRODUCT(('2019'!$G23:$R23)*('2019'!$G$5:$R$5&lt;=Master!$B$3)*($A23='2019'!$A$10:$A$66))</f>
        <v>8307137.79</v>
      </c>
      <c r="H23" s="188">
        <f>+SUMPRODUCT(('2019'!$G118:$R118)*('2019'!$G$5:$R$5&lt;=Master!$B$3))</f>
        <v>8332447.6888069306</v>
      </c>
      <c r="I23" s="189">
        <f t="shared" si="0"/>
        <v>-25309.89880693052</v>
      </c>
      <c r="J23" s="190">
        <f t="shared" si="1"/>
        <v>-3.0375106753960379E-3</v>
      </c>
      <c r="K23" s="188">
        <f>+SUMPRODUCT(('2018'!$G23:$R23)*('2018'!$G$5:$R$5&lt;=Master!$B$3))</f>
        <v>7450580.4299999997</v>
      </c>
      <c r="L23" s="189">
        <f t="shared" si="7"/>
        <v>856557.36000000034</v>
      </c>
      <c r="M23" s="191">
        <f t="shared" si="2"/>
        <v>0.11496518533657385</v>
      </c>
      <c r="N23" s="188">
        <f>+INDEX('2019'!$1:$1048576,MATCH('Analitika - 2019'!$A23,'2019'!$A:$A,0),MATCH('Analitika - 2019'!$N$6,'2019'!$6:$6,0))</f>
        <v>1134338.8700000001</v>
      </c>
      <c r="O23" s="188">
        <f>+INDEX('2019'!$1:$1048576,MATCH(CONCATENATE('Analitika - 2019'!$A23,"p"),'2019'!$A:$A,0),MATCH('Analitika - 2019'!$O$6,'2019'!$101:$101,0))</f>
        <v>1106008.2270068659</v>
      </c>
      <c r="P23" s="189">
        <f t="shared" si="3"/>
        <v>28330.642993134214</v>
      </c>
      <c r="Q23" s="190">
        <f t="shared" si="4"/>
        <v>2.561521903847308E-2</v>
      </c>
      <c r="R23" s="188">
        <f>+INDEX('2018'!$1:$1048576,MATCH('Analitika - 2019'!$A23,'2018'!$A:$A,0),MATCH('Analitika - 2019'!$R$6,'2018'!$6:$6,0))</f>
        <v>1150210.73</v>
      </c>
      <c r="S23" s="189">
        <f t="shared" si="5"/>
        <v>-15871.85999999987</v>
      </c>
      <c r="T23" s="191">
        <f t="shared" si="6"/>
        <v>-1.379908879827596E-2</v>
      </c>
    </row>
    <row r="24" spans="1:20">
      <c r="A24" s="175">
        <v>713</v>
      </c>
      <c r="B24" s="491" t="str">
        <f>+VLOOKUP($A24,Master!$D$27:$G$225,4,FALSE)</f>
        <v>Takse</v>
      </c>
      <c r="C24" s="492"/>
      <c r="D24" s="492"/>
      <c r="E24" s="492"/>
      <c r="F24" s="492"/>
      <c r="G24" s="200">
        <f>+SUMPRODUCT(('2019'!$G24:$R24)*('2019'!$G$5:$R$5&lt;=Master!$B$3)*($A24='2019'!$A$10:$A$66))</f>
        <v>10222376.829999998</v>
      </c>
      <c r="H24" s="200">
        <f>+SUMPRODUCT(('2019'!$G119:$R119)*('2019'!$G$5:$R$5&lt;=Master!$B$3))</f>
        <v>10207676.861375349</v>
      </c>
      <c r="I24" s="201">
        <f t="shared" si="0"/>
        <v>14699.968624649569</v>
      </c>
      <c r="J24" s="202">
        <f t="shared" si="1"/>
        <v>1.4400895349921949E-3</v>
      </c>
      <c r="K24" s="200">
        <f>+SUMPRODUCT(('2018'!$G24:$R24)*('2018'!$G$5:$R$5&lt;=Master!$B$3))</f>
        <v>10953506.469999999</v>
      </c>
      <c r="L24" s="201">
        <f t="shared" si="7"/>
        <v>-731129.6400000006</v>
      </c>
      <c r="M24" s="203">
        <f t="shared" si="2"/>
        <v>-6.6748455574701548E-2</v>
      </c>
      <c r="N24" s="200">
        <f>+INDEX('2019'!$1:$1048576,MATCH('Analitika - 2019'!$A24,'2019'!$A:$A,0),MATCH('Analitika - 2019'!$N$6,'2019'!$6:$6,0))</f>
        <v>1630940.38</v>
      </c>
      <c r="O24" s="200">
        <f>+INDEX('2019'!$1:$1048576,MATCH(CONCATENATE('Analitika - 2019'!$A24,"p"),'2019'!$A:$A,0),MATCH('Analitika - 2019'!$O$6,'2019'!$101:$101,0))</f>
        <v>1701456.5372229549</v>
      </c>
      <c r="P24" s="201">
        <f t="shared" si="3"/>
        <v>-70516.157222955022</v>
      </c>
      <c r="Q24" s="202">
        <f t="shared" si="4"/>
        <v>-4.1444583320387696E-2</v>
      </c>
      <c r="R24" s="200">
        <f>+INDEX('2018'!$1:$1048576,MATCH('Analitika - 2019'!$A24,'2018'!$A:$A,0),MATCH('Analitika - 2019'!$R$6,'2018'!$6:$6,0))</f>
        <v>1882210.04</v>
      </c>
      <c r="S24" s="201">
        <f t="shared" si="5"/>
        <v>-251269.66000000015</v>
      </c>
      <c r="T24" s="203">
        <f t="shared" si="6"/>
        <v>-0.1334971414773668</v>
      </c>
    </row>
    <row r="25" spans="1:20">
      <c r="A25" s="175">
        <v>714</v>
      </c>
      <c r="B25" s="491" t="str">
        <f>+VLOOKUP($A25,Master!$D$27:$G$225,4,FALSE)</f>
        <v>Naknade</v>
      </c>
      <c r="C25" s="492"/>
      <c r="D25" s="492"/>
      <c r="E25" s="492"/>
      <c r="F25" s="492"/>
      <c r="G25" s="200">
        <f>+SUMPRODUCT(('2019'!$G25:$R25)*('2019'!$G$5:$R$5&lt;=Master!$B$3)*($A25='2019'!$A$10:$A$66))</f>
        <v>18131611.960000001</v>
      </c>
      <c r="H25" s="200">
        <f>+SUMPRODUCT(('2019'!$G120:$R120)*('2019'!$G$5:$R$5&lt;=Master!$B$3))</f>
        <v>19629539.770861156</v>
      </c>
      <c r="I25" s="201">
        <f t="shared" si="0"/>
        <v>-1497927.8108611554</v>
      </c>
      <c r="J25" s="202">
        <f t="shared" si="1"/>
        <v>-7.6309879311828643E-2</v>
      </c>
      <c r="K25" s="200">
        <f>+SUMPRODUCT(('2018'!$G25:$R25)*('2018'!$G$5:$R$5&lt;=Master!$B$3))</f>
        <v>17418621.59</v>
      </c>
      <c r="L25" s="201">
        <f t="shared" si="7"/>
        <v>712990.37000000104</v>
      </c>
      <c r="M25" s="203">
        <f t="shared" si="2"/>
        <v>4.0932651663397213E-2</v>
      </c>
      <c r="N25" s="200">
        <f>+INDEX('2019'!$1:$1048576,MATCH('Analitika - 2019'!$A25,'2019'!$A:$A,0),MATCH('Analitika - 2019'!$N$6,'2019'!$6:$6,0))</f>
        <v>1985377.1099999999</v>
      </c>
      <c r="O25" s="200">
        <f>+INDEX('2019'!$1:$1048576,MATCH(CONCATENATE('Analitika - 2019'!$A25,"p"),'2019'!$A:$A,0),MATCH('Analitika - 2019'!$O$6,'2019'!$101:$101,0))</f>
        <v>2369139.8885664819</v>
      </c>
      <c r="P25" s="201">
        <f t="shared" si="3"/>
        <v>-383762.77856648201</v>
      </c>
      <c r="Q25" s="202">
        <f t="shared" si="4"/>
        <v>-0.16198400964777515</v>
      </c>
      <c r="R25" s="200">
        <f>+INDEX('2018'!$1:$1048576,MATCH('Analitika - 2019'!$A25,'2018'!$A:$A,0),MATCH('Analitika - 2019'!$R$6,'2018'!$6:$6,0))</f>
        <v>1937135.94</v>
      </c>
      <c r="S25" s="201">
        <f t="shared" si="5"/>
        <v>48241.169999999925</v>
      </c>
      <c r="T25" s="203">
        <f t="shared" si="6"/>
        <v>2.4903347774343665E-2</v>
      </c>
    </row>
    <row r="26" spans="1:20">
      <c r="A26" s="175">
        <v>715</v>
      </c>
      <c r="B26" s="491" t="str">
        <f>+VLOOKUP($A26,Master!$D$27:$G$225,4,FALSE)</f>
        <v>Ostali prihodi</v>
      </c>
      <c r="C26" s="492"/>
      <c r="D26" s="492"/>
      <c r="E26" s="492"/>
      <c r="F26" s="492"/>
      <c r="G26" s="200">
        <f>+SUMPRODUCT(('2019'!$G26:$R26)*('2019'!$G$5:$R$5&lt;=Master!$B$3)*($A26='2019'!$A$10:$A$66))</f>
        <v>26488221.09</v>
      </c>
      <c r="H26" s="200">
        <f>+SUMPRODUCT(('2019'!$G121:$R121)*('2019'!$G$5:$R$5&lt;=Master!$B$3))</f>
        <v>26891709.998753048</v>
      </c>
      <c r="I26" s="201">
        <f t="shared" si="0"/>
        <v>-403488.90875304863</v>
      </c>
      <c r="J26" s="202">
        <f t="shared" si="1"/>
        <v>-1.500421166120558E-2</v>
      </c>
      <c r="K26" s="200">
        <f>+SUMPRODUCT(('2018'!$G26:$R26)*('2018'!$G$5:$R$5&lt;=Master!$B$3))</f>
        <v>23813418.250000004</v>
      </c>
      <c r="L26" s="201">
        <f t="shared" si="7"/>
        <v>2674802.8399999961</v>
      </c>
      <c r="M26" s="203">
        <f t="shared" si="2"/>
        <v>0.11232334694327206</v>
      </c>
      <c r="N26" s="200">
        <f>+INDEX('2019'!$1:$1048576,MATCH('Analitika - 2019'!$A26,'2019'!$A:$A,0),MATCH('Analitika - 2019'!$N$6,'2019'!$6:$6,0))</f>
        <v>2985463.57</v>
      </c>
      <c r="O26" s="200">
        <f>+INDEX('2019'!$1:$1048576,MATCH(CONCATENATE('Analitika - 2019'!$A26,"p"),'2019'!$A:$A,0),MATCH('Analitika - 2019'!$O$6,'2019'!$101:$101,0))</f>
        <v>3340173.0404689522</v>
      </c>
      <c r="P26" s="201">
        <f t="shared" si="3"/>
        <v>-354709.47046895232</v>
      </c>
      <c r="Q26" s="202">
        <f t="shared" si="4"/>
        <v>-0.10619493845718608</v>
      </c>
      <c r="R26" s="200">
        <f>+INDEX('2018'!$1:$1048576,MATCH('Analitika - 2019'!$A26,'2018'!$A:$A,0),MATCH('Analitika - 2019'!$R$6,'2018'!$6:$6,0))</f>
        <v>3453341.6</v>
      </c>
      <c r="S26" s="201">
        <f t="shared" si="5"/>
        <v>-467878.03000000026</v>
      </c>
      <c r="T26" s="203" t="s">
        <v>773</v>
      </c>
    </row>
    <row r="27" spans="1:20">
      <c r="A27" s="175">
        <v>73</v>
      </c>
      <c r="B27" s="491" t="str">
        <f>+VLOOKUP($A27,Master!$D$27:$G$225,4,FALSE)</f>
        <v>Primici od otplate kredita i sredstva prenesena iz prethodne godine</v>
      </c>
      <c r="C27" s="492"/>
      <c r="D27" s="492"/>
      <c r="E27" s="492"/>
      <c r="F27" s="492"/>
      <c r="G27" s="200">
        <f>+SUMPRODUCT(('2019'!$G27:$R27)*('2019'!$G$5:$R$5&lt;=Master!$B$3)*($A27='2019'!$A$10:$A$66))</f>
        <v>4591770.71</v>
      </c>
      <c r="H27" s="200">
        <f>+SUMPRODUCT(('2019'!$G122:$R122)*('2019'!$G$5:$R$5&lt;=Master!$B$3))</f>
        <v>3420481.9438641858</v>
      </c>
      <c r="I27" s="201">
        <f t="shared" si="0"/>
        <v>1171288.7661358141</v>
      </c>
      <c r="J27" s="202">
        <f t="shared" si="1"/>
        <v>0.34243383983854225</v>
      </c>
      <c r="K27" s="200">
        <f>+SUMPRODUCT(('2018'!$G27:$R27)*('2018'!$G$5:$R$5&lt;=Master!$B$3))</f>
        <v>4680661.96</v>
      </c>
      <c r="L27" s="201">
        <f t="shared" si="7"/>
        <v>-88891.25</v>
      </c>
      <c r="M27" s="203">
        <f t="shared" si="2"/>
        <v>-1.8991170642026045E-2</v>
      </c>
      <c r="N27" s="200">
        <f>+INDEX('2019'!$1:$1048576,MATCH('Analitika - 2019'!$A27,'2019'!$A:$A,0),MATCH('Analitika - 2019'!$N$6,'2019'!$6:$6,0))</f>
        <v>1295803.5900000001</v>
      </c>
      <c r="O27" s="200">
        <f>+INDEX('2019'!$1:$1048576,MATCH(CONCATENATE('Analitika - 2019'!$A27,"p"),'2019'!$A:$A,0),MATCH('Analitika - 2019'!$O$6,'2019'!$101:$101,0))</f>
        <v>117083.56784272524</v>
      </c>
      <c r="P27" s="201">
        <f t="shared" si="3"/>
        <v>1178720.0221572749</v>
      </c>
      <c r="Q27" s="202">
        <f t="shared" si="4"/>
        <v>10.067339455700678</v>
      </c>
      <c r="R27" s="200">
        <f>+INDEX('2018'!$1:$1048576,MATCH('Analitika - 2019'!$A27,'2018'!$A:$A,0),MATCH('Analitika - 2019'!$R$6,'2018'!$6:$6,0))</f>
        <v>146792.74</v>
      </c>
      <c r="S27" s="201">
        <f t="shared" si="5"/>
        <v>1149010.8500000001</v>
      </c>
      <c r="T27" s="203" t="s">
        <v>773</v>
      </c>
    </row>
    <row r="28" spans="1:20" ht="15.75" thickBot="1">
      <c r="A28" s="175">
        <v>74</v>
      </c>
      <c r="B28" s="493" t="str">
        <f>+VLOOKUP($A28,Master!$D$27:$G$225,4,FALSE)</f>
        <v>Donacije i transferi</v>
      </c>
      <c r="C28" s="494"/>
      <c r="D28" s="494"/>
      <c r="E28" s="494"/>
      <c r="F28" s="494"/>
      <c r="G28" s="200">
        <f>+SUMPRODUCT(('2019'!$G28:$R28)*('2019'!$G$5:$R$5&lt;=Master!$B$3)*($A28='2019'!$A$10:$A$66))</f>
        <v>21480040.799999997</v>
      </c>
      <c r="H28" s="200">
        <f>+SUMPRODUCT(('2019'!$G123:$R123)*('2019'!$G$5:$R$5&lt;=Master!$B$3))</f>
        <v>21214818.49665951</v>
      </c>
      <c r="I28" s="201">
        <f t="shared" si="0"/>
        <v>265222.30334048718</v>
      </c>
      <c r="J28" s="202">
        <f t="shared" si="1"/>
        <v>1.2501747464030766E-2</v>
      </c>
      <c r="K28" s="200">
        <f>+SUMPRODUCT(('2018'!$G28:$R28)*('2018'!$G$5:$R$5&lt;=Master!$B$3))</f>
        <v>16316279.240000002</v>
      </c>
      <c r="L28" s="201">
        <f t="shared" si="7"/>
        <v>5163761.5599999949</v>
      </c>
      <c r="M28" s="203">
        <f t="shared" si="2"/>
        <v>0.31647911169237841</v>
      </c>
      <c r="N28" s="200">
        <f>+INDEX('2019'!$1:$1048576,MATCH('Analitika - 2019'!$A28,'2019'!$A:$A,0),MATCH('Analitika - 2019'!$N$6,'2019'!$6:$6,0))</f>
        <v>1596012.32</v>
      </c>
      <c r="O28" s="200">
        <f>+INDEX('2019'!$1:$1048576,MATCH(CONCATENATE('Analitika - 2019'!$A28,"p"),'2019'!$A:$A,0),MATCH('Analitika - 2019'!$O$6,'2019'!$101:$101,0))</f>
        <v>1494727.7085961688</v>
      </c>
      <c r="P28" s="201">
        <f t="shared" si="3"/>
        <v>101284.61140383128</v>
      </c>
      <c r="Q28" s="202">
        <f t="shared" si="4"/>
        <v>6.7761245624433197E-2</v>
      </c>
      <c r="R28" s="200">
        <f>+INDEX('2018'!$1:$1048576,MATCH('Analitika - 2019'!$A28,'2018'!$A:$A,0),MATCH('Analitika - 2019'!$R$6,'2018'!$6:$6,0))</f>
        <v>259046.56</v>
      </c>
      <c r="S28" s="201">
        <f t="shared" si="5"/>
        <v>1336965.76</v>
      </c>
      <c r="T28" s="203">
        <f t="shared" si="6"/>
        <v>5.1611021586235308</v>
      </c>
    </row>
    <row r="29" spans="1:20" ht="15.75" thickBot="1">
      <c r="A29" s="175">
        <v>4</v>
      </c>
      <c r="B29" s="479" t="str">
        <f>+VLOOKUP($A29,Master!$D$27:$G$225,4,FALSE)</f>
        <v>Budžetski izdaci</v>
      </c>
      <c r="C29" s="480"/>
      <c r="D29" s="480"/>
      <c r="E29" s="480"/>
      <c r="F29" s="480"/>
      <c r="G29" s="176">
        <f>+SUMPRODUCT(('2019'!$G29:$R29)*('2019'!$G$5:$R$5&lt;=Master!$B$3)*($A29='2019'!$A$10:$A$66))</f>
        <v>1227285695.52</v>
      </c>
      <c r="H29" s="176">
        <f>+SUMPRODUCT(('2019'!$G124:$R124)*('2019'!$G$5:$R$5&lt;=Master!$B$3))</f>
        <v>1358534248.0633333</v>
      </c>
      <c r="I29" s="177">
        <f t="shared" si="0"/>
        <v>-131248552.54333329</v>
      </c>
      <c r="J29" s="178">
        <f t="shared" si="1"/>
        <v>-9.6610411353586056E-2</v>
      </c>
      <c r="K29" s="176">
        <f>+SUMPRODUCT(('2018'!$G29:$R29)*('2018'!$G$5:$R$5&lt;=Master!$B$3))</f>
        <v>1138756426.3999999</v>
      </c>
      <c r="L29" s="177">
        <f t="shared" si="7"/>
        <v>88529269.120000124</v>
      </c>
      <c r="M29" s="179">
        <f t="shared" si="2"/>
        <v>7.7742058852630525E-2</v>
      </c>
      <c r="N29" s="176">
        <f>+INDEX('2019'!$1:$1048576,MATCH('Analitika - 2019'!$A29,'2019'!$A:$A,0),MATCH('Analitika - 2019'!$N$6,'2019'!$6:$6,0))</f>
        <v>159575957.02000001</v>
      </c>
      <c r="O29" s="176">
        <f>+INDEX('2019'!$1:$1048576,MATCH(CONCATENATE('Analitika - 2019'!$A29,"p"),'2019'!$A:$A,0),MATCH('Analitika - 2019'!$O$6,'2019'!$101:$101,0))</f>
        <v>157395422.72416666</v>
      </c>
      <c r="P29" s="177">
        <f t="shared" si="3"/>
        <v>2180534.2958333492</v>
      </c>
      <c r="Q29" s="178">
        <f t="shared" si="4"/>
        <v>1.3853860919797567E-2</v>
      </c>
      <c r="R29" s="176">
        <f>+INDEX('2018'!$1:$1048576,MATCH('Analitika - 2019'!$A29,'2018'!$A:$A,0),MATCH('Analitika - 2019'!$R$6,'2018'!$6:$6,0))</f>
        <v>127201691.78999998</v>
      </c>
      <c r="S29" s="177">
        <f t="shared" si="5"/>
        <v>32374265.230000034</v>
      </c>
      <c r="T29" s="179">
        <f t="shared" si="6"/>
        <v>0.25451127869782897</v>
      </c>
    </row>
    <row r="30" spans="1:20" ht="15.75" thickBot="1">
      <c r="A30" s="175">
        <v>40</v>
      </c>
      <c r="B30" s="495" t="str">
        <f>+VLOOKUP($A30,Master!$D$27:$G$225,4,FALSE)</f>
        <v>Tekuća budžetska potrošnja</v>
      </c>
      <c r="C30" s="496"/>
      <c r="D30" s="496"/>
      <c r="E30" s="496"/>
      <c r="F30" s="496"/>
      <c r="G30" s="342">
        <f>+SUMPRODUCT(('2019'!$G30:$R30)*('2019'!$G$5:$R$5&lt;=Master!$B$3)*($A30='2019'!$A$10:$A$66))</f>
        <v>1081354132.5699999</v>
      </c>
      <c r="H30" s="342">
        <f>+SUMPRODUCT(('2019'!$G125:$R125)*('2019'!$G$5:$R$5&lt;=Master!$B$3))</f>
        <v>1144584248.1433334</v>
      </c>
      <c r="I30" s="207">
        <f t="shared" si="0"/>
        <v>-63230115.573333502</v>
      </c>
      <c r="J30" s="208">
        <f t="shared" si="1"/>
        <v>-5.5242867159757902E-2</v>
      </c>
      <c r="K30" s="342">
        <f>+SUMPRODUCT(('2018'!$G30:$R30)*('2018'!$G$5:$R$5&lt;=Master!$B$3))</f>
        <v>1023587860.03</v>
      </c>
      <c r="L30" s="207">
        <f t="shared" si="7"/>
        <v>57766272.539999962</v>
      </c>
      <c r="M30" s="209">
        <f t="shared" si="2"/>
        <v>5.6435089546985173E-2</v>
      </c>
      <c r="N30" s="342">
        <f>+INDEX('2019'!$1:$1048576,MATCH('Analitika - 2019'!$A30,'2019'!$A:$A,0),MATCH('Analitika - 2019'!$N$6,'2019'!$6:$6,0))</f>
        <v>118701833.90000001</v>
      </c>
      <c r="O30" s="342">
        <f>+INDEX('2019'!$1:$1048576,MATCH(CONCATENATE('Analitika - 2019'!$A30,"p"),'2019'!$A:$A,0),MATCH('Analitika - 2019'!$O$6,'2019'!$101:$101,0))</f>
        <v>130651672.73416667</v>
      </c>
      <c r="P30" s="207">
        <f t="shared" si="3"/>
        <v>-11949838.834166661</v>
      </c>
      <c r="Q30" s="208">
        <f t="shared" si="4"/>
        <v>-9.1463343592092183E-2</v>
      </c>
      <c r="R30" s="342">
        <f>+INDEX('2018'!$1:$1048576,MATCH('Analitika - 2019'!$A30,'2018'!$A:$A,0),MATCH('Analitika - 2019'!$R$6,'2018'!$6:$6,0))</f>
        <v>119232633.09999998</v>
      </c>
      <c r="S30" s="207">
        <f t="shared" si="5"/>
        <v>-530799.19999997318</v>
      </c>
      <c r="T30" s="209">
        <f t="shared" si="6"/>
        <v>-4.4517946655996399E-3</v>
      </c>
    </row>
    <row r="31" spans="1:20">
      <c r="A31" s="175">
        <v>41</v>
      </c>
      <c r="B31" s="497" t="str">
        <f>+VLOOKUP($A31,Master!$D$27:$G$225,4,FALSE)</f>
        <v>Tekući izdaci</v>
      </c>
      <c r="C31" s="498"/>
      <c r="D31" s="498"/>
      <c r="E31" s="498"/>
      <c r="F31" s="498"/>
      <c r="G31" s="389">
        <f>+SUMPRODUCT(('2019'!$G31:$R31)*('2019'!$G$5:$R$5&lt;=Master!$B$3)*($A31='2019'!$A$10:$A$66))</f>
        <v>539843179.71000004</v>
      </c>
      <c r="H31" s="389">
        <f>+SUMPRODUCT(('2019'!$G126:$R126)*('2019'!$G$5:$R$5&lt;=Master!$B$3))</f>
        <v>585879261.57000005</v>
      </c>
      <c r="I31" s="213">
        <f t="shared" si="0"/>
        <v>-46036081.860000014</v>
      </c>
      <c r="J31" s="214">
        <f t="shared" si="1"/>
        <v>-7.8576056330506683E-2</v>
      </c>
      <c r="K31" s="389">
        <f>+SUMPRODUCT(('2018'!$G31:$R31)*('2018'!$G$5:$R$5&lt;=Master!$B$3))</f>
        <v>512652997.33000004</v>
      </c>
      <c r="L31" s="213">
        <f t="shared" si="7"/>
        <v>27190182.379999995</v>
      </c>
      <c r="M31" s="215">
        <f t="shared" si="2"/>
        <v>5.3038180838914206E-2</v>
      </c>
      <c r="N31" s="389">
        <f>+INDEX('2019'!$1:$1048576,MATCH('Analitika - 2019'!$A31,'2019'!$A:$A,0),MATCH('Analitika - 2019'!$N$6,'2019'!$6:$6,0))</f>
        <v>56723030.990000002</v>
      </c>
      <c r="O31" s="389">
        <f>+INDEX('2019'!$1:$1048576,MATCH(CONCATENATE('Analitika - 2019'!$A31,"p"),'2019'!$A:$A,0),MATCH('Analitika - 2019'!$O$6,'2019'!$101:$101,0))</f>
        <v>62800153.3125</v>
      </c>
      <c r="P31" s="213">
        <f t="shared" si="3"/>
        <v>-6077122.3224999979</v>
      </c>
      <c r="Q31" s="214">
        <f t="shared" si="4"/>
        <v>-9.6769227493118004E-2</v>
      </c>
      <c r="R31" s="389">
        <f>+INDEX('2018'!$1:$1048576,MATCH('Analitika - 2019'!$A31,'2018'!$A:$A,0),MATCH('Analitika - 2019'!$R$6,'2018'!$6:$6,0))</f>
        <v>53673085.449999981</v>
      </c>
      <c r="S31" s="213">
        <f t="shared" si="5"/>
        <v>3049945.5400000215</v>
      </c>
      <c r="T31" s="215">
        <f t="shared" si="6"/>
        <v>5.6824486880696412E-2</v>
      </c>
    </row>
    <row r="32" spans="1:20">
      <c r="A32" s="175">
        <v>411</v>
      </c>
      <c r="B32" s="489" t="str">
        <f>+VLOOKUP($A32,Master!$D$27:$G$225,4,FALSE)</f>
        <v>Bruto zarade i doprinosi na teret poslodavca</v>
      </c>
      <c r="C32" s="490"/>
      <c r="D32" s="490"/>
      <c r="E32" s="490"/>
      <c r="F32" s="490"/>
      <c r="G32" s="188">
        <f>+SUMPRODUCT(('2019'!$G32:$R32)*('2019'!$G$5:$R$5&lt;=Master!$B$3)*($A32='2019'!$A$10:$A$66))</f>
        <v>312199689.35000002</v>
      </c>
      <c r="H32" s="188">
        <f>+SUMPRODUCT(('2019'!$G127:$R127)*('2019'!$G$5:$R$5&lt;=Master!$B$3))</f>
        <v>315950798.35333335</v>
      </c>
      <c r="I32" s="189">
        <f t="shared" si="0"/>
        <v>-3751109.0033333302</v>
      </c>
      <c r="J32" s="190">
        <f t="shared" si="1"/>
        <v>-1.1872446668542369E-2</v>
      </c>
      <c r="K32" s="188">
        <f>+SUMPRODUCT(('2018'!$G32:$R32)*('2018'!$G$5:$R$5&lt;=Master!$B$3))</f>
        <v>301952183.43000001</v>
      </c>
      <c r="L32" s="189">
        <f t="shared" si="7"/>
        <v>10247505.920000017</v>
      </c>
      <c r="M32" s="191">
        <f t="shared" si="2"/>
        <v>3.3937512236521528E-2</v>
      </c>
      <c r="N32" s="188">
        <f>+INDEX('2019'!$1:$1048576,MATCH('Analitika - 2019'!$A32,'2019'!$A:$A,0),MATCH('Analitika - 2019'!$N$6,'2019'!$6:$6,0))</f>
        <v>37169894.039999999</v>
      </c>
      <c r="O32" s="188">
        <f>+INDEX('2019'!$1:$1048576,MATCH(CONCATENATE('Analitika - 2019'!$A32,"p"),'2019'!$A:$A,0),MATCH('Analitika - 2019'!$O$6,'2019'!$101:$101,0))</f>
        <v>39093383.891666673</v>
      </c>
      <c r="P32" s="189">
        <f t="shared" si="3"/>
        <v>-1923489.851666674</v>
      </c>
      <c r="Q32" s="190">
        <f t="shared" si="4"/>
        <v>-4.9202439394781972E-2</v>
      </c>
      <c r="R32" s="188">
        <f>+INDEX('2018'!$1:$1048576,MATCH('Analitika - 2019'!$A32,'2018'!$A:$A,0),MATCH('Analitika - 2019'!$R$6,'2018'!$6:$6,0))</f>
        <v>36767851.93</v>
      </c>
      <c r="S32" s="189">
        <f t="shared" si="5"/>
        <v>402042.1099999994</v>
      </c>
      <c r="T32" s="191">
        <f t="shared" si="6"/>
        <v>1.0934609690155916E-2</v>
      </c>
    </row>
    <row r="33" spans="1:20">
      <c r="A33" s="175">
        <v>412</v>
      </c>
      <c r="B33" s="489" t="str">
        <f>+VLOOKUP($A33,Master!$D$27:$G$225,4,FALSE)</f>
        <v>Ostala lična primanja</v>
      </c>
      <c r="C33" s="490"/>
      <c r="D33" s="490"/>
      <c r="E33" s="490"/>
      <c r="F33" s="490"/>
      <c r="G33" s="188">
        <f>+SUMPRODUCT(('2019'!$G33:$R33)*('2019'!$G$5:$R$5&lt;=Master!$B$3)*($A33='2019'!$A$10:$A$66))</f>
        <v>7990003.3700000001</v>
      </c>
      <c r="H33" s="188">
        <f>+SUMPRODUCT(('2019'!$G128:$R128)*('2019'!$G$5:$R$5&lt;=Master!$B$3))</f>
        <v>10109536.676666666</v>
      </c>
      <c r="I33" s="189">
        <f t="shared" si="0"/>
        <v>-2119533.3066666657</v>
      </c>
      <c r="J33" s="190">
        <f t="shared" si="1"/>
        <v>-0.20965681954136017</v>
      </c>
      <c r="K33" s="188">
        <f>+SUMPRODUCT(('2018'!$G33:$R33)*('2018'!$G$5:$R$5&lt;=Master!$B$3))</f>
        <v>6787753.9199999999</v>
      </c>
      <c r="L33" s="189">
        <f t="shared" si="7"/>
        <v>1202249.4500000002</v>
      </c>
      <c r="M33" s="191">
        <f t="shared" si="2"/>
        <v>0.17712036472883796</v>
      </c>
      <c r="N33" s="188">
        <f>+INDEX('2019'!$1:$1048576,MATCH('Analitika - 2019'!$A33,'2019'!$A:$A,0),MATCH('Analitika - 2019'!$N$6,'2019'!$6:$6,0))</f>
        <v>864258.85</v>
      </c>
      <c r="O33" s="188">
        <f>+INDEX('2019'!$1:$1048576,MATCH(CONCATENATE('Analitika - 2019'!$A33,"p"),'2019'!$A:$A,0),MATCH('Analitika - 2019'!$O$6,'2019'!$101:$101,0))</f>
        <v>1249158.6208333333</v>
      </c>
      <c r="P33" s="189">
        <f t="shared" si="3"/>
        <v>-384899.77083333337</v>
      </c>
      <c r="Q33" s="190">
        <f t="shared" si="4"/>
        <v>-0.3081272181242769</v>
      </c>
      <c r="R33" s="188">
        <f>+INDEX('2018'!$1:$1048576,MATCH('Analitika - 2019'!$A33,'2018'!$A:$A,0),MATCH('Analitika - 2019'!$R$6,'2018'!$6:$6,0))</f>
        <v>804909.73</v>
      </c>
      <c r="S33" s="189">
        <f t="shared" si="5"/>
        <v>59349.119999999995</v>
      </c>
      <c r="T33" s="191">
        <f t="shared" si="6"/>
        <v>7.3733883177185655E-2</v>
      </c>
    </row>
    <row r="34" spans="1:20">
      <c r="A34" s="175">
        <v>413</v>
      </c>
      <c r="B34" s="489" t="str">
        <f>+VLOOKUP($A34,Master!$D$27:$G$225,4,FALSE)</f>
        <v>Rashodi za materijal</v>
      </c>
      <c r="C34" s="490"/>
      <c r="D34" s="490"/>
      <c r="E34" s="490"/>
      <c r="F34" s="490"/>
      <c r="G34" s="188">
        <f>+SUMPRODUCT(('2019'!$G34:$R34)*('2019'!$G$5:$R$5&lt;=Master!$B$3)*($A34='2019'!$A$10:$A$66))</f>
        <v>18545342.66</v>
      </c>
      <c r="H34" s="188">
        <f>+SUMPRODUCT(('2019'!$G129:$R129)*('2019'!$G$5:$R$5&lt;=Master!$B$3))</f>
        <v>24424901.416666672</v>
      </c>
      <c r="I34" s="189">
        <f t="shared" si="0"/>
        <v>-5879558.7566666715</v>
      </c>
      <c r="J34" s="190">
        <f t="shared" si="1"/>
        <v>-0.2407198561978503</v>
      </c>
      <c r="K34" s="188">
        <f>+SUMPRODUCT(('2018'!$G34:$R34)*('2018'!$G$5:$R$5&lt;=Master!$B$3))</f>
        <v>19909951.48</v>
      </c>
      <c r="L34" s="189">
        <f t="shared" si="7"/>
        <v>-1364608.8200000003</v>
      </c>
      <c r="M34" s="191">
        <f t="shared" si="2"/>
        <v>-6.8539032923851217E-2</v>
      </c>
      <c r="N34" s="188">
        <f>+INDEX('2019'!$1:$1048576,MATCH('Analitika - 2019'!$A34,'2019'!$A:$A,0),MATCH('Analitika - 2019'!$N$6,'2019'!$6:$6,0))</f>
        <v>2462726.48</v>
      </c>
      <c r="O34" s="188">
        <f>+INDEX('2019'!$1:$1048576,MATCH(CONCATENATE('Analitika - 2019'!$A34,"p"),'2019'!$A:$A,0),MATCH('Analitika - 2019'!$O$6,'2019'!$101:$101,0))</f>
        <v>3059180.8058333341</v>
      </c>
      <c r="P34" s="189">
        <f t="shared" si="3"/>
        <v>-596454.32583333412</v>
      </c>
      <c r="Q34" s="190">
        <f t="shared" si="4"/>
        <v>-0.19497191035456218</v>
      </c>
      <c r="R34" s="188">
        <f>+INDEX('2018'!$1:$1048576,MATCH('Analitika - 2019'!$A34,'2018'!$A:$A,0),MATCH('Analitika - 2019'!$R$6,'2018'!$6:$6,0))</f>
        <v>2382536.89</v>
      </c>
      <c r="S34" s="189">
        <f t="shared" si="5"/>
        <v>80189.589999999851</v>
      </c>
      <c r="T34" s="191">
        <f t="shared" si="6"/>
        <v>3.3657229122693533E-2</v>
      </c>
    </row>
    <row r="35" spans="1:20">
      <c r="A35" s="175">
        <v>414</v>
      </c>
      <c r="B35" s="489" t="str">
        <f>+VLOOKUP($A35,Master!$D$27:$G$225,4,FALSE)</f>
        <v>Rashodi za usluge</v>
      </c>
      <c r="C35" s="490"/>
      <c r="D35" s="490"/>
      <c r="E35" s="490"/>
      <c r="F35" s="490"/>
      <c r="G35" s="188">
        <f>+SUMPRODUCT(('2019'!$G35:$R35)*('2019'!$G$5:$R$5&lt;=Master!$B$3)*($A35='2019'!$A$10:$A$66))</f>
        <v>41470033.190000005</v>
      </c>
      <c r="H35" s="188">
        <f>+SUMPRODUCT(('2019'!$G130:$R130)*('2019'!$G$5:$R$5&lt;=Master!$B$3))</f>
        <v>42826573.239999995</v>
      </c>
      <c r="I35" s="189">
        <f t="shared" si="0"/>
        <v>-1356540.0499999896</v>
      </c>
      <c r="J35" s="190">
        <f t="shared" si="1"/>
        <v>-3.1675194800152351E-2</v>
      </c>
      <c r="K35" s="188">
        <f>+SUMPRODUCT(('2018'!$G35:$R35)*('2018'!$G$5:$R$5&lt;=Master!$B$3))</f>
        <v>41507193.209999993</v>
      </c>
      <c r="L35" s="189">
        <f t="shared" si="7"/>
        <v>-37160.019999988377</v>
      </c>
      <c r="M35" s="191">
        <f t="shared" si="2"/>
        <v>-8.9526699172315372E-4</v>
      </c>
      <c r="N35" s="188">
        <f>+INDEX('2019'!$1:$1048576,MATCH('Analitika - 2019'!$A35,'2019'!$A:$A,0),MATCH('Analitika - 2019'!$N$6,'2019'!$6:$6,0))</f>
        <v>3302685.24</v>
      </c>
      <c r="O35" s="188">
        <f>+INDEX('2019'!$1:$1048576,MATCH(CONCATENATE('Analitika - 2019'!$A35,"p"),'2019'!$A:$A,0),MATCH('Analitika - 2019'!$O$6,'2019'!$101:$101,0))</f>
        <v>5071091.2374999989</v>
      </c>
      <c r="P35" s="189">
        <f t="shared" si="3"/>
        <v>-1768405.9974999987</v>
      </c>
      <c r="Q35" s="190">
        <f t="shared" si="4"/>
        <v>-0.34872297000355423</v>
      </c>
      <c r="R35" s="188">
        <f>+INDEX('2018'!$1:$1048576,MATCH('Analitika - 2019'!$A35,'2018'!$A:$A,0),MATCH('Analitika - 2019'!$R$6,'2018'!$6:$6,0))</f>
        <v>3624827.41</v>
      </c>
      <c r="S35" s="189">
        <f t="shared" si="5"/>
        <v>-322142.16999999993</v>
      </c>
      <c r="T35" s="191">
        <f t="shared" si="6"/>
        <v>-8.8871036759237021E-2</v>
      </c>
    </row>
    <row r="36" spans="1:20">
      <c r="A36" s="175">
        <v>415</v>
      </c>
      <c r="B36" s="489" t="str">
        <f>+VLOOKUP($A36,Master!$D$27:$G$225,4,FALSE)</f>
        <v>Rashodi za tekuće održavanje</v>
      </c>
      <c r="C36" s="490"/>
      <c r="D36" s="490"/>
      <c r="E36" s="490"/>
      <c r="F36" s="490"/>
      <c r="G36" s="188">
        <f>+SUMPRODUCT(('2019'!$G36:$R36)*('2019'!$G$5:$R$5&lt;=Master!$B$3)*($A36='2019'!$A$10:$A$66))</f>
        <v>11075475.059999999</v>
      </c>
      <c r="H36" s="188">
        <f>+SUMPRODUCT(('2019'!$G131:$R131)*('2019'!$G$5:$R$5&lt;=Master!$B$3))</f>
        <v>15428492.123333333</v>
      </c>
      <c r="I36" s="189">
        <f t="shared" si="0"/>
        <v>-4353017.0633333344</v>
      </c>
      <c r="J36" s="190">
        <f t="shared" si="1"/>
        <v>-0.28214144509624728</v>
      </c>
      <c r="K36" s="188">
        <f>+SUMPRODUCT(('2018'!$G36:$R36)*('2018'!$G$5:$R$5&lt;=Master!$B$3))</f>
        <v>10853693.83</v>
      </c>
      <c r="L36" s="189">
        <f t="shared" si="7"/>
        <v>221781.22999999858</v>
      </c>
      <c r="M36" s="191">
        <f t="shared" si="2"/>
        <v>2.043370980181769E-2</v>
      </c>
      <c r="N36" s="188">
        <f>+INDEX('2019'!$1:$1048576,MATCH('Analitika - 2019'!$A36,'2019'!$A:$A,0),MATCH('Analitika - 2019'!$N$6,'2019'!$6:$6,0))</f>
        <v>1121425.77</v>
      </c>
      <c r="O36" s="188">
        <f>+INDEX('2019'!$1:$1048576,MATCH(CONCATENATE('Analitika - 2019'!$A36,"p"),'2019'!$A:$A,0),MATCH('Analitika - 2019'!$O$6,'2019'!$101:$101,0))</f>
        <v>1934887.7116666667</v>
      </c>
      <c r="P36" s="189">
        <f t="shared" si="3"/>
        <v>-813461.94166666665</v>
      </c>
      <c r="Q36" s="190">
        <f t="shared" si="4"/>
        <v>-0.42041816523087516</v>
      </c>
      <c r="R36" s="188">
        <f>+INDEX('2018'!$1:$1048576,MATCH('Analitika - 2019'!$A36,'2018'!$A:$A,0),MATCH('Analitika - 2019'!$R$6,'2018'!$6:$6,0))</f>
        <v>823314.3</v>
      </c>
      <c r="S36" s="189">
        <f t="shared" si="5"/>
        <v>298111.46999999997</v>
      </c>
      <c r="T36" s="191">
        <f t="shared" si="6"/>
        <v>0.36208707901708981</v>
      </c>
    </row>
    <row r="37" spans="1:20">
      <c r="A37" s="175">
        <v>416</v>
      </c>
      <c r="B37" s="489" t="str">
        <f>+VLOOKUP($A37,Master!$D$27:$G$225,4,FALSE)</f>
        <v>Kamate</v>
      </c>
      <c r="C37" s="490"/>
      <c r="D37" s="490"/>
      <c r="E37" s="490"/>
      <c r="F37" s="490"/>
      <c r="G37" s="188">
        <f>+SUMPRODUCT(('2019'!$G37:$R37)*('2019'!$G$5:$R$5&lt;=Master!$B$3)*($A37='2019'!$A$10:$A$66))</f>
        <v>80054191.420000002</v>
      </c>
      <c r="H37" s="188">
        <f>+SUMPRODUCT(('2019'!$G132:$R132)*('2019'!$G$5:$R$5&lt;=Master!$B$3))</f>
        <v>81649997.019999996</v>
      </c>
      <c r="I37" s="189">
        <f t="shared" si="0"/>
        <v>-1595805.599999994</v>
      </c>
      <c r="J37" s="190">
        <f t="shared" si="1"/>
        <v>-1.9544466114421399E-2</v>
      </c>
      <c r="K37" s="188">
        <f>+SUMPRODUCT(('2018'!$G37:$R37)*('2018'!$G$5:$R$5&lt;=Master!$B$3))</f>
        <v>73550844.680000007</v>
      </c>
      <c r="L37" s="189">
        <f t="shared" si="7"/>
        <v>6503346.7399999946</v>
      </c>
      <c r="M37" s="191">
        <f t="shared" si="2"/>
        <v>8.8419742401250723E-2</v>
      </c>
      <c r="N37" s="188">
        <f>+INDEX('2019'!$1:$1048576,MATCH('Analitika - 2019'!$A37,'2019'!$A:$A,0),MATCH('Analitika - 2019'!$N$6,'2019'!$6:$6,0))</f>
        <v>1051267.33</v>
      </c>
      <c r="O37" s="188">
        <f>+INDEX('2019'!$1:$1048576,MATCH(CONCATENATE('Analitika - 2019'!$A37,"p"),'2019'!$A:$A,0),MATCH('Analitika - 2019'!$O$6,'2019'!$101:$101,0))</f>
        <v>1297206.1400000008</v>
      </c>
      <c r="P37" s="189">
        <f t="shared" si="3"/>
        <v>-245938.81000000075</v>
      </c>
      <c r="Q37" s="190">
        <f t="shared" si="4"/>
        <v>-0.18959115472580212</v>
      </c>
      <c r="R37" s="188">
        <f>+INDEX('2018'!$1:$1048576,MATCH('Analitika - 2019'!$A37,'2018'!$A:$A,0),MATCH('Analitika - 2019'!$R$6,'2018'!$6:$6,0))</f>
        <v>1134154.94</v>
      </c>
      <c r="S37" s="189">
        <f t="shared" si="5"/>
        <v>-82887.60999999987</v>
      </c>
      <c r="T37" s="191">
        <f t="shared" si="6"/>
        <v>-7.3083145059527621E-2</v>
      </c>
    </row>
    <row r="38" spans="1:20">
      <c r="A38" s="175">
        <v>417</v>
      </c>
      <c r="B38" s="489" t="str">
        <f>+VLOOKUP($A38,Master!$D$27:$G$225,4,FALSE)</f>
        <v>Renta</v>
      </c>
      <c r="C38" s="490"/>
      <c r="D38" s="490"/>
      <c r="E38" s="490"/>
      <c r="F38" s="490"/>
      <c r="G38" s="188">
        <f>+SUMPRODUCT(('2019'!$G38:$R38)*('2019'!$G$5:$R$5&lt;=Master!$B$3)*($A38='2019'!$A$10:$A$66))</f>
        <v>6750903.8700000001</v>
      </c>
      <c r="H38" s="188">
        <f>+SUMPRODUCT(('2019'!$G133:$R133)*('2019'!$G$5:$R$5&lt;=Master!$B$3))</f>
        <v>6495820.1999999993</v>
      </c>
      <c r="I38" s="189">
        <f t="shared" si="0"/>
        <v>255083.67000000086</v>
      </c>
      <c r="J38" s="190">
        <f t="shared" si="1"/>
        <v>3.9268893249231329E-2</v>
      </c>
      <c r="K38" s="188">
        <f>+SUMPRODUCT(('2018'!$G38:$R38)*('2018'!$G$5:$R$5&lt;=Master!$B$3))</f>
        <v>5622336.1600000001</v>
      </c>
      <c r="L38" s="189">
        <f t="shared" si="7"/>
        <v>1128567.71</v>
      </c>
      <c r="M38" s="191">
        <f t="shared" si="2"/>
        <v>0.20072931925151916</v>
      </c>
      <c r="N38" s="188">
        <f>+INDEX('2019'!$1:$1048576,MATCH('Analitika - 2019'!$A38,'2019'!$A:$A,0),MATCH('Analitika - 2019'!$N$6,'2019'!$6:$6,0))</f>
        <v>827493.89</v>
      </c>
      <c r="O38" s="188">
        <f>+INDEX('2019'!$1:$1048576,MATCH(CONCATENATE('Analitika - 2019'!$A38,"p"),'2019'!$A:$A,0),MATCH('Analitika - 2019'!$O$6,'2019'!$101:$101,0))</f>
        <v>846570.39</v>
      </c>
      <c r="P38" s="189">
        <f t="shared" si="3"/>
        <v>-19076.5</v>
      </c>
      <c r="Q38" s="190">
        <f t="shared" si="4"/>
        <v>-2.2533861596553129E-2</v>
      </c>
      <c r="R38" s="188">
        <f>+INDEX('2018'!$1:$1048576,MATCH('Analitika - 2019'!$A38,'2018'!$A:$A,0),MATCH('Analitika - 2019'!$R$6,'2018'!$6:$6,0))</f>
        <v>556574.75</v>
      </c>
      <c r="S38" s="189">
        <f t="shared" si="5"/>
        <v>270919.14</v>
      </c>
      <c r="T38" s="191">
        <f t="shared" si="6"/>
        <v>0.48676146375666529</v>
      </c>
    </row>
    <row r="39" spans="1:20">
      <c r="A39" s="175">
        <v>418</v>
      </c>
      <c r="B39" s="489" t="str">
        <f>+VLOOKUP($A39,Master!$D$27:$G$225,4,FALSE)</f>
        <v>Subvencije</v>
      </c>
      <c r="C39" s="490"/>
      <c r="D39" s="490"/>
      <c r="E39" s="490"/>
      <c r="F39" s="490"/>
      <c r="G39" s="188">
        <f>+SUMPRODUCT(('2019'!$G39:$R39)*('2019'!$G$5:$R$5&lt;=Master!$B$3)*($A39='2019'!$A$10:$A$66))</f>
        <v>15219096.66</v>
      </c>
      <c r="H39" s="188">
        <f>+SUMPRODUCT(('2019'!$G134:$R134)*('2019'!$G$5:$R$5&lt;=Master!$B$3))</f>
        <v>20138356.293333329</v>
      </c>
      <c r="I39" s="189">
        <f t="shared" si="0"/>
        <v>-4919259.6333333291</v>
      </c>
      <c r="J39" s="190">
        <f t="shared" si="1"/>
        <v>-0.24427314531930377</v>
      </c>
      <c r="K39" s="188">
        <f>+SUMPRODUCT(('2018'!$G39:$R39)*('2018'!$G$5:$R$5&lt;=Master!$B$3))</f>
        <v>14505652.589999998</v>
      </c>
      <c r="L39" s="189">
        <f t="shared" si="7"/>
        <v>713444.07000000216</v>
      </c>
      <c r="M39" s="191">
        <f t="shared" si="2"/>
        <v>4.9183865777389535E-2</v>
      </c>
      <c r="N39" s="188">
        <f>+INDEX('2019'!$1:$1048576,MATCH('Analitika - 2019'!$A39,'2019'!$A:$A,0),MATCH('Analitika - 2019'!$N$6,'2019'!$6:$6,0))</f>
        <v>1069449</v>
      </c>
      <c r="O39" s="188">
        <f>+INDEX('2019'!$1:$1048576,MATCH(CONCATENATE('Analitika - 2019'!$A39,"p"),'2019'!$A:$A,0),MATCH('Analitika - 2019'!$O$6,'2019'!$101:$101,0))</f>
        <v>2253357.6966666663</v>
      </c>
      <c r="P39" s="189">
        <f t="shared" si="3"/>
        <v>-1183908.6966666663</v>
      </c>
      <c r="Q39" s="190">
        <f t="shared" si="4"/>
        <v>-0.52539758708437279</v>
      </c>
      <c r="R39" s="188">
        <f>+INDEX('2018'!$1:$1048576,MATCH('Analitika - 2019'!$A39,'2018'!$A:$A,0),MATCH('Analitika - 2019'!$R$6,'2018'!$6:$6,0))</f>
        <v>2244079.69</v>
      </c>
      <c r="S39" s="189">
        <f t="shared" si="5"/>
        <v>-1174630.69</v>
      </c>
      <c r="T39" s="191">
        <f t="shared" si="6"/>
        <v>-0.52343537318855193</v>
      </c>
    </row>
    <row r="40" spans="1:20">
      <c r="A40" s="175">
        <v>419</v>
      </c>
      <c r="B40" s="489" t="str">
        <f>+VLOOKUP($A40,Master!$D$27:$G$225,4,FALSE)</f>
        <v>Ostali izdaci</v>
      </c>
      <c r="C40" s="490"/>
      <c r="D40" s="490"/>
      <c r="E40" s="490"/>
      <c r="F40" s="490"/>
      <c r="G40" s="188">
        <f>+SUMPRODUCT(('2019'!$G40:$R40)*('2019'!$G$5:$R$5&lt;=Master!$B$3)*($A40='2019'!$A$10:$A$66))</f>
        <v>26181295.040000003</v>
      </c>
      <c r="H40" s="188">
        <f>+SUMPRODUCT(('2019'!$G135:$R135)*('2019'!$G$5:$R$5&lt;=Master!$B$3))</f>
        <v>29302796.746666677</v>
      </c>
      <c r="I40" s="189">
        <f t="shared" si="0"/>
        <v>-3121501.7066666745</v>
      </c>
      <c r="J40" s="190">
        <f t="shared" si="1"/>
        <v>-0.10652572632070556</v>
      </c>
      <c r="K40" s="188">
        <f>+SUMPRODUCT(('2018'!$G40:$R40)*('2018'!$G$5:$R$5&lt;=Master!$B$3))</f>
        <v>21673330.850000001</v>
      </c>
      <c r="L40" s="189">
        <f t="shared" si="7"/>
        <v>4507964.1900000013</v>
      </c>
      <c r="M40" s="191">
        <f t="shared" si="2"/>
        <v>0.20799591079005753</v>
      </c>
      <c r="N40" s="188">
        <f>+INDEX('2019'!$1:$1048576,MATCH('Analitika - 2019'!$A40,'2019'!$A:$A,0),MATCH('Analitika - 2019'!$N$6,'2019'!$6:$6,0))</f>
        <v>4015195.5</v>
      </c>
      <c r="O40" s="188">
        <f>+INDEX('2019'!$1:$1048576,MATCH(CONCATENATE('Analitika - 2019'!$A40,"p"),'2019'!$A:$A,0),MATCH('Analitika - 2019'!$O$6,'2019'!$101:$101,0))</f>
        <v>3027649.6708333334</v>
      </c>
      <c r="P40" s="189">
        <f t="shared" si="3"/>
        <v>987545.8291666666</v>
      </c>
      <c r="Q40" s="190">
        <f t="shared" si="4"/>
        <v>0.32617572590386712</v>
      </c>
      <c r="R40" s="188">
        <f>+INDEX('2018'!$1:$1048576,MATCH('Analitika - 2019'!$A40,'2018'!$A:$A,0),MATCH('Analitika - 2019'!$R$6,'2018'!$6:$6,0))</f>
        <v>3454663.76</v>
      </c>
      <c r="S40" s="189">
        <f t="shared" si="5"/>
        <v>560531.74000000022</v>
      </c>
      <c r="T40" s="191">
        <f t="shared" si="6"/>
        <v>0.1622536313056413</v>
      </c>
    </row>
    <row r="41" spans="1:20">
      <c r="A41" s="175">
        <v>440</v>
      </c>
      <c r="B41" s="489" t="str">
        <f>+VLOOKUP($A41,Master!$D$27:$G$225,4,FALSE)</f>
        <v>Kapitalni izdaci u tekućem budžetu</v>
      </c>
      <c r="C41" s="490"/>
      <c r="D41" s="490"/>
      <c r="E41" s="490"/>
      <c r="F41" s="490"/>
      <c r="G41" s="188">
        <f>+SUMPRODUCT(('2019'!$G41:$R41)*('2019'!$G$5:$R$5&lt;=Master!$B$3)*($A41='2019'!$A$10:$A$66))</f>
        <v>20357149.090000004</v>
      </c>
      <c r="H41" s="188">
        <f>+SUMPRODUCT(('2019'!$G136:$R136)*('2019'!$G$5:$R$5&lt;=Master!$B$3))</f>
        <v>39551989.500000007</v>
      </c>
      <c r="I41" s="189">
        <f t="shared" si="0"/>
        <v>-19194840.410000004</v>
      </c>
      <c r="J41" s="190">
        <f t="shared" si="1"/>
        <v>-0.48530657124087273</v>
      </c>
      <c r="K41" s="188">
        <f>+SUMPRODUCT(('2018'!$G41:$R41)*('2018'!$G$5:$R$5&lt;=Master!$B$3))</f>
        <v>16290057.18</v>
      </c>
      <c r="L41" s="189">
        <f t="shared" si="7"/>
        <v>4067091.9100000039</v>
      </c>
      <c r="M41" s="191">
        <f t="shared" si="2"/>
        <v>0.24966713529976725</v>
      </c>
      <c r="N41" s="188">
        <f>+INDEX('2019'!$1:$1048576,MATCH('Analitika - 2019'!$A41,'2019'!$A:$A,0),MATCH('Analitika - 2019'!$N$6,'2019'!$6:$6,0))</f>
        <v>4838634.8899999997</v>
      </c>
      <c r="O41" s="188">
        <f>+INDEX('2019'!$1:$1048576,MATCH(CONCATENATE('Analitika - 2019'!$A41,"p"),'2019'!$A:$A,0),MATCH('Analitika - 2019'!$O$6,'2019'!$101:$101,0))</f>
        <v>4967667.1475000018</v>
      </c>
      <c r="P41" s="189">
        <f t="shared" si="3"/>
        <v>-129032.25750000216</v>
      </c>
      <c r="Q41" s="190">
        <f t="shared" si="4"/>
        <v>-2.597441689806812E-2</v>
      </c>
      <c r="R41" s="188">
        <f>+INDEX('2018'!$1:$1048576,MATCH('Analitika - 2019'!$A41,'2018'!$A:$A,0),MATCH('Analitika - 2019'!$R$6,'2018'!$6:$6,0))</f>
        <v>1880172.05</v>
      </c>
      <c r="S41" s="189">
        <f t="shared" si="5"/>
        <v>2958462.84</v>
      </c>
      <c r="T41" s="191">
        <f t="shared" si="6"/>
        <v>1.5735064458595689</v>
      </c>
    </row>
    <row r="42" spans="1:20">
      <c r="A42" s="175">
        <v>42</v>
      </c>
      <c r="B42" s="485" t="str">
        <f>+VLOOKUP($A42,Master!$D$27:$G$225,4,FALSE)</f>
        <v>Transferi za socijalnu zaštitu</v>
      </c>
      <c r="C42" s="486"/>
      <c r="D42" s="486"/>
      <c r="E42" s="486"/>
      <c r="F42" s="486"/>
      <c r="G42" s="200">
        <f>+SUMPRODUCT(('2019'!$G42:$R42)*('2019'!$G$5:$R$5&lt;=Master!$B$3)*($A42='2019'!$A$10:$A$66))</f>
        <v>363422477.70000005</v>
      </c>
      <c r="H42" s="200">
        <f>+SUMPRODUCT(('2019'!$G137:$R137)*('2019'!$G$5:$R$5&lt;=Master!$B$3))</f>
        <v>369647898.57999998</v>
      </c>
      <c r="I42" s="219">
        <f t="shared" si="0"/>
        <v>-6225420.8799999356</v>
      </c>
      <c r="J42" s="220">
        <f t="shared" si="1"/>
        <v>-1.6841488627190482E-2</v>
      </c>
      <c r="K42" s="200">
        <f>+SUMPRODUCT(('2018'!$G42:$R42)*('2018'!$G$5:$R$5&lt;=Master!$B$3))</f>
        <v>356229470.12</v>
      </c>
      <c r="L42" s="219">
        <f t="shared" si="7"/>
        <v>7193007.5800000429</v>
      </c>
      <c r="M42" s="221">
        <f t="shared" si="2"/>
        <v>2.0192062092945218E-2</v>
      </c>
      <c r="N42" s="200">
        <f>+INDEX('2019'!$1:$1048576,MATCH('Analitika - 2019'!$A42,'2019'!$A:$A,0),MATCH('Analitika - 2019'!$N$6,'2019'!$6:$6,0))</f>
        <v>45699224.809999995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3"/>
        <v>-506925.00000000745</v>
      </c>
      <c r="Q42" s="220">
        <f t="shared" si="4"/>
        <v>-1.0970942224887481E-2</v>
      </c>
      <c r="R42" s="200">
        <f>+INDEX('2018'!$1:$1048576,MATCH('Analitika - 2019'!$A42,'2018'!$A:$A,0),MATCH('Analitika - 2019'!$R$6,'2018'!$6:$6,0))</f>
        <v>47054124.259999998</v>
      </c>
      <c r="S42" s="219">
        <f t="shared" si="5"/>
        <v>-1354899.450000003</v>
      </c>
      <c r="T42" s="221">
        <f t="shared" si="6"/>
        <v>-2.879448871502599E-2</v>
      </c>
    </row>
    <row r="43" spans="1:20">
      <c r="A43" s="175">
        <v>421</v>
      </c>
      <c r="B43" s="489" t="str">
        <f>+VLOOKUP($A43,Master!$D$27:$G$225,4,FALSE)</f>
        <v>Prava iz oblasti socijalne zaštite</v>
      </c>
      <c r="C43" s="490"/>
      <c r="D43" s="490"/>
      <c r="E43" s="490"/>
      <c r="F43" s="490"/>
      <c r="G43" s="188">
        <f>+SUMPRODUCT(('2019'!$G43:$R43)*('2019'!$G$5:$R$5&lt;=Master!$B$3)*($A43='2019'!$A$10:$A$66))</f>
        <v>52751511.029999994</v>
      </c>
      <c r="H43" s="188">
        <f>+SUMPRODUCT(('2019'!$G138:$R138)*('2019'!$G$5:$R$5&lt;=Master!$B$3))</f>
        <v>53992900.000000015</v>
      </c>
      <c r="I43" s="189">
        <f t="shared" si="0"/>
        <v>-1241388.9700000212</v>
      </c>
      <c r="J43" s="190">
        <f t="shared" si="1"/>
        <v>-2.2991707613408852E-2</v>
      </c>
      <c r="K43" s="188">
        <f>+SUMPRODUCT(('2018'!$G43:$R43)*('2018'!$G$5:$R$5&lt;=Master!$B$3))</f>
        <v>50802957.719999999</v>
      </c>
      <c r="L43" s="189">
        <f t="shared" si="7"/>
        <v>1948553.3099999949</v>
      </c>
      <c r="M43" s="191">
        <f t="shared" si="2"/>
        <v>3.8355115478500901E-2</v>
      </c>
      <c r="N43" s="188">
        <f>+INDEX('2019'!$1:$1048576,MATCH('Analitika - 2019'!$A43,'2019'!$A:$A,0),MATCH('Analitika - 2019'!$N$6,'2019'!$6:$6,0))</f>
        <v>6916329.6100000003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3"/>
        <v>167054.60999999754</v>
      </c>
      <c r="Q43" s="190">
        <f t="shared" si="4"/>
        <v>2.4751489604438515E-2</v>
      </c>
      <c r="R43" s="188">
        <f>+INDEX('2018'!$1:$1048576,MATCH('Analitika - 2019'!$A43,'2018'!$A:$A,0),MATCH('Analitika - 2019'!$R$6,'2018'!$6:$6,0))</f>
        <v>6218395.7000000002</v>
      </c>
      <c r="S43" s="189">
        <f t="shared" si="5"/>
        <v>697933.91000000015</v>
      </c>
      <c r="T43" s="191">
        <f t="shared" si="6"/>
        <v>0.11223697295429425</v>
      </c>
    </row>
    <row r="44" spans="1:20">
      <c r="A44" s="175">
        <v>422</v>
      </c>
      <c r="B44" s="489" t="str">
        <f>+VLOOKUP($A44,Master!$D$27:$G$225,4,FALSE)</f>
        <v>Sredstva za tehnološke viškove</v>
      </c>
      <c r="C44" s="490"/>
      <c r="D44" s="490"/>
      <c r="E44" s="490"/>
      <c r="F44" s="490"/>
      <c r="G44" s="188">
        <f>+SUMPRODUCT(('2019'!$G44:$R44)*('2019'!$G$5:$R$5&lt;=Master!$B$3)*($A44='2019'!$A$10:$A$66))</f>
        <v>9261954.3999999985</v>
      </c>
      <c r="H44" s="188">
        <f>+SUMPRODUCT(('2019'!$G139:$R139)*('2019'!$G$5:$R$5&lt;=Master!$B$3))</f>
        <v>9888254.8900000006</v>
      </c>
      <c r="I44" s="189">
        <f t="shared" si="0"/>
        <v>-626300.49000000209</v>
      </c>
      <c r="J44" s="190">
        <f t="shared" si="1"/>
        <v>-6.3337818145584035E-2</v>
      </c>
      <c r="K44" s="188">
        <f>+SUMPRODUCT(('2018'!$G44:$R44)*('2018'!$G$5:$R$5&lt;=Master!$B$3))</f>
        <v>7955444.2499999991</v>
      </c>
      <c r="L44" s="189">
        <f t="shared" si="7"/>
        <v>1306510.1499999994</v>
      </c>
      <c r="M44" s="191">
        <f t="shared" si="2"/>
        <v>0.16422843388035813</v>
      </c>
      <c r="N44" s="188">
        <f>+INDEX('2019'!$1:$1048576,MATCH('Analitika - 2019'!$A44,'2019'!$A:$A,0),MATCH('Analitika - 2019'!$N$6,'2019'!$6:$6,0))</f>
        <v>1577705.79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3"/>
        <v>341673.92000000016</v>
      </c>
      <c r="Q44" s="190">
        <f t="shared" si="4"/>
        <v>0.27642808271602259</v>
      </c>
      <c r="R44" s="188">
        <f>+INDEX('2018'!$1:$1048576,MATCH('Analitika - 2019'!$A44,'2018'!$A:$A,0),MATCH('Analitika - 2019'!$R$6,'2018'!$6:$6,0))</f>
        <v>960558.89</v>
      </c>
      <c r="S44" s="189">
        <f t="shared" si="5"/>
        <v>617146.9</v>
      </c>
      <c r="T44" s="191">
        <f t="shared" si="6"/>
        <v>0.64248731277683557</v>
      </c>
    </row>
    <row r="45" spans="1:20">
      <c r="A45" s="175">
        <v>423</v>
      </c>
      <c r="B45" s="489" t="str">
        <f>+VLOOKUP($A45,Master!$D$27:$G$225,4,FALSE)</f>
        <v>Prava iz oblasti penzijskog i invalidskog osiguranja</v>
      </c>
      <c r="C45" s="490"/>
      <c r="D45" s="490"/>
      <c r="E45" s="490"/>
      <c r="F45" s="490"/>
      <c r="G45" s="188">
        <f>+SUMPRODUCT(('2019'!$G45:$R45)*('2019'!$G$5:$R$5&lt;=Master!$B$3)*($A45='2019'!$A$10:$A$66))</f>
        <v>280989082.43000001</v>
      </c>
      <c r="H45" s="188">
        <f>+SUMPRODUCT(('2019'!$G140:$R140)*('2019'!$G$5:$R$5&lt;=Master!$B$3))</f>
        <v>286016676.32999998</v>
      </c>
      <c r="I45" s="189">
        <f t="shared" si="0"/>
        <v>-5027593.8999999762</v>
      </c>
      <c r="J45" s="190">
        <f t="shared" si="1"/>
        <v>-1.757797469892719E-2</v>
      </c>
      <c r="K45" s="188">
        <f>+SUMPRODUCT(('2018'!$G45:$R45)*('2018'!$G$5:$R$5&lt;=Master!$B$3))</f>
        <v>276484203.20999998</v>
      </c>
      <c r="L45" s="189">
        <f t="shared" si="7"/>
        <v>4504879.2200000286</v>
      </c>
      <c r="M45" s="191">
        <f t="shared" si="2"/>
        <v>1.6293441606059611E-2</v>
      </c>
      <c r="N45" s="188">
        <f>+INDEX('2019'!$1:$1048576,MATCH('Analitika - 2019'!$A45,'2019'!$A:$A,0),MATCH('Analitika - 2019'!$N$6,'2019'!$6:$6,0))</f>
        <v>35015332.57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3"/>
        <v>-736751.96000000089</v>
      </c>
      <c r="Q45" s="190">
        <f t="shared" si="4"/>
        <v>-2.0607244855381346E-2</v>
      </c>
      <c r="R45" s="188">
        <f>+INDEX('2018'!$1:$1048576,MATCH('Analitika - 2019'!$A45,'2018'!$A:$A,0),MATCH('Analitika - 2019'!$R$6,'2018'!$6:$6,0))</f>
        <v>34591609.219999999</v>
      </c>
      <c r="S45" s="189">
        <f t="shared" si="5"/>
        <v>423723.35000000149</v>
      </c>
      <c r="T45" s="191">
        <f t="shared" si="6"/>
        <v>1.2249310152214976E-2</v>
      </c>
    </row>
    <row r="46" spans="1:20">
      <c r="A46" s="175">
        <v>424</v>
      </c>
      <c r="B46" s="489" t="str">
        <f>+VLOOKUP($A46,Master!$D$27:$G$225,4,FALSE)</f>
        <v>Ostala prava iz oblasti zdravstvene zaštite</v>
      </c>
      <c r="C46" s="490"/>
      <c r="D46" s="490"/>
      <c r="E46" s="490"/>
      <c r="F46" s="490"/>
      <c r="G46" s="188">
        <f>+SUMPRODUCT(('2019'!$G46:$R46)*('2019'!$G$5:$R$5&lt;=Master!$B$3)*($A46='2019'!$A$10:$A$66))</f>
        <v>13394359.34</v>
      </c>
      <c r="H46" s="188">
        <f>+SUMPRODUCT(('2019'!$G141:$R141)*('2019'!$G$5:$R$5&lt;=Master!$B$3))</f>
        <v>12666733.359999999</v>
      </c>
      <c r="I46" s="189">
        <f t="shared" si="0"/>
        <v>727625.98000000045</v>
      </c>
      <c r="J46" s="190">
        <f t="shared" si="1"/>
        <v>5.7443853858782035E-2</v>
      </c>
      <c r="K46" s="188">
        <f>+SUMPRODUCT(('2018'!$G46:$R46)*('2018'!$G$5:$R$5&lt;=Master!$B$3))</f>
        <v>12216828.34</v>
      </c>
      <c r="L46" s="189">
        <f t="shared" si="7"/>
        <v>1177531</v>
      </c>
      <c r="M46" s="191">
        <f t="shared" si="2"/>
        <v>9.6385982288427652E-2</v>
      </c>
      <c r="N46" s="188">
        <f>+INDEX('2019'!$1:$1048576,MATCH('Analitika - 2019'!$A46,'2019'!$A:$A,0),MATCH('Analitika - 2019'!$N$6,'2019'!$6:$6,0))</f>
        <v>1448048.69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3"/>
        <v>-135292.9700000002</v>
      </c>
      <c r="Q46" s="190">
        <f t="shared" si="4"/>
        <v>-8.5447742213768385E-2</v>
      </c>
      <c r="R46" s="188">
        <f>+INDEX('2018'!$1:$1048576,MATCH('Analitika - 2019'!$A46,'2018'!$A:$A,0),MATCH('Analitika - 2019'!$R$6,'2018'!$6:$6,0))</f>
        <v>1728889.83</v>
      </c>
      <c r="S46" s="189">
        <f t="shared" si="5"/>
        <v>-280841.14000000013</v>
      </c>
      <c r="T46" s="191">
        <f t="shared" si="6"/>
        <v>-0.16244015964857639</v>
      </c>
    </row>
    <row r="47" spans="1:20">
      <c r="A47" s="175">
        <v>425</v>
      </c>
      <c r="B47" s="489" t="str">
        <f>+VLOOKUP($A47,Master!$D$27:$G$225,4,FALSE)</f>
        <v>Ostala prava iz zdravstvenog osiguranja</v>
      </c>
      <c r="C47" s="490"/>
      <c r="D47" s="490"/>
      <c r="E47" s="490"/>
      <c r="F47" s="490"/>
      <c r="G47" s="188">
        <f>+SUMPRODUCT(('2019'!$G47:$R47)*('2019'!$G$5:$R$5&lt;=Master!$B$3)*($A47='2019'!$A$10:$A$66))</f>
        <v>7025570.5000000009</v>
      </c>
      <c r="H47" s="188">
        <f>+SUMPRODUCT(('2019'!$G142:$R142)*('2019'!$G$5:$R$5&lt;=Master!$B$3))</f>
        <v>7083334</v>
      </c>
      <c r="I47" s="189">
        <f t="shared" si="0"/>
        <v>-57763.499999999069</v>
      </c>
      <c r="J47" s="190">
        <f t="shared" si="1"/>
        <v>-8.1548462913084707E-3</v>
      </c>
      <c r="K47" s="188">
        <f>+SUMPRODUCT(('2018'!$G47:$R47)*('2018'!$G$5:$R$5&lt;=Master!$B$3))</f>
        <v>8770036.5999999996</v>
      </c>
      <c r="L47" s="189">
        <f t="shared" si="7"/>
        <v>-1744466.0999999987</v>
      </c>
      <c r="M47" s="191">
        <f t="shared" si="2"/>
        <v>-0.19891206611384027</v>
      </c>
      <c r="N47" s="188">
        <f>+INDEX('2019'!$1:$1048576,MATCH('Analitika - 2019'!$A47,'2019'!$A:$A,0),MATCH('Analitika - 2019'!$N$6,'2019'!$6:$6,0))</f>
        <v>741808.15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-143608.59999999998</v>
      </c>
      <c r="Q47" s="190">
        <f t="shared" si="4"/>
        <v>-0.16219322708769623</v>
      </c>
      <c r="R47" s="188">
        <f>+INDEX('2018'!$1:$1048576,MATCH('Analitika - 2019'!$A47,'2018'!$A:$A,0),MATCH('Analitika - 2019'!$R$6,'2018'!$6:$6,0))</f>
        <v>3554670.62</v>
      </c>
      <c r="S47" s="189">
        <f t="shared" si="5"/>
        <v>-2812862.47</v>
      </c>
      <c r="T47" s="191">
        <f t="shared" si="6"/>
        <v>-0.79131451847428835</v>
      </c>
    </row>
    <row r="48" spans="1:20">
      <c r="A48" s="175">
        <v>43</v>
      </c>
      <c r="B48" s="487" t="str">
        <f>+VLOOKUP($A48,Master!$D$27:$G$225,4,FALSE)</f>
        <v xml:space="preserve">Transferi institucijama, pojedincima, nevladinom i javnom sektoru </v>
      </c>
      <c r="C48" s="488"/>
      <c r="D48" s="488"/>
      <c r="E48" s="488"/>
      <c r="F48" s="488"/>
      <c r="G48" s="200">
        <f>+SUMPRODUCT(('2019'!$G48:$R48)*('2019'!$G$5:$R$5&lt;=Master!$B$3)*($A48='2019'!$A$10:$A$66))</f>
        <v>138506824.53999999</v>
      </c>
      <c r="H48" s="200">
        <f>+SUMPRODUCT(('2019'!$G143:$R143)*('2019'!$G$5:$R$5&lt;=Master!$B$3))</f>
        <v>149140570.01999998</v>
      </c>
      <c r="I48" s="201">
        <f t="shared" si="0"/>
        <v>-10633745.479999989</v>
      </c>
      <c r="J48" s="202">
        <f t="shared" si="1"/>
        <v>-7.1300153127844323E-2</v>
      </c>
      <c r="K48" s="200">
        <f>+SUMPRODUCT(('2018'!$G48:$R48)*('2018'!$G$5:$R$5&lt;=Master!$B$3))</f>
        <v>124761401.02000001</v>
      </c>
      <c r="L48" s="201">
        <f t="shared" si="7"/>
        <v>13745423.519999981</v>
      </c>
      <c r="M48" s="203">
        <f t="shared" si="2"/>
        <v>0.11017368679433548</v>
      </c>
      <c r="N48" s="200">
        <f>+INDEX('2019'!$1:$1048576,MATCH('Analitika - 2019'!$A48,'2019'!$A:$A,0),MATCH('Analitika - 2019'!$N$6,'2019'!$6:$6,0))</f>
        <v>14819789.789999999</v>
      </c>
      <c r="O48" s="200">
        <f>+INDEX('2019'!$1:$1048576,MATCH(CONCATENATE('Analitika - 2019'!$A48,"p"),'2019'!$A:$A,0),MATCH('Analitika - 2019'!$O$6,'2019'!$101:$101,0))</f>
        <v>17972208.524999999</v>
      </c>
      <c r="P48" s="201">
        <f t="shared" si="3"/>
        <v>-3152418.7349999994</v>
      </c>
      <c r="Q48" s="202">
        <f t="shared" si="4"/>
        <v>-0.17540519467125426</v>
      </c>
      <c r="R48" s="200">
        <f>+INDEX('2018'!$1:$1048576,MATCH('Analitika - 2019'!$A48,'2018'!$A:$A,0),MATCH('Analitika - 2019'!$R$6,'2018'!$6:$6,0))</f>
        <v>17179475.350000001</v>
      </c>
      <c r="S48" s="201">
        <f t="shared" si="5"/>
        <v>-2359685.5600000024</v>
      </c>
      <c r="T48" s="203">
        <f t="shared" si="6"/>
        <v>-0.13735492568461949</v>
      </c>
    </row>
    <row r="49" spans="1:23">
      <c r="A49" s="175">
        <v>44</v>
      </c>
      <c r="B49" s="487" t="str">
        <f>+VLOOKUP($A49,Master!$D$27:$G$225,4,FALSE)</f>
        <v>Kapitalni budžet</v>
      </c>
      <c r="C49" s="488"/>
      <c r="D49" s="488"/>
      <c r="E49" s="488"/>
      <c r="F49" s="488"/>
      <c r="G49" s="200">
        <f>+SUMPRODUCT(('2019'!$G49:$R49)*('2019'!$G$5:$R$5&lt;=Master!$B$3)*($A49='2019'!$A$10:$A$66))</f>
        <v>145931562.95000002</v>
      </c>
      <c r="H49" s="200">
        <f>+SUMPRODUCT(('2019'!$G144:$R144)*('2019'!$G$5:$R$5&lt;=Master!$B$3))</f>
        <v>213949999.91999996</v>
      </c>
      <c r="I49" s="201">
        <f t="shared" si="0"/>
        <v>-68018436.969999939</v>
      </c>
      <c r="J49" s="202">
        <f t="shared" si="1"/>
        <v>-0.31791744330653582</v>
      </c>
      <c r="K49" s="200">
        <f>+SUMPRODUCT(('2018'!$G49:$R49)*('2018'!$G$5:$R$5&lt;=Master!$B$3))</f>
        <v>115168566.37</v>
      </c>
      <c r="L49" s="201">
        <f t="shared" si="7"/>
        <v>30762996.580000013</v>
      </c>
      <c r="M49" s="203">
        <f t="shared" si="2"/>
        <v>0.26711278562909513</v>
      </c>
      <c r="N49" s="200">
        <f>+INDEX('2019'!$1:$1048576,MATCH('Analitika - 2019'!$A49,'2019'!$A:$A,0),MATCH('Analitika - 2019'!$N$6,'2019'!$6:$6,0))</f>
        <v>40874123.119999997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3"/>
        <v>14130373.130000003</v>
      </c>
      <c r="Q49" s="202">
        <f t="shared" si="4"/>
        <v>0.52836169704262193</v>
      </c>
      <c r="R49" s="200">
        <f>+INDEX('2018'!$1:$1048576,MATCH('Analitika - 2019'!$A49,'2018'!$A:$A,0),MATCH('Analitika - 2019'!$R$6,'2018'!$6:$6,0))</f>
        <v>7969058.6900000004</v>
      </c>
      <c r="S49" s="201">
        <f t="shared" si="5"/>
        <v>32905064.429999996</v>
      </c>
      <c r="T49" s="203" t="s">
        <v>773</v>
      </c>
    </row>
    <row r="50" spans="1:23">
      <c r="A50" s="175">
        <v>451</v>
      </c>
      <c r="B50" s="457" t="str">
        <f>+VLOOKUP($A50,Master!$D$27:$G$225,4,FALSE)</f>
        <v>Pozajmice i krediti</v>
      </c>
      <c r="C50" s="458"/>
      <c r="D50" s="458"/>
      <c r="E50" s="458"/>
      <c r="F50" s="458"/>
      <c r="G50" s="188">
        <f>+SUMPRODUCT(('2019'!$G50:$R50)*('2019'!$G$5:$R$5&lt;=Master!$B$3)*($A50='2019'!$A$10:$A$66))</f>
        <v>1785607.98</v>
      </c>
      <c r="H50" s="188">
        <f>+SUMPRODUCT(('2019'!$G145:$R145)*('2019'!$G$5:$R$5&lt;=Master!$B$3))</f>
        <v>1520000.6666666665</v>
      </c>
      <c r="I50" s="189">
        <f>G50-H50</f>
        <v>265607.31333333347</v>
      </c>
      <c r="J50" s="343">
        <f t="shared" si="1"/>
        <v>0.17474157686772962</v>
      </c>
      <c r="K50" s="188">
        <f>+SUMPRODUCT(('2018'!$G50:$R50)*('2018'!$G$5:$R$5&lt;=Master!$B$3))</f>
        <v>1584891</v>
      </c>
      <c r="L50" s="349">
        <f t="shared" si="7"/>
        <v>200716.97999999998</v>
      </c>
      <c r="M50" s="352">
        <f t="shared" si="2"/>
        <v>0.1266440278858294</v>
      </c>
      <c r="N50" s="188">
        <f>+INDEX('2019'!$1:$1048576,MATCH('Analitika - 2019'!$A50,'2019'!$A:$A,0),MATCH('Analitika - 2019'!$N$6,'2019'!$6:$6,0))</f>
        <v>145000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-45000.083333333343</v>
      </c>
      <c r="Q50" s="343">
        <f t="shared" si="4"/>
        <v>-0.23684243998138599</v>
      </c>
      <c r="R50" s="188">
        <f>+INDEX('2018'!$1:$1048576,MATCH('Analitika - 2019'!$A50,'2018'!$A:$A,0),MATCH('Analitika - 2019'!$R$6,'2018'!$6:$6,0))</f>
        <v>114200</v>
      </c>
      <c r="S50" s="349">
        <f t="shared" si="5"/>
        <v>30800</v>
      </c>
      <c r="T50" s="352" t="s">
        <v>773</v>
      </c>
    </row>
    <row r="51" spans="1:23">
      <c r="A51" s="175">
        <v>47</v>
      </c>
      <c r="B51" s="457" t="str">
        <f>+VLOOKUP($A51,Master!$D$27:$G$225,4,FALSE)</f>
        <v>Rezerve</v>
      </c>
      <c r="C51" s="458"/>
      <c r="D51" s="458"/>
      <c r="E51" s="458"/>
      <c r="F51" s="458"/>
      <c r="G51" s="188">
        <f>+SUMPRODUCT(('2019'!$G51:$R51)*('2019'!$G$5:$R$5&lt;=Master!$B$3)*($A51='2019'!$A$10:$A$66))</f>
        <v>13661389.450000001</v>
      </c>
      <c r="H51" s="188">
        <f>+SUMPRODUCT(('2019'!$G146:$R146)*('2019'!$G$5:$R$5&lt;=Master!$B$3))</f>
        <v>16397666.666666664</v>
      </c>
      <c r="I51" s="189">
        <f t="shared" ref="I51:I52" si="8">G51-H51</f>
        <v>-2736277.2166666631</v>
      </c>
      <c r="J51" s="344">
        <f t="shared" si="1"/>
        <v>-0.16686991340231316</v>
      </c>
      <c r="K51" s="188">
        <f>+SUMPRODUCT(('2018'!$G51:$R51)*('2018'!$G$5:$R$5&lt;=Master!$B$3))</f>
        <v>11166553.23</v>
      </c>
      <c r="L51" s="350">
        <f t="shared" si="7"/>
        <v>2494836.2200000007</v>
      </c>
      <c r="M51" s="353">
        <f t="shared" si="2"/>
        <v>0.22342043857341642</v>
      </c>
      <c r="N51" s="188">
        <f>+INDEX('2019'!$1:$1048576,MATCH('Analitika - 2019'!$A51,'2019'!$A:$A,0),MATCH('Analitika - 2019'!$N$6,'2019'!$6:$6,0))</f>
        <v>433973.31</v>
      </c>
      <c r="O51" s="188">
        <f>+INDEX('2019'!$1:$1048576,MATCH(CONCATENATE('Analitika - 2019'!$A51,"p"),'2019'!$A:$A,0),MATCH('Analitika - 2019'!$O$6,'2019'!$101:$101,0))</f>
        <v>1650583.3333333333</v>
      </c>
      <c r="P51" s="189">
        <f t="shared" si="3"/>
        <v>-1216610.0233333332</v>
      </c>
      <c r="Q51" s="344">
        <f t="shared" si="4"/>
        <v>-0.73707882465794916</v>
      </c>
      <c r="R51" s="188">
        <f>+INDEX('2018'!$1:$1048576,MATCH('Analitika - 2019'!$A51,'2018'!$A:$A,0),MATCH('Analitika - 2019'!$R$6,'2018'!$6:$6,0))</f>
        <v>249386.57</v>
      </c>
      <c r="S51" s="350">
        <f t="shared" si="5"/>
        <v>184586.74</v>
      </c>
      <c r="T51" s="353">
        <f t="shared" si="6"/>
        <v>0.74016311303371296</v>
      </c>
      <c r="W51" s="441"/>
    </row>
    <row r="52" spans="1:23" ht="15.75" thickBot="1">
      <c r="A52" s="175">
        <v>462</v>
      </c>
      <c r="B52" s="475" t="str">
        <f>+VLOOKUP($A52,Master!$D$27:$G$225,4,FALSE)</f>
        <v>Otplata garancija</v>
      </c>
      <c r="C52" s="476"/>
      <c r="D52" s="476"/>
      <c r="E52" s="476"/>
      <c r="F52" s="476"/>
      <c r="G52" s="188">
        <f>+SUMPRODUCT(('2019'!$G52:$R52)*('2019'!$G$5:$R$5&lt;=Master!$B$3)*($A52='2019'!$A$10:$A$66))</f>
        <v>9434699.4100000001</v>
      </c>
      <c r="H52" s="188">
        <f>+SUMPRODUCT(('2019'!$G147:$R147)*('2019'!$G$5:$R$5&lt;=Master!$B$3))</f>
        <v>9434672.4100000001</v>
      </c>
      <c r="I52" s="189">
        <f t="shared" si="8"/>
        <v>27</v>
      </c>
      <c r="J52" s="345">
        <f t="shared" si="1"/>
        <v>2.8617845777567652E-6</v>
      </c>
      <c r="K52" s="188">
        <f>+SUMPRODUCT(('2018'!$G52:$R52)*('2018'!$G$5:$R$5&lt;=Master!$B$3))</f>
        <v>0</v>
      </c>
      <c r="L52" s="350">
        <f t="shared" si="7"/>
        <v>9434699.4100000001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0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75" t="str">
        <f>+VLOOKUP($A53,Master!$D$27:$G$225,4,FALSE)</f>
        <v>Otplata obaveza iz prethodnih godina</v>
      </c>
      <c r="C53" s="476"/>
      <c r="D53" s="476"/>
      <c r="E53" s="476"/>
      <c r="F53" s="476"/>
      <c r="G53" s="453">
        <f>+SUMPRODUCT(('2019'!$G53:$R53)*('2019'!$G$5:$R$5&lt;=Master!$B$3)*($A53='2019'!$A$10:$A$66))</f>
        <v>14699953.779999997</v>
      </c>
      <c r="H53" s="390">
        <f>+SUMPRODUCT(('2019'!$G148:$R148)*('2019'!$G$5:$R$5&lt;=Master!$B$3))</f>
        <v>12564178.23</v>
      </c>
      <c r="I53" s="351">
        <f>G53-H53</f>
        <v>2135775.549999997</v>
      </c>
      <c r="J53" s="346">
        <f t="shared" si="1"/>
        <v>0.16998927513622175</v>
      </c>
      <c r="K53" s="390">
        <f>+SUMPRODUCT(('2018'!$G53:$R53)*('2018'!$G$5:$R$5&lt;=Master!$B$3))</f>
        <v>17192547.329999998</v>
      </c>
      <c r="L53" s="357">
        <f t="shared" si="7"/>
        <v>-2492593.5500000007</v>
      </c>
      <c r="M53" s="355">
        <f t="shared" si="2"/>
        <v>-0.14498104918115129</v>
      </c>
      <c r="N53" s="390">
        <f>+INDEX('2019'!$1:$1048576,MATCH('Analitika - 2019'!$A53,'2019'!$A:$A,0),MATCH('Analitika - 2019'!$N$6,'2019'!$6:$6,0))</f>
        <v>880815</v>
      </c>
      <c r="O53" s="390">
        <f>+INDEX('2019'!$1:$1048576,MATCH(CONCATENATE('Analitika - 2019'!$A53,"p"),'2019'!$A:$A,0),MATCH('Analitika - 2019'!$O$6,'2019'!$101:$101,0))</f>
        <v>1832577.67</v>
      </c>
      <c r="P53" s="351">
        <f>N53-O53</f>
        <v>-951762.66999999993</v>
      </c>
      <c r="Q53" s="346">
        <f t="shared" si="4"/>
        <v>-0.51935734325519745</v>
      </c>
      <c r="R53" s="390">
        <f>+INDEX('2018'!$1:$1048576,MATCH('Analitika - 2019'!$A53,'2018'!$A:$A,0),MATCH('Analitika - 2019'!$R$6,'2018'!$6:$6,0))</f>
        <v>962361.47</v>
      </c>
      <c r="S53" s="357">
        <f>+N53-R53</f>
        <v>-81546.469999999972</v>
      </c>
      <c r="T53" s="355">
        <f>+IF(ISNUMBER(N53/R53-1),N53/R53-1,"…")</f>
        <v>-8.473580098754363E-2</v>
      </c>
    </row>
    <row r="54" spans="1:23" ht="15.75" thickBot="1">
      <c r="A54" s="169">
        <v>1005</v>
      </c>
      <c r="B54" s="475" t="str">
        <f>+VLOOKUP($A54,Master!$D$27:$G$227,4,FALSE)</f>
        <v>Neto povećanje obaveza</v>
      </c>
      <c r="C54" s="476"/>
      <c r="D54" s="476"/>
      <c r="E54" s="476"/>
      <c r="F54" s="476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81" t="str">
        <f>+VLOOKUP($A55,Master!$D$27:$G$225,4,FALSE)</f>
        <v>Suficit / deficit</v>
      </c>
      <c r="C55" s="482"/>
      <c r="D55" s="482"/>
      <c r="E55" s="482"/>
      <c r="F55" s="482"/>
      <c r="G55" s="176">
        <f>+SUMPRODUCT(('2019'!$G55:$R55)*('2019'!$G$5:$R$5&lt;=Master!$B$3)*($A55='2019'!$A$10:$A$66))</f>
        <v>-55067787.730000034</v>
      </c>
      <c r="H55" s="176">
        <f>+SUMPRODUCT(('2019'!$G150:$R150)*('2019'!$G$5:$R$5&lt;=Master!$B$3))</f>
        <v>-206382260.40737244</v>
      </c>
      <c r="I55" s="397">
        <f>+G55-H55</f>
        <v>151314472.6773724</v>
      </c>
      <c r="J55" s="348">
        <f t="shared" si="1"/>
        <v>-0.73317576994600597</v>
      </c>
      <c r="K55" s="176">
        <f>+SUMPRODUCT(('2018'!$G55:$R55)*('2018'!$G$5:$R$5&lt;=Master!$B$3))</f>
        <v>-53028328.059999913</v>
      </c>
      <c r="L55" s="358">
        <f t="shared" si="7"/>
        <v>-2039459.670000121</v>
      </c>
      <c r="M55" s="356">
        <f t="shared" si="2"/>
        <v>3.8459814680420257E-2</v>
      </c>
      <c r="N55" s="176">
        <f>+INDEX('2019'!$1:$1048576,MATCH('Analitika - 2019'!$A55,'2019'!$A:$A,0),MATCH('Analitika - 2019'!$N$6,'2019'!$6:$6,0))</f>
        <v>14505477.229999989</v>
      </c>
      <c r="O55" s="176">
        <f>+INDEX('2019'!$1:$1048576,MATCH(CONCATENATE('Analitika - 2019'!$A55,"p"),'2019'!$A:$A,0),MATCH('Analitika - 2019'!$O$6,'2019'!$101:$101,0))</f>
        <v>7106786.3305667937</v>
      </c>
      <c r="P55" s="397">
        <f>N55-O55</f>
        <v>7398690.8994331956</v>
      </c>
      <c r="Q55" s="348">
        <f t="shared" si="4"/>
        <v>1.0410740601009629</v>
      </c>
      <c r="R55" s="176">
        <f>+INDEX('2018'!$1:$1048576,MATCH('Analitika - 2019'!$A55,'2018'!$A:$A,0),MATCH('Analitika - 2019'!$R$6,'2018'!$6:$6,0))</f>
        <v>34062088.38000004</v>
      </c>
      <c r="S55" s="358">
        <f t="shared" si="5"/>
        <v>-19556611.150000051</v>
      </c>
      <c r="T55" s="348">
        <f>+IF(ISNUMBER(N55/R55-1),N55/R55-1,"…")</f>
        <v>-0.57414598106330283</v>
      </c>
    </row>
    <row r="56" spans="1:23" ht="15.75" thickBot="1">
      <c r="A56" s="169">
        <v>1001</v>
      </c>
      <c r="B56" s="483" t="str">
        <f>+VLOOKUP($A56,Master!$D$27:$G$225,4,FALSE)</f>
        <v>Primarni bilans</v>
      </c>
      <c r="C56" s="484"/>
      <c r="D56" s="484"/>
      <c r="E56" s="484"/>
      <c r="F56" s="484"/>
      <c r="G56" s="176">
        <f>+SUMPRODUCT(('2019'!$G56:$R56)*('2019'!$G$5:$R$5&lt;=Master!$B$3)*($A56='2019'!$A$10:$A$66))</f>
        <v>24986403.68999996</v>
      </c>
      <c r="H56" s="176">
        <f>+SUMPRODUCT(('2019'!$G151:$R151)*('2019'!$G$5:$R$5&lt;=Master!$B$3))</f>
        <v>-124732263.38737245</v>
      </c>
      <c r="I56" s="231">
        <f t="shared" si="0"/>
        <v>149718667.0773724</v>
      </c>
      <c r="J56" s="232">
        <f t="shared" si="1"/>
        <v>-1.2003202941359397</v>
      </c>
      <c r="K56" s="176">
        <f>+SUMPRODUCT(('2018'!$G56:$R56)*('2018'!$G$5:$R$5&lt;=Master!$B$3))</f>
        <v>20522516.620000087</v>
      </c>
      <c r="L56" s="231">
        <f t="shared" si="7"/>
        <v>4463887.0699998736</v>
      </c>
      <c r="M56" s="233">
        <f t="shared" si="2"/>
        <v>0.21751168010504229</v>
      </c>
      <c r="N56" s="176">
        <f>+INDEX('2019'!$1:$1048576,MATCH('Analitika - 2019'!$A56,'2019'!$A:$A,0),MATCH('Analitika - 2019'!$N$6,'2019'!$6:$6,0))</f>
        <v>15556744.559999989</v>
      </c>
      <c r="O56" s="176">
        <f>+INDEX('2019'!$1:$1048576,MATCH(CONCATENATE('Analitika - 2019'!$A56,"p"),'2019'!$A:$A,0),MATCH('Analitika - 2019'!$O$6,'2019'!$101:$101,0))</f>
        <v>8403992.4705667943</v>
      </c>
      <c r="P56" s="231">
        <f t="shared" si="3"/>
        <v>7152752.0894331951</v>
      </c>
      <c r="Q56" s="232">
        <f t="shared" si="4"/>
        <v>0.85111357661066411</v>
      </c>
      <c r="R56" s="176">
        <f>+INDEX('2018'!$1:$1048576,MATCH('Analitika - 2019'!$A56,'2018'!$A:$A,0),MATCH('Analitika - 2019'!$R$6,'2018'!$6:$6,0))</f>
        <v>35196243.320000038</v>
      </c>
      <c r="S56" s="231">
        <f t="shared" si="5"/>
        <v>-19639498.76000005</v>
      </c>
      <c r="T56" s="348">
        <f>+IF(ISNUMBER(N56/R56-1),N56/R56-1,"…")</f>
        <v>-0.55799985758252868</v>
      </c>
    </row>
    <row r="57" spans="1:23">
      <c r="A57" s="169">
        <v>46</v>
      </c>
      <c r="B57" s="485" t="str">
        <f>+VLOOKUP($A57,Master!$D$27:$G$225,4,FALSE)</f>
        <v>Otplata dugova</v>
      </c>
      <c r="C57" s="486"/>
      <c r="D57" s="486"/>
      <c r="E57" s="486"/>
      <c r="F57" s="486"/>
      <c r="G57" s="182">
        <f>+SUMPRODUCT(('2019'!$G57:$R57)*('2019'!$G$5:$R$5&lt;=Master!$B$3)*($A57='2019'!$A$10:$A$66))</f>
        <v>455976581.07999998</v>
      </c>
      <c r="H57" s="182">
        <f>+SUMPRODUCT(('2019'!$G152:$R152)*('2019'!$G$5:$R$5&lt;=Master!$B$3))</f>
        <v>317729306.63</v>
      </c>
      <c r="I57" s="219">
        <f t="shared" si="0"/>
        <v>138247274.44999999</v>
      </c>
      <c r="J57" s="220">
        <f t="shared" si="1"/>
        <v>0.43511023870074017</v>
      </c>
      <c r="K57" s="182">
        <f>+SUMPRODUCT(('2018'!$G57:$R57)*('2018'!$G$5:$R$5&lt;=Master!$B$3))</f>
        <v>652323750.95000005</v>
      </c>
      <c r="L57" s="219">
        <f t="shared" si="7"/>
        <v>-196347169.87000006</v>
      </c>
      <c r="M57" s="221">
        <f t="shared" si="2"/>
        <v>-0.30099650608160955</v>
      </c>
      <c r="N57" s="182">
        <f>+INDEX('2019'!$1:$1048576,MATCH('Analitika - 2019'!$A57,'2019'!$A:$A,0),MATCH('Analitika - 2019'!$N$6,'2019'!$6:$6,0))</f>
        <v>57755617.170000002</v>
      </c>
      <c r="O57" s="182">
        <f>+INDEX('2019'!$1:$1048576,MATCH(CONCATENATE('Analitika - 2019'!$A57,"p"),'2019'!$A:$A,0),MATCH('Analitika - 2019'!$O$6,'2019'!$101:$101,0))</f>
        <v>13754741.09</v>
      </c>
      <c r="P57" s="219">
        <f t="shared" si="3"/>
        <v>44000876.079999998</v>
      </c>
      <c r="Q57" s="220">
        <f t="shared" si="4"/>
        <v>3.1989606923237259</v>
      </c>
      <c r="R57" s="182">
        <f>+INDEX('2018'!$1:$1048576,MATCH('Analitika - 2019'!$A57,'2018'!$A:$A,0),MATCH('Analitika - 2019'!$R$6,'2018'!$6:$6,0))</f>
        <v>98580105.140000001</v>
      </c>
      <c r="S57" s="219">
        <f t="shared" si="5"/>
        <v>-40824487.969999999</v>
      </c>
      <c r="T57" s="221">
        <f t="shared" si="6"/>
        <v>-0.41412501956680303</v>
      </c>
    </row>
    <row r="58" spans="1:23">
      <c r="A58" s="169">
        <v>4611</v>
      </c>
      <c r="B58" s="473" t="str">
        <f>+VLOOKUP($A58,Master!$D$27:$G$225,4,FALSE)</f>
        <v>Otplata hartija od vrijednosti i kredita rezidentima</v>
      </c>
      <c r="C58" s="474"/>
      <c r="D58" s="474"/>
      <c r="E58" s="474"/>
      <c r="F58" s="474"/>
      <c r="G58" s="188">
        <f>+SUMPRODUCT(('2019'!$G58:$R58)*('2019'!$G$5:$R$5&lt;=Master!$B$3)*($A58='2019'!$A$10:$A$66))</f>
        <v>167090872.34</v>
      </c>
      <c r="H58" s="188">
        <f>+SUMPRODUCT(('2019'!$G153:$R153)*('2019'!$G$5:$R$5&lt;=Master!$B$3))</f>
        <v>28090937.689999998</v>
      </c>
      <c r="I58" s="237">
        <f t="shared" si="0"/>
        <v>138999934.65000001</v>
      </c>
      <c r="J58" s="238">
        <f t="shared" si="1"/>
        <v>4.948212700620604</v>
      </c>
      <c r="K58" s="188">
        <f>+SUMPRODUCT(('2018'!$G58:$R58)*('2018'!$G$5:$R$5&lt;=Master!$B$3))</f>
        <v>228318829.75999999</v>
      </c>
      <c r="L58" s="237">
        <f t="shared" si="7"/>
        <v>-61227957.419999987</v>
      </c>
      <c r="M58" s="239">
        <f t="shared" si="2"/>
        <v>-0.2681686722219121</v>
      </c>
      <c r="N58" s="188">
        <f>+INDEX('2019'!$1:$1048576,MATCH('Analitika - 2019'!$A58,'2019'!$A:$A,0),MATCH('Analitika - 2019'!$N$6,'2019'!$6:$6,0))</f>
        <v>54838105.140000001</v>
      </c>
      <c r="O58" s="188">
        <f>+INDEX('2019'!$1:$1048576,MATCH(CONCATENATE('Analitika - 2019'!$A58,"p"),'2019'!$A:$A,0),MATCH('Analitika - 2019'!$O$6,'2019'!$101:$101,0))</f>
        <v>10838080.380000001</v>
      </c>
      <c r="P58" s="237">
        <f t="shared" si="3"/>
        <v>44000024.759999998</v>
      </c>
      <c r="Q58" s="238">
        <f t="shared" si="4"/>
        <v>4.0597618044238937</v>
      </c>
      <c r="R58" s="188">
        <f>+INDEX('2018'!$1:$1048576,MATCH('Analitika - 2019'!$A58,'2018'!$A:$A,0),MATCH('Analitika - 2019'!$R$6,'2018'!$6:$6,0))</f>
        <v>95932773.739999995</v>
      </c>
      <c r="S58" s="237">
        <f t="shared" si="5"/>
        <v>-41094668.599999994</v>
      </c>
      <c r="T58" s="239">
        <f t="shared" si="6"/>
        <v>-0.4283694403684819</v>
      </c>
    </row>
    <row r="59" spans="1:23">
      <c r="A59" s="169">
        <v>4612</v>
      </c>
      <c r="B59" s="457" t="str">
        <f>+VLOOKUP($A59,Master!$D$27:$G$225,4,FALSE)</f>
        <v>Otplata hartija od vrijednosti i kredita nerezidentima</v>
      </c>
      <c r="C59" s="458"/>
      <c r="D59" s="458"/>
      <c r="E59" s="458"/>
      <c r="F59" s="458"/>
      <c r="G59" s="188">
        <f>+SUMPRODUCT(('2019'!$G59:$R59)*('2019'!$G$5:$R$5&lt;=Master!$B$3)*($A59='2019'!$A$10:$A$66))</f>
        <v>288885708.73999995</v>
      </c>
      <c r="H59" s="188">
        <f>+SUMPRODUCT(('2019'!$G154:$R154)*('2019'!$G$5:$R$5&lt;=Master!$B$3))</f>
        <v>289638368.94</v>
      </c>
      <c r="I59" s="237">
        <f t="shared" si="0"/>
        <v>-752660.20000004768</v>
      </c>
      <c r="J59" s="238">
        <f t="shared" si="1"/>
        <v>-2.5986204892486375E-3</v>
      </c>
      <c r="K59" s="188">
        <f>+SUMPRODUCT(('2018'!$G59:$R59)*('2018'!$G$5:$R$5&lt;=Master!$B$3))</f>
        <v>424004921.19</v>
      </c>
      <c r="L59" s="237">
        <f t="shared" si="7"/>
        <v>-135119212.45000005</v>
      </c>
      <c r="M59" s="239">
        <f t="shared" si="2"/>
        <v>-0.31867368914204663</v>
      </c>
      <c r="N59" s="188">
        <f>+INDEX('2019'!$1:$1048576,MATCH('Analitika - 2019'!$A59,'2019'!$A:$A,0),MATCH('Analitika - 2019'!$N$6,'2019'!$6:$6,0))</f>
        <v>2917512.03</v>
      </c>
      <c r="O59" s="188">
        <f>+INDEX('2019'!$1:$1048576,MATCH(CONCATENATE('Analitika - 2019'!$A59,"p"),'2019'!$A:$A,0),MATCH('Analitika - 2019'!$O$6,'2019'!$101:$101,0))</f>
        <v>2916660.71</v>
      </c>
      <c r="P59" s="237">
        <f t="shared" si="3"/>
        <v>851.31999999983236</v>
      </c>
      <c r="Q59" s="238">
        <f t="shared" si="4"/>
        <v>2.9188173896299574E-4</v>
      </c>
      <c r="R59" s="188">
        <f>+INDEX('2018'!$1:$1048576,MATCH('Analitika - 2019'!$A59,'2018'!$A:$A,0),MATCH('Analitika - 2019'!$R$6,'2018'!$6:$6,0))</f>
        <v>2647331.4</v>
      </c>
      <c r="S59" s="237">
        <f t="shared" si="5"/>
        <v>270180.62999999989</v>
      </c>
      <c r="T59" s="239">
        <f t="shared" si="6"/>
        <v>0.10205772877547559</v>
      </c>
    </row>
    <row r="60" spans="1:23" ht="15.75" thickBot="1">
      <c r="A60" s="169">
        <v>4418</v>
      </c>
      <c r="B60" s="485" t="str">
        <f>+VLOOKUP($A60,Master!$D$27:$G$225,4,FALSE)</f>
        <v>Izdaci za kupovinu hartija od vrijednosti</v>
      </c>
      <c r="C60" s="486"/>
      <c r="D60" s="486"/>
      <c r="E60" s="486"/>
      <c r="F60" s="486"/>
      <c r="G60" s="425">
        <f>+SUMPRODUCT(('2019'!$G60:$R60)*('2019'!$G$5:$R$5&lt;=Master!$B$3)*($A60='2019'!$A$10:$A$66))</f>
        <v>39983668.460000001</v>
      </c>
      <c r="H60" s="425">
        <f>+SUMPRODUCT(('2019'!$G155:$R155)*('2019'!$G$5:$R$5&lt;=Master!$B$3))</f>
        <v>40113333.360000007</v>
      </c>
      <c r="I60" s="426">
        <f t="shared" ref="I60:I66" si="9">+G60-H60</f>
        <v>-129664.90000000596</v>
      </c>
      <c r="J60" s="427">
        <f>+IF(ISNUMBER(G60/H60-1),G60/H61-1,"…")</f>
        <v>-1.0708647711787274</v>
      </c>
      <c r="K60" s="425">
        <f>+SUMPRODUCT(('2018'!$G60:$R60)*('2018'!$G$5:$R$5&lt;=Master!$B$3))</f>
        <v>68939595.359999999</v>
      </c>
      <c r="L60" s="426">
        <f>+G60-K60</f>
        <v>-28955926.899999999</v>
      </c>
      <c r="M60" s="428">
        <f>+IF(ISNUMBER(G60/K60-1),G60/K61-1,"…")</f>
        <v>-1.0516390267175901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0">+N60-O60</f>
        <v>0</v>
      </c>
      <c r="Q60" s="427" t="str">
        <f t="shared" ref="Q60:Q66" si="11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2">+N60-R60</f>
        <v>0</v>
      </c>
      <c r="T60" s="428" t="str">
        <f t="shared" ref="T60:T66" si="13">+IF(ISNUMBER(N60/R60-1),N60/R60-1,"…")</f>
        <v>…</v>
      </c>
    </row>
    <row r="61" spans="1:23" ht="15.75" thickBot="1">
      <c r="A61" s="169">
        <v>1002</v>
      </c>
      <c r="B61" s="477" t="str">
        <f>+VLOOKUP($A61,Master!$D$27:$G$225,4,FALSE)</f>
        <v>Nedostajuća sredstva</v>
      </c>
      <c r="C61" s="478"/>
      <c r="D61" s="478"/>
      <c r="E61" s="478"/>
      <c r="F61" s="478"/>
      <c r="G61" s="396">
        <f>+SUMPRODUCT(('2019'!$G61:$R61)*('2019'!$G$5:$R$5&lt;=Master!$B$3)*($A61='2019'!$A$10:$A$66))</f>
        <v>-551028037.2700001</v>
      </c>
      <c r="H61" s="396">
        <f>+SUMPRODUCT(('2019'!$G156:$R156)*('2019'!$G$5:$R$5&lt;=Master!$B$3))</f>
        <v>-564224900.39737248</v>
      </c>
      <c r="I61" s="398">
        <f t="shared" si="9"/>
        <v>13196863.127372384</v>
      </c>
      <c r="J61" s="399">
        <f t="shared" ref="J61:J66" si="14">+IF(ISNUMBER(G61/H61-1),G61/H61-1,"…")</f>
        <v>-2.3389366754423824E-2</v>
      </c>
      <c r="K61" s="396">
        <f>+SUMPRODUCT(('2018'!$G61:$R61)*('2018'!$G$5:$R$5&lt;=Master!$B$3))</f>
        <v>-774291674.37</v>
      </c>
      <c r="L61" s="398">
        <f>+G61-K62</f>
        <v>-1325319711.6400001</v>
      </c>
      <c r="M61" s="401">
        <f>+IF(ISNUMBER(G61/K62-1),G61/K62-1,"…")</f>
        <v>-1.7116543487547407</v>
      </c>
      <c r="N61" s="396">
        <f>+INDEX('2019'!$1:$1048576,MATCH('Analitika - 2019'!$A61,'2019'!$A:$A,0),MATCH('Analitika - 2019'!$N$6,'2019'!$6:$6,0))</f>
        <v>-43250139.940000013</v>
      </c>
      <c r="O61" s="396">
        <f>+INDEX('2019'!$1:$1048576,MATCH(CONCATENATE('Analitika - 2019'!$A61,"p"),'2019'!$A:$A,0),MATCH('Analitika - 2019'!$O$6,'2019'!$101:$101,0))</f>
        <v>-6674621.4294332061</v>
      </c>
      <c r="P61" s="398">
        <f t="shared" si="10"/>
        <v>-36575518.510566808</v>
      </c>
      <c r="Q61" s="399">
        <f t="shared" si="11"/>
        <v>5.4797892131048869</v>
      </c>
      <c r="R61" s="396">
        <f>+INDEX('2018'!$1:$1048576,MATCH('Analitika - 2019'!$A61,'2018'!$A:$A,0),MATCH('Analitika - 2019'!$R$6,'2018'!$6:$6,0))</f>
        <v>-64518016.759999961</v>
      </c>
      <c r="S61" s="398">
        <f t="shared" si="12"/>
        <v>21267876.819999948</v>
      </c>
      <c r="T61" s="401">
        <f t="shared" si="13"/>
        <v>-0.329642445444567</v>
      </c>
    </row>
    <row r="62" spans="1:23" ht="15.75" thickBot="1">
      <c r="A62" s="169">
        <v>1003</v>
      </c>
      <c r="B62" s="479" t="str">
        <f>+VLOOKUP($A62,Master!$D$27:$G$225,4,FALSE)</f>
        <v>Finansiranje</v>
      </c>
      <c r="C62" s="480"/>
      <c r="D62" s="480"/>
      <c r="E62" s="480"/>
      <c r="F62" s="480"/>
      <c r="G62" s="176">
        <f>+SUMPRODUCT(('2019'!$G62:$R62)*('2019'!$G$5:$R$5&lt;=Master!$B$3)*($A62='2019'!$A$10:$A$66))</f>
        <v>551028037.2700001</v>
      </c>
      <c r="H62" s="176">
        <f>+SUMPRODUCT(('2019'!$G157:$R157)*('2019'!$G$5:$R$5&lt;=Master!$B$3))</f>
        <v>564224900.39737248</v>
      </c>
      <c r="I62" s="397">
        <f t="shared" si="9"/>
        <v>-13196863.127372384</v>
      </c>
      <c r="J62" s="400">
        <f t="shared" si="14"/>
        <v>-2.3389366754423824E-2</v>
      </c>
      <c r="K62" s="176">
        <f>+SUMPRODUCT(('2018'!$G62:$R62)*('2018'!$G$5:$R$5&lt;=Master!$B$3))</f>
        <v>774291674.37</v>
      </c>
      <c r="L62" s="397">
        <f>+G62-K63</f>
        <v>337428037.2700001</v>
      </c>
      <c r="M62" s="402">
        <f>+IF(ISNUMBER(G62/K63-1),G62/K63-1,"…")</f>
        <v>1.5797192756086149</v>
      </c>
      <c r="N62" s="176">
        <f>+INDEX('2019'!$1:$1048576,MATCH('Analitika - 2019'!$A62,'2019'!$A:$A,0),MATCH('Analitika - 2019'!$N$6,'2019'!$6:$6,0))</f>
        <v>43250139.940000013</v>
      </c>
      <c r="O62" s="176">
        <f>+INDEX('2019'!$1:$1048576,MATCH(CONCATENATE('Analitika - 2019'!$A62,"p"),'2019'!$A:$A,0),MATCH('Analitika - 2019'!$O$6,'2019'!$101:$101,0))</f>
        <v>6674621.4294332061</v>
      </c>
      <c r="P62" s="397">
        <f t="shared" si="10"/>
        <v>36575518.510566808</v>
      </c>
      <c r="Q62" s="400">
        <f t="shared" si="11"/>
        <v>5.4797892131048869</v>
      </c>
      <c r="R62" s="176">
        <f>+INDEX('2018'!$1:$1048576,MATCH('Analitika - 2019'!$A62,'2018'!$A:$A,0),MATCH('Analitika - 2019'!$R$6,'2018'!$6:$6,0))</f>
        <v>64518016.759999961</v>
      </c>
      <c r="S62" s="397">
        <f t="shared" si="12"/>
        <v>-21267876.819999948</v>
      </c>
      <c r="T62" s="402">
        <f t="shared" si="13"/>
        <v>-0.329642445444567</v>
      </c>
    </row>
    <row r="63" spans="1:23">
      <c r="A63" s="169">
        <v>7511</v>
      </c>
      <c r="B63" s="473" t="str">
        <f>+VLOOKUP($A63,Master!$D$27:$G$225,4,FALSE)</f>
        <v>Pozajmice i krediti od domaćih izvora</v>
      </c>
      <c r="C63" s="474"/>
      <c r="D63" s="474"/>
      <c r="E63" s="474"/>
      <c r="F63" s="474"/>
      <c r="G63" s="188">
        <f>+SUMPRODUCT(('2019'!$G63:$R63)*('2019'!$G$5:$R$5&lt;=Master!$B$3)*($A63='2019'!$A$10:$A$66))</f>
        <v>286438000</v>
      </c>
      <c r="H63" s="188">
        <f>+SUMPRODUCT(('2019'!$G158:$R158)*('2019'!$G$5:$R$5&lt;=Master!$B$3))</f>
        <v>190000000</v>
      </c>
      <c r="I63" s="237">
        <f t="shared" si="9"/>
        <v>96438000</v>
      </c>
      <c r="J63" s="238">
        <f t="shared" si="14"/>
        <v>0.50756842105263167</v>
      </c>
      <c r="K63" s="188">
        <f>+SUMPRODUCT(('2018'!$G63:$R63)*('2018'!$G$5:$R$5&lt;=Master!$B$3))</f>
        <v>213600000</v>
      </c>
      <c r="L63" s="237">
        <f>+G63-K64</f>
        <v>-515841070.44000006</v>
      </c>
      <c r="M63" s="239">
        <f>+IF(ISNUMBER(G63/K63-1),G63/K63-1,"…")</f>
        <v>0.34100187265917592</v>
      </c>
      <c r="N63" s="188">
        <f>+INDEX('2019'!$1:$1048576,MATCH('Analitika - 2019'!$A63,'2019'!$A:$A,0),MATCH('Analitika - 2019'!$N$6,'2019'!$6:$6,0))</f>
        <v>54000000</v>
      </c>
      <c r="O63" s="188">
        <f>+INDEX('2019'!$1:$1048576,MATCH(CONCATENATE('Analitika - 2019'!$A63,"p"),'2019'!$A:$A,0),MATCH('Analitika - 2019'!$O$6,'2019'!$101:$101,0))</f>
        <v>0</v>
      </c>
      <c r="P63" s="237">
        <f t="shared" si="10"/>
        <v>54000000</v>
      </c>
      <c r="Q63" s="238" t="str">
        <f t="shared" si="11"/>
        <v>…</v>
      </c>
      <c r="R63" s="188">
        <f>+INDEX('2018'!$1:$1048576,MATCH('Analitika - 2019'!$A63,'2018'!$A:$A,0),MATCH('Analitika - 2019'!$R$6,'2018'!$6:$6,0))</f>
        <v>59000000</v>
      </c>
      <c r="S63" s="237">
        <f t="shared" si="12"/>
        <v>-5000000</v>
      </c>
      <c r="T63" s="239">
        <f t="shared" si="13"/>
        <v>-8.4745762711864403E-2</v>
      </c>
    </row>
    <row r="64" spans="1:23">
      <c r="A64" s="169">
        <v>7512</v>
      </c>
      <c r="B64" s="457" t="str">
        <f>+VLOOKUP($A64,Master!$D$27:$G$225,4,FALSE)</f>
        <v>Pozajmice i krediti od inostranih izvora</v>
      </c>
      <c r="C64" s="458"/>
      <c r="D64" s="458"/>
      <c r="E64" s="458"/>
      <c r="F64" s="458"/>
      <c r="G64" s="188">
        <f>+SUMPRODUCT(('2019'!$G64:$R64)*('2019'!$G$5:$R$5&lt;=Master!$B$3)*($A64='2019'!$A$10:$A$66))</f>
        <v>101853376.63</v>
      </c>
      <c r="H64" s="188">
        <f>+SUMPRODUCT(('2019'!$G159:$R159)*('2019'!$G$5:$R$5&lt;=Master!$B$3))</f>
        <v>117422181.24000001</v>
      </c>
      <c r="I64" s="237">
        <f t="shared" si="9"/>
        <v>-15568804.610000014</v>
      </c>
      <c r="J64" s="238">
        <f t="shared" si="14"/>
        <v>-0.1325882763000189</v>
      </c>
      <c r="K64" s="188">
        <f>+SUMPRODUCT(('2018'!$G64:$R64)*('2018'!$G$5:$R$5&lt;=Master!$B$3))</f>
        <v>802279070.44000006</v>
      </c>
      <c r="L64" s="237">
        <f>+G64-K65</f>
        <v>87799908.419999987</v>
      </c>
      <c r="M64" s="239" t="s">
        <v>773</v>
      </c>
      <c r="N64" s="188">
        <f>+INDEX('2019'!$1:$1048576,MATCH('Analitika - 2019'!$A64,'2019'!$A:$A,0),MATCH('Analitika - 2019'!$N$6,'2019'!$6:$6,0))</f>
        <v>32388565.289999999</v>
      </c>
      <c r="O64" s="188">
        <f>+INDEX('2019'!$1:$1048576,MATCH(CONCATENATE('Analitika - 2019'!$A64,"p"),'2019'!$A:$A,0),MATCH('Analitika - 2019'!$O$6,'2019'!$101:$101,0))</f>
        <v>15000000</v>
      </c>
      <c r="P64" s="237">
        <f t="shared" si="10"/>
        <v>17388565.289999999</v>
      </c>
      <c r="Q64" s="238">
        <f t="shared" si="11"/>
        <v>1.159237686</v>
      </c>
      <c r="R64" s="188">
        <f>+INDEX('2018'!$1:$1048576,MATCH('Analitika - 2019'!$A64,'2018'!$A:$A,0),MATCH('Analitika - 2019'!$R$6,'2018'!$6:$6,0))</f>
        <v>13117458.42</v>
      </c>
      <c r="S64" s="237">
        <f t="shared" si="12"/>
        <v>19271106.869999997</v>
      </c>
      <c r="T64" s="239" t="s">
        <v>773</v>
      </c>
    </row>
    <row r="65" spans="1:20">
      <c r="A65" s="169">
        <v>72</v>
      </c>
      <c r="B65" s="457" t="str">
        <f>+VLOOKUP($A65,Master!$D$27:$G$225,4,FALSE)</f>
        <v>Primici od prodaje imovine</v>
      </c>
      <c r="C65" s="458"/>
      <c r="D65" s="458"/>
      <c r="E65" s="458"/>
      <c r="F65" s="458"/>
      <c r="G65" s="188">
        <f>+SUMPRODUCT(('2019'!$G65:$R65)*('2019'!$G$5:$R$5&lt;=Master!$B$3)*($A65='2019'!$A$10:$A$66))</f>
        <v>2036526.7</v>
      </c>
      <c r="H65" s="188">
        <f>+SUMPRODUCT(('2019'!$G160:$R160)*('2019'!$G$5:$R$5&lt;=Master!$B$3))</f>
        <v>4000000</v>
      </c>
      <c r="I65" s="237">
        <f t="shared" si="9"/>
        <v>-1963473.3</v>
      </c>
      <c r="J65" s="238">
        <f t="shared" si="14"/>
        <v>-0.49086832499999999</v>
      </c>
      <c r="K65" s="188">
        <f>+SUMPRODUCT(('2018'!$G65:$R65)*('2018'!$G$5:$R$5&lt;=Master!$B$3))</f>
        <v>14053468.210000001</v>
      </c>
      <c r="L65" s="237">
        <f>+G65-K66</f>
        <v>257677390.98000005</v>
      </c>
      <c r="M65" s="239">
        <f>+IF(ISNUMBER(G65/K65-1),G65/K65-1,"…")</f>
        <v>-0.85508725180373113</v>
      </c>
      <c r="N65" s="188">
        <f>+INDEX('2019'!$1:$1048576,MATCH('Analitika - 2019'!$A65,'2019'!$A:$A,0),MATCH('Analitika - 2019'!$N$6,'2019'!$6:$6,0))</f>
        <v>176786.46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0"/>
        <v>-323213.54000000004</v>
      </c>
      <c r="Q65" s="238">
        <f t="shared" si="11"/>
        <v>-0.64642708000000004</v>
      </c>
      <c r="R65" s="188">
        <f>+INDEX('2018'!$1:$1048576,MATCH('Analitika - 2019'!$A65,'2018'!$A:$A,0),MATCH('Analitika - 2019'!$R$6,'2018'!$6:$6,0))</f>
        <v>257929.95</v>
      </c>
      <c r="S65" s="237">
        <f t="shared" si="12"/>
        <v>-81143.49000000002</v>
      </c>
      <c r="T65" s="239">
        <f t="shared" si="13"/>
        <v>-0.31459506738166709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160700133.94000009</v>
      </c>
      <c r="H66" s="394">
        <f>+SUMPRODUCT(('2019'!$G161:$R161)*('2019'!$G$5:$R$5&lt;=Master!$B$3))</f>
        <v>252802719.15737244</v>
      </c>
      <c r="I66" s="251">
        <f t="shared" si="9"/>
        <v>-92102585.217372358</v>
      </c>
      <c r="J66" s="252">
        <f t="shared" si="14"/>
        <v>-0.36432592783955575</v>
      </c>
      <c r="K66" s="394">
        <f>+SUMPRODUCT(('2018'!$G66:$R66)*('2018'!$G$5:$R$5&lt;=Master!$B$3))</f>
        <v>-255640864.28000006</v>
      </c>
      <c r="L66" s="251">
        <f>+G66-K66</f>
        <v>416340998.22000015</v>
      </c>
      <c r="M66" s="253" t="s">
        <v>773</v>
      </c>
      <c r="N66" s="394">
        <f>+INDEX('2019'!$1:$1048576,MATCH('Analitika - 2019'!$A66,'2019'!$A:$A,0),MATCH('Analitika - 2019'!$N$6,'2019'!$6:$6,0))</f>
        <v>-43315211.809999973</v>
      </c>
      <c r="O66" s="394">
        <f>+INDEX('2019'!$1:$1048576,MATCH(CONCATENATE('Analitika - 2019'!$A66,"p"),'2019'!$A:$A,0),MATCH('Analitika - 2019'!$O$6,'2019'!$101:$101,0))</f>
        <v>-8825378.5705667939</v>
      </c>
      <c r="P66" s="251">
        <f t="shared" si="10"/>
        <v>-34489833.239433177</v>
      </c>
      <c r="Q66" s="252">
        <f t="shared" si="11"/>
        <v>3.9080287563480836</v>
      </c>
      <c r="R66" s="394">
        <f>+INDEX('2018'!$1:$1048576,MATCH('Analitika - 2019'!$A66,'2018'!$A:$A,0),MATCH('Analitika - 2019'!$R$6,'2018'!$6:$6,0))</f>
        <v>-7857371.6100000441</v>
      </c>
      <c r="S66" s="251">
        <f t="shared" si="12"/>
        <v>-35457840.199999928</v>
      </c>
      <c r="T66" s="253">
        <f t="shared" si="13"/>
        <v>4.5126846431538103</v>
      </c>
    </row>
    <row r="68" spans="1:20">
      <c r="H68" s="391"/>
    </row>
    <row r="69" spans="1:20">
      <c r="H69" s="364"/>
    </row>
    <row r="71" spans="1:20">
      <c r="R71" s="443"/>
    </row>
    <row r="73" spans="1:20">
      <c r="G73" s="454">
        <f>G10+SUM(G63:G65)</f>
        <v>1562545811.1199999</v>
      </c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J9" sqref="J9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23" width="13.85546875" style="303" bestFit="1" customWidth="1"/>
    <col min="24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778</v>
      </c>
      <c r="H6" s="259" t="s">
        <v>779</v>
      </c>
      <c r="I6" s="259" t="s">
        <v>780</v>
      </c>
      <c r="J6" s="259" t="s">
        <v>781</v>
      </c>
      <c r="K6" s="259" t="s">
        <v>782</v>
      </c>
      <c r="L6" s="259" t="s">
        <v>783</v>
      </c>
      <c r="M6" s="259" t="s">
        <v>784</v>
      </c>
      <c r="N6" s="259" t="s">
        <v>785</v>
      </c>
      <c r="O6" s="259" t="s">
        <v>786</v>
      </c>
      <c r="P6" s="259" t="s">
        <v>787</v>
      </c>
      <c r="Q6" s="259" t="s">
        <v>788</v>
      </c>
      <c r="R6" s="259" t="s">
        <v>789</v>
      </c>
      <c r="S6" s="258"/>
      <c r="T6" s="258"/>
    </row>
    <row r="7" spans="1:20" ht="15" customHeight="1" thickBot="1">
      <c r="A7" s="169"/>
      <c r="B7" s="562" t="str">
        <f>+Master!G251</f>
        <v>Ostvarenje budžeta</v>
      </c>
      <c r="C7" s="460"/>
      <c r="D7" s="460"/>
      <c r="E7" s="460"/>
      <c r="F7" s="460"/>
      <c r="G7" s="468">
        <v>2019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0" t="str">
        <f>+Master!G248</f>
        <v>BDP</v>
      </c>
      <c r="T7" s="261">
        <v>4803300000</v>
      </c>
    </row>
    <row r="8" spans="1:20" ht="16.5" customHeight="1">
      <c r="A8" s="169"/>
      <c r="B8" s="461"/>
      <c r="C8" s="462"/>
      <c r="D8" s="462"/>
      <c r="E8" s="462"/>
      <c r="F8" s="463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8" t="str">
        <f>+Master!G245</f>
        <v>Jan - Avg</v>
      </c>
      <c r="T8" s="472"/>
    </row>
    <row r="9" spans="1:20" ht="13.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1" t="str">
        <f>+VLOOKUP($A10,Master!$D$27:$G$225,4,FALSE)</f>
        <v>Prihodi budžeta</v>
      </c>
      <c r="C10" s="502"/>
      <c r="D10" s="502"/>
      <c r="E10" s="502"/>
      <c r="F10" s="502"/>
      <c r="G10" s="176">
        <f t="shared" ref="G10:R10" si="1">+G11+G19+SUM(G24:G28)</f>
        <v>107257794.96000001</v>
      </c>
      <c r="H10" s="176">
        <f t="shared" si="1"/>
        <v>116544625.95</v>
      </c>
      <c r="I10" s="176">
        <f t="shared" si="1"/>
        <v>147544399.37</v>
      </c>
      <c r="J10" s="176">
        <f t="shared" si="1"/>
        <v>165045275.70000002</v>
      </c>
      <c r="K10" s="176">
        <f t="shared" si="1"/>
        <v>144226472.26999998</v>
      </c>
      <c r="L10" s="176">
        <f t="shared" si="1"/>
        <v>143393460.84999999</v>
      </c>
      <c r="M10" s="176">
        <f t="shared" si="1"/>
        <v>174124444.44</v>
      </c>
      <c r="N10" s="176">
        <f t="shared" si="1"/>
        <v>174081434.25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1172217907.79</v>
      </c>
      <c r="T10" s="265">
        <f>+S10/$T$7</f>
        <v>0.24404428367788811</v>
      </c>
    </row>
    <row r="11" spans="1:20">
      <c r="A11" s="175">
        <v>711</v>
      </c>
      <c r="B11" s="503" t="str">
        <f>+VLOOKUP($A11,Master!$D$27:$G$225,4,FALSE)</f>
        <v>Porezi</v>
      </c>
      <c r="C11" s="504"/>
      <c r="D11" s="504"/>
      <c r="E11" s="504"/>
      <c r="F11" s="504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94372185.030000001</v>
      </c>
      <c r="L11" s="182">
        <f t="shared" si="2"/>
        <v>89389439.689999998</v>
      </c>
      <c r="M11" s="182">
        <f t="shared" si="2"/>
        <v>115363471.45</v>
      </c>
      <c r="N11" s="182">
        <f t="shared" si="2"/>
        <v>118817091.44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764344190.5</v>
      </c>
      <c r="T11" s="268">
        <f t="shared" ref="T11:T66" si="4">+S11/$T$7</f>
        <v>0.15912897185268463</v>
      </c>
    </row>
    <row r="12" spans="1:20">
      <c r="A12" s="175">
        <v>7111</v>
      </c>
      <c r="B12" s="489" t="str">
        <f>+VLOOKUP($A12,Master!$D$27:$G$225,4,FALSE)</f>
        <v>Porez na dohodak fizičkih lica</v>
      </c>
      <c r="C12" s="490"/>
      <c r="D12" s="490"/>
      <c r="E12" s="490"/>
      <c r="F12" s="490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10210712.41</v>
      </c>
      <c r="L12" s="188">
        <f>+INDEX(DataEx!$1:$1048576,MATCH('2019'!$A12,DataEx!$D:$D,0),MATCH('2019'!L$6,DataEx!$7:$7,0))</f>
        <v>10125793.029999999</v>
      </c>
      <c r="M12" s="188">
        <f>+INDEX(DataEx!$1:$1048576,MATCH('2019'!$A12,DataEx!$D:$D,0),MATCH('2019'!M$6,DataEx!$7:$7,0))</f>
        <v>10986746.67</v>
      </c>
      <c r="N12" s="188">
        <f>+INDEX(DataEx!$1:$1048576,MATCH('2019'!$A12,DataEx!$D:$D,0),MATCH('2019'!N$6,DataEx!$7:$7,0))</f>
        <v>10477204.85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75215095.299999997</v>
      </c>
      <c r="T12" s="270">
        <f t="shared" si="4"/>
        <v>1.5659045926758687E-2</v>
      </c>
    </row>
    <row r="13" spans="1:20">
      <c r="A13" s="175">
        <v>7112</v>
      </c>
      <c r="B13" s="489" t="str">
        <f>+VLOOKUP($A13,Master!$D$27:$G$225,4,FALSE)</f>
        <v>Porez na dobit pravnih lica</v>
      </c>
      <c r="C13" s="490"/>
      <c r="D13" s="490"/>
      <c r="E13" s="490"/>
      <c r="F13" s="490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4781744.7</v>
      </c>
      <c r="L13" s="188">
        <f>+INDEX(DataEx!$1:$1048576,MATCH('2019'!$A13,DataEx!$D:$D,0),MATCH('2019'!L$6,DataEx!$7:$7,0))</f>
        <v>3678815</v>
      </c>
      <c r="M13" s="188">
        <f>+INDEX(DataEx!$1:$1048576,MATCH('2019'!$A13,DataEx!$D:$D,0),MATCH('2019'!M$6,DataEx!$7:$7,0))</f>
        <v>3890710.55</v>
      </c>
      <c r="N13" s="188">
        <f>+INDEX(DataEx!$1:$1048576,MATCH('2019'!$A13,DataEx!$D:$D,0),MATCH('2019'!N$6,DataEx!$7:$7,0))</f>
        <v>3092994.24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61217755.149999999</v>
      </c>
      <c r="T13" s="270">
        <f t="shared" si="4"/>
        <v>1.274493684550205E-2</v>
      </c>
    </row>
    <row r="14" spans="1:20">
      <c r="A14" s="175">
        <v>7113</v>
      </c>
      <c r="B14" s="489" t="str">
        <f>+VLOOKUP($A14,Master!$D$27:$G$225,4,FALSE)</f>
        <v>Porez na promet nepokretnosti</v>
      </c>
      <c r="C14" s="490"/>
      <c r="D14" s="490"/>
      <c r="E14" s="490"/>
      <c r="F14" s="490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147510.5</v>
      </c>
      <c r="L14" s="188">
        <f>+INDEX(DataEx!$1:$1048576,MATCH('2019'!$A14,DataEx!$D:$D,0),MATCH('2019'!L$6,DataEx!$7:$7,0))</f>
        <v>158253.64000000001</v>
      </c>
      <c r="M14" s="188">
        <f>+INDEX(DataEx!$1:$1048576,MATCH('2019'!$A14,DataEx!$D:$D,0),MATCH('2019'!M$6,DataEx!$7:$7,0))</f>
        <v>152687.82</v>
      </c>
      <c r="N14" s="188">
        <f>+INDEX(DataEx!$1:$1048576,MATCH('2019'!$A14,DataEx!$D:$D,0),MATCH('2019'!N$6,DataEx!$7:$7,0))</f>
        <v>172408.19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1269383.6099999999</v>
      </c>
      <c r="T14" s="270">
        <f t="shared" si="4"/>
        <v>2.6427323090375362E-4</v>
      </c>
    </row>
    <row r="15" spans="1:20">
      <c r="A15" s="175">
        <v>7114</v>
      </c>
      <c r="B15" s="489" t="str">
        <f>+VLOOKUP($A15,Master!$D$27:$G$225,4,FALSE)</f>
        <v>Porez na dodatu vrijednost</v>
      </c>
      <c r="C15" s="490"/>
      <c r="D15" s="490"/>
      <c r="E15" s="490"/>
      <c r="F15" s="490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56428341.859999999</v>
      </c>
      <c r="L15" s="188">
        <f>+INDEX(DataEx!$1:$1048576,MATCH('2019'!$A15,DataEx!$D:$D,0),MATCH('2019'!L$6,DataEx!$7:$7,0))</f>
        <v>52810087.229999997</v>
      </c>
      <c r="M15" s="188">
        <f>+INDEX(DataEx!$1:$1048576,MATCH('2019'!$A15,DataEx!$D:$D,0),MATCH('2019'!M$6,DataEx!$7:$7,0))</f>
        <v>71626480.939999998</v>
      </c>
      <c r="N15" s="188">
        <f>+INDEX(DataEx!$1:$1048576,MATCH('2019'!$A15,DataEx!$D:$D,0),MATCH('2019'!N$6,DataEx!$7:$7,0))</f>
        <v>71690318.180000007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447001873.43000001</v>
      </c>
      <c r="T15" s="270">
        <f t="shared" si="4"/>
        <v>9.3061410578144196E-2</v>
      </c>
    </row>
    <row r="16" spans="1:20">
      <c r="A16" s="175">
        <v>7115</v>
      </c>
      <c r="B16" s="489" t="str">
        <f>+VLOOKUP($A16,Master!$D$27:$G$225,4,FALSE)</f>
        <v>Akcize</v>
      </c>
      <c r="C16" s="490"/>
      <c r="D16" s="490"/>
      <c r="E16" s="490"/>
      <c r="F16" s="490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19442485.359999999</v>
      </c>
      <c r="L16" s="188">
        <f>+INDEX(DataEx!$1:$1048576,MATCH('2019'!$A16,DataEx!$D:$D,0),MATCH('2019'!L$6,DataEx!$7:$7,0))</f>
        <v>19205497.870000001</v>
      </c>
      <c r="M16" s="188">
        <f>+INDEX(DataEx!$1:$1048576,MATCH('2019'!$A16,DataEx!$D:$D,0),MATCH('2019'!M$6,DataEx!$7:$7,0))</f>
        <v>24612824.059999999</v>
      </c>
      <c r="N16" s="188">
        <f>+INDEX(DataEx!$1:$1048576,MATCH('2019'!$A16,DataEx!$D:$D,0),MATCH('2019'!N$6,DataEx!$7:$7,0))</f>
        <v>29562766.32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151292318.42000002</v>
      </c>
      <c r="T16" s="270">
        <f t="shared" si="4"/>
        <v>3.1497578419003608E-2</v>
      </c>
    </row>
    <row r="17" spans="1:25">
      <c r="A17" s="175">
        <v>7116</v>
      </c>
      <c r="B17" s="489" t="str">
        <f>+VLOOKUP($A17,Master!$D$27:$G$225,4,FALSE)</f>
        <v>Porez na međunarodnu trgovinu i transakcije</v>
      </c>
      <c r="C17" s="490"/>
      <c r="D17" s="490"/>
      <c r="E17" s="490"/>
      <c r="F17" s="490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2502520.2799999998</v>
      </c>
      <c r="L17" s="188">
        <f>+INDEX(DataEx!$1:$1048576,MATCH('2019'!$A17,DataEx!$D:$D,0),MATCH('2019'!L$6,DataEx!$7:$7,0))</f>
        <v>2485583.9700000002</v>
      </c>
      <c r="M17" s="188">
        <f>+INDEX(DataEx!$1:$1048576,MATCH('2019'!$A17,DataEx!$D:$D,0),MATCH('2019'!M$6,DataEx!$7:$7,0))</f>
        <v>3088089.4</v>
      </c>
      <c r="N17" s="188">
        <f>+INDEX(DataEx!$1:$1048576,MATCH('2019'!$A17,DataEx!$D:$D,0),MATCH('2019'!N$6,DataEx!$7:$7,0))</f>
        <v>2788700.72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19017760.27</v>
      </c>
      <c r="T17" s="270">
        <f t="shared" si="4"/>
        <v>3.9593113630212564E-3</v>
      </c>
    </row>
    <row r="18" spans="1:25">
      <c r="A18" s="175">
        <v>7118</v>
      </c>
      <c r="B18" s="489" t="str">
        <f>+VLOOKUP($A18,Master!$D$27:$G$225,4,FALSE)</f>
        <v>Ostali državni porezi</v>
      </c>
      <c r="C18" s="490"/>
      <c r="D18" s="490"/>
      <c r="E18" s="490"/>
      <c r="F18" s="490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858869.92</v>
      </c>
      <c r="L18" s="188">
        <f>+INDEX(DataEx!$1:$1048576,MATCH('2019'!$A18,DataEx!$D:$D,0),MATCH('2019'!L$6,DataEx!$7:$7,0))</f>
        <v>925408.95</v>
      </c>
      <c r="M18" s="188">
        <f>+INDEX(DataEx!$1:$1048576,MATCH('2019'!$A18,DataEx!$D:$D,0),MATCH('2019'!M$6,DataEx!$7:$7,0))</f>
        <v>1005932.01</v>
      </c>
      <c r="N18" s="188">
        <f>+INDEX(DataEx!$1:$1048576,MATCH('2019'!$A18,DataEx!$D:$D,0),MATCH('2019'!N$6,DataEx!$7:$7,0))</f>
        <v>1032698.94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9330004.3200000003</v>
      </c>
      <c r="T18" s="270">
        <f t="shared" si="4"/>
        <v>1.9424154893510712E-3</v>
      </c>
    </row>
    <row r="19" spans="1:25">
      <c r="A19" s="175">
        <v>712</v>
      </c>
      <c r="B19" s="499" t="str">
        <f>+VLOOKUP($A19,Master!$D$27:$G$225,4,FALSE)</f>
        <v>Doprinosi</v>
      </c>
      <c r="C19" s="500"/>
      <c r="D19" s="500"/>
      <c r="E19" s="500"/>
      <c r="F19" s="500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41912269.38000001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50290988.940000005</v>
      </c>
      <c r="K19" s="194">
        <f>+INDEX(DataEx!$1:$1048576,MATCH('2019'!$A19,DataEx!$D:$D,0),MATCH('2019'!K$6,DataEx!$7:$7,0))</f>
        <v>37496285.130000003</v>
      </c>
      <c r="L19" s="194">
        <f>+INDEX(DataEx!$1:$1048576,MATCH('2019'!$A19,DataEx!$D:$D,0),MATCH('2019'!L$6,DataEx!$7:$7,0))</f>
        <v>45280786.510000005</v>
      </c>
      <c r="M19" s="194">
        <f>+INDEX(DataEx!$1:$1048576,MATCH('2019'!$A19,DataEx!$D:$D,0),MATCH('2019'!M$6,DataEx!$7:$7,0))</f>
        <v>48662139.43999999</v>
      </c>
      <c r="N19" s="194">
        <f>+INDEX(DataEx!$1:$1048576,MATCH('2019'!$A19,DataEx!$D:$D,0),MATCH('2019'!N$6,DataEx!$7:$7,0))</f>
        <v>45770745.839999996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326959695.89999998</v>
      </c>
      <c r="T19" s="273">
        <f t="shared" si="4"/>
        <v>6.8069805321341575E-2</v>
      </c>
    </row>
    <row r="20" spans="1:25">
      <c r="A20" s="175">
        <v>7121</v>
      </c>
      <c r="B20" s="489" t="str">
        <f>+VLOOKUP($A20,Master!$D$27:$G$225,4,FALSE)</f>
        <v>Doprinosi za penzijsko i invalidsko osiguranje</v>
      </c>
      <c r="C20" s="490"/>
      <c r="D20" s="490"/>
      <c r="E20" s="490"/>
      <c r="F20" s="490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22104934.850000001</v>
      </c>
      <c r="L20" s="188">
        <f>+INDEX(DataEx!$1:$1048576,MATCH('2019'!$A20,DataEx!$D:$D,0),MATCH('2019'!L$6,DataEx!$7:$7,0))</f>
        <v>27009559.609999999</v>
      </c>
      <c r="M20" s="188">
        <f>+INDEX(DataEx!$1:$1048576,MATCH('2019'!$A20,DataEx!$D:$D,0),MATCH('2019'!M$6,DataEx!$7:$7,0))</f>
        <v>28964205.43</v>
      </c>
      <c r="N20" s="188">
        <f>+INDEX(DataEx!$1:$1048576,MATCH('2019'!$A20,DataEx!$D:$D,0),MATCH('2019'!N$6,DataEx!$7:$7,0))</f>
        <v>27519220.43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>+SUM(G20:R20)</f>
        <v>193461824.75</v>
      </c>
      <c r="T20" s="270">
        <f t="shared" si="4"/>
        <v>4.0276856484083856E-2</v>
      </c>
    </row>
    <row r="21" spans="1:25">
      <c r="A21" s="175">
        <v>7122</v>
      </c>
      <c r="B21" s="489" t="str">
        <f>+VLOOKUP($A21,Master!$D$27:$G$225,4,FALSE)</f>
        <v>Doprinosi za zdravstveno osiguranje</v>
      </c>
      <c r="C21" s="490"/>
      <c r="D21" s="490"/>
      <c r="E21" s="490"/>
      <c r="F21" s="490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13458982.5</v>
      </c>
      <c r="L21" s="188">
        <f>+INDEX(DataEx!$1:$1048576,MATCH('2019'!$A21,DataEx!$D:$D,0),MATCH('2019'!L$6,DataEx!$7:$7,0))</f>
        <v>15925774.34</v>
      </c>
      <c r="M21" s="188">
        <f>+INDEX(DataEx!$1:$1048576,MATCH('2019'!$A21,DataEx!$D:$D,0),MATCH('2019'!M$6,DataEx!$7:$7,0))</f>
        <v>17203285.449999999</v>
      </c>
      <c r="N21" s="188">
        <f>+INDEX(DataEx!$1:$1048576,MATCH('2019'!$A21,DataEx!$D:$D,0),MATCH('2019'!N$6,DataEx!$7:$7,0))</f>
        <v>15860674.26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116236675.98</v>
      </c>
      <c r="T21" s="270">
        <f t="shared" si="4"/>
        <v>2.4199337118231218E-2</v>
      </c>
    </row>
    <row r="22" spans="1:25">
      <c r="A22" s="175">
        <v>7123</v>
      </c>
      <c r="B22" s="489" t="str">
        <f>+VLOOKUP($A22,Master!$D$27:$G$225,4,FALSE)</f>
        <v>Doprinosi za osiguranje od nezaposlenosti</v>
      </c>
      <c r="C22" s="490"/>
      <c r="D22" s="490"/>
      <c r="E22" s="490"/>
      <c r="F22" s="490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1026106.03</v>
      </c>
      <c r="L22" s="188">
        <f>+INDEX(DataEx!$1:$1048576,MATCH('2019'!$A22,DataEx!$D:$D,0),MATCH('2019'!L$6,DataEx!$7:$7,0))</f>
        <v>1222753.49</v>
      </c>
      <c r="M22" s="188">
        <f>+INDEX(DataEx!$1:$1048576,MATCH('2019'!$A22,DataEx!$D:$D,0),MATCH('2019'!M$6,DataEx!$7:$7,0))</f>
        <v>1316999.83</v>
      </c>
      <c r="N22" s="188">
        <f>+INDEX(DataEx!$1:$1048576,MATCH('2019'!$A22,DataEx!$D:$D,0),MATCH('2019'!N$6,DataEx!$7:$7,0))</f>
        <v>1256512.28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8954057.3800000008</v>
      </c>
      <c r="T22" s="270">
        <f t="shared" si="4"/>
        <v>1.8641470197572503E-3</v>
      </c>
    </row>
    <row r="23" spans="1:25">
      <c r="A23" s="175">
        <v>7124</v>
      </c>
      <c r="B23" s="489" t="str">
        <f>+VLOOKUP($A23,Master!$D$27:$G$225,4,FALSE)</f>
        <v>Ostali doprinosi</v>
      </c>
      <c r="C23" s="490"/>
      <c r="D23" s="490"/>
      <c r="E23" s="490"/>
      <c r="F23" s="490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906261.75</v>
      </c>
      <c r="L23" s="188">
        <f>+INDEX(DataEx!$1:$1048576,MATCH('2019'!$A23,DataEx!$D:$D,0),MATCH('2019'!L$6,DataEx!$7:$7,0))</f>
        <v>1122699.07</v>
      </c>
      <c r="M23" s="188">
        <f>+INDEX(DataEx!$1:$1048576,MATCH('2019'!$A23,DataEx!$D:$D,0),MATCH('2019'!M$6,DataEx!$7:$7,0))</f>
        <v>1177648.73</v>
      </c>
      <c r="N23" s="188">
        <f>+INDEX(DataEx!$1:$1048576,MATCH('2019'!$A23,DataEx!$D:$D,0),MATCH('2019'!N$6,DataEx!$7:$7,0))</f>
        <v>1134338.8700000001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8307137.79</v>
      </c>
      <c r="T23" s="270">
        <f t="shared" si="4"/>
        <v>1.7294646992692523E-3</v>
      </c>
      <c r="Y23" s="379"/>
    </row>
    <row r="24" spans="1:25">
      <c r="A24" s="175">
        <v>713</v>
      </c>
      <c r="B24" s="491" t="str">
        <f>+VLOOKUP($A24,Master!$D$27:$G$225,4,FALSE)</f>
        <v>Takse</v>
      </c>
      <c r="C24" s="492"/>
      <c r="D24" s="492"/>
      <c r="E24" s="492"/>
      <c r="F24" s="492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1041125.3899999999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1208813.17</v>
      </c>
      <c r="L24" s="200">
        <f>+INDEX(DataEx!$1:$1048576,MATCH('2019'!$A24,DataEx!$D:$D,0),MATCH('2019'!L$6,DataEx!$7:$7,0))</f>
        <v>1252534.6599999999</v>
      </c>
      <c r="M24" s="200">
        <f>+INDEX(DataEx!$1:$1048576,MATCH('2019'!$A24,DataEx!$D:$D,0),MATCH('2019'!M$6,DataEx!$7:$7,0))</f>
        <v>1880947.5899999999</v>
      </c>
      <c r="N24" s="200">
        <f>+INDEX(DataEx!$1:$1048576,MATCH('2019'!$A24,DataEx!$D:$D,0),MATCH('2019'!N$6,DataEx!$7:$7,0))</f>
        <v>1630940.38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10222376.829999998</v>
      </c>
      <c r="T24" s="273">
        <f t="shared" si="4"/>
        <v>2.1281987029750375E-3</v>
      </c>
      <c r="Y24" s="379"/>
    </row>
    <row r="25" spans="1:25">
      <c r="A25" s="175">
        <v>714</v>
      </c>
      <c r="B25" s="491" t="str">
        <f>+VLOOKUP($A25,Master!$D$27:$G$225,4,FALSE)</f>
        <v>Naknade</v>
      </c>
      <c r="C25" s="492"/>
      <c r="D25" s="492"/>
      <c r="E25" s="492"/>
      <c r="F25" s="492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1792591.2</v>
      </c>
      <c r="L25" s="200">
        <f>+INDEX(DataEx!$1:$1048576,MATCH('2019'!$A25,DataEx!$D:$D,0),MATCH('2019'!L$6,DataEx!$7:$7,0))</f>
        <v>2081141.31</v>
      </c>
      <c r="M25" s="200">
        <f>+INDEX(DataEx!$1:$1048576,MATCH('2019'!$A25,DataEx!$D:$D,0),MATCH('2019'!M$6,DataEx!$7:$7,0))</f>
        <v>2697450.35</v>
      </c>
      <c r="N25" s="200">
        <f>+INDEX(DataEx!$1:$1048576,MATCH('2019'!$A25,DataEx!$D:$D,0),MATCH('2019'!N$6,DataEx!$7:$7,0))</f>
        <v>1985377.1099999999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18131611.960000001</v>
      </c>
      <c r="T25" s="273">
        <f t="shared" si="4"/>
        <v>3.77482396685612E-3</v>
      </c>
      <c r="W25" s="366"/>
    </row>
    <row r="26" spans="1:25">
      <c r="A26" s="175">
        <v>715</v>
      </c>
      <c r="B26" s="491" t="str">
        <f>+VLOOKUP($A26,Master!$D$27:$G$225,4,FALSE)</f>
        <v>Ostali prihodi</v>
      </c>
      <c r="C26" s="492"/>
      <c r="D26" s="492"/>
      <c r="E26" s="492"/>
      <c r="F26" s="492"/>
      <c r="G26" s="200">
        <f>+INDEX(DataEx!$1:$1048576,MATCH('2019'!$A26,DataEx!$D:$D,0),MATCH('2019'!G$6,DataEx!$7:$7,0))</f>
        <v>1567147.41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3193816.55</v>
      </c>
      <c r="J26" s="200">
        <f>+INDEX(DataEx!$1:$1048576,MATCH('2019'!$A26,DataEx!$D:$D,0),MATCH('2019'!J$6,DataEx!$7:$7,0))</f>
        <v>2385570.52</v>
      </c>
      <c r="K26" s="200">
        <f>+INDEX(DataEx!$1:$1048576,MATCH('2019'!$A26,DataEx!$D:$D,0),MATCH('2019'!K$6,DataEx!$7:$7,0))</f>
        <v>7159071.0099999998</v>
      </c>
      <c r="L26" s="200">
        <f>+INDEX(DataEx!$1:$1048576,MATCH('2019'!$A26,DataEx!$D:$D,0),MATCH('2019'!L$6,DataEx!$7:$7,0))</f>
        <v>3262994.81</v>
      </c>
      <c r="M26" s="200">
        <f>+INDEX(DataEx!$1:$1048576,MATCH('2019'!$A26,DataEx!$D:$D,0),MATCH('2019'!M$6,DataEx!$7:$7,0))</f>
        <v>3734626.12</v>
      </c>
      <c r="N26" s="200">
        <f>+INDEX(DataEx!$1:$1048576,MATCH('2019'!$A26,DataEx!$D:$D,0),MATCH('2019'!N$6,DataEx!$7:$7,0))</f>
        <v>2985463.57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26488221.09</v>
      </c>
      <c r="T26" s="273">
        <f t="shared" si="4"/>
        <v>5.5145881144213352E-3</v>
      </c>
      <c r="W26" s="385"/>
    </row>
    <row r="27" spans="1:25">
      <c r="A27" s="175">
        <v>73</v>
      </c>
      <c r="B27" s="491" t="str">
        <f>+VLOOKUP($A27,Master!$D$27:$G$225,4,FALSE)</f>
        <v>Primici od otplate kredita i sredstva prenesena iz prethodne godine</v>
      </c>
      <c r="C27" s="492"/>
      <c r="D27" s="492"/>
      <c r="E27" s="492"/>
      <c r="F27" s="492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808656.23</v>
      </c>
      <c r="L27" s="200">
        <f>+INDEX(DataEx!$1:$1048576,MATCH('2019'!$A27,DataEx!$D:$D,0),MATCH('2019'!L$6,DataEx!$7:$7,0))</f>
        <v>1298753.81</v>
      </c>
      <c r="M27" s="200">
        <f>+INDEX(DataEx!$1:$1048576,MATCH('2019'!$A27,DataEx!$D:$D,0),MATCH('2019'!M$6,DataEx!$7:$7,0))</f>
        <v>134648.84</v>
      </c>
      <c r="N27" s="200">
        <f>+INDEX(DataEx!$1:$1048576,MATCH('2019'!$A27,DataEx!$D:$D,0),MATCH('2019'!N$6,DataEx!$7:$7,0))</f>
        <v>1295803.5900000001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4591770.71</v>
      </c>
      <c r="T27" s="273">
        <f t="shared" si="4"/>
        <v>9.5596167426560902E-4</v>
      </c>
    </row>
    <row r="28" spans="1:25" ht="13.5" thickBot="1">
      <c r="A28" s="175">
        <v>74</v>
      </c>
      <c r="B28" s="493" t="str">
        <f>+VLOOKUP($A28,Master!$D$27:$G$225,4,FALSE)</f>
        <v>Donacije i transferi</v>
      </c>
      <c r="C28" s="494"/>
      <c r="D28" s="494"/>
      <c r="E28" s="494"/>
      <c r="F28" s="494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1388870.5</v>
      </c>
      <c r="L28" s="200">
        <f>+INDEX(DataEx!$1:$1048576,MATCH('2019'!$A28,DataEx!$D:$D,0),MATCH('2019'!L$6,DataEx!$7:$7,0))</f>
        <v>827810.06</v>
      </c>
      <c r="M28" s="200">
        <f>+INDEX(DataEx!$1:$1048576,MATCH('2019'!$A28,DataEx!$D:$D,0),MATCH('2019'!M$6,DataEx!$7:$7,0))</f>
        <v>1651160.65</v>
      </c>
      <c r="N28" s="200">
        <f>+INDEX(DataEx!$1:$1048576,MATCH('2019'!$A28,DataEx!$D:$D,0),MATCH('2019'!N$6,DataEx!$7:$7,0))</f>
        <v>1596012.32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21480040.799999997</v>
      </c>
      <c r="T28" s="276">
        <f t="shared" si="4"/>
        <v>4.4719340453438254E-3</v>
      </c>
    </row>
    <row r="29" spans="1:25" ht="13.5" thickBot="1">
      <c r="A29" s="175">
        <v>4</v>
      </c>
      <c r="B29" s="479" t="str">
        <f>+VLOOKUP($A29,Master!$D$27:$G$225,4,FALSE)</f>
        <v>Budžetski izdaci</v>
      </c>
      <c r="C29" s="480"/>
      <c r="D29" s="480"/>
      <c r="E29" s="480"/>
      <c r="F29" s="480"/>
      <c r="G29" s="176">
        <f>+G31+G42+G48+SUM(G49:G53)</f>
        <v>139590114.27000004</v>
      </c>
      <c r="H29" s="176">
        <f t="shared" ref="H29:R29" si="5">+H31+H42+H48+SUM(H49:H53)</f>
        <v>130880885.69</v>
      </c>
      <c r="I29" s="176">
        <f t="shared" si="5"/>
        <v>172163990.72000003</v>
      </c>
      <c r="J29" s="176">
        <f t="shared" si="5"/>
        <v>154925194.25999996</v>
      </c>
      <c r="K29" s="176">
        <f t="shared" si="5"/>
        <v>146568323.63999999</v>
      </c>
      <c r="L29" s="176">
        <f t="shared" si="5"/>
        <v>144199284.44</v>
      </c>
      <c r="M29" s="176">
        <f t="shared" si="5"/>
        <v>179381945.48000002</v>
      </c>
      <c r="N29" s="176">
        <f t="shared" si="5"/>
        <v>159575957.02000001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1227285695.52</v>
      </c>
      <c r="T29" s="278">
        <f t="shared" si="4"/>
        <v>0.25550885756042718</v>
      </c>
    </row>
    <row r="30" spans="1:25" ht="13.5" thickBot="1">
      <c r="A30" s="175">
        <v>40</v>
      </c>
      <c r="B30" s="495" t="str">
        <f>+VLOOKUP($A30,Master!$D$27:$G$225,4,FALSE)</f>
        <v>Tekuća budžetska potrošnja</v>
      </c>
      <c r="C30" s="496"/>
      <c r="D30" s="496"/>
      <c r="E30" s="496"/>
      <c r="F30" s="496"/>
      <c r="G30" s="206">
        <f>+G29-G49</f>
        <v>112761759.32000004</v>
      </c>
      <c r="H30" s="206">
        <f t="shared" ref="H30:R30" si="6">+H29-H49</f>
        <v>127190435.67999999</v>
      </c>
      <c r="I30" s="206">
        <f t="shared" si="6"/>
        <v>157233793.12000003</v>
      </c>
      <c r="J30" s="206">
        <f t="shared" si="6"/>
        <v>142829076.86999995</v>
      </c>
      <c r="K30" s="206">
        <f t="shared" si="6"/>
        <v>135103946.07999998</v>
      </c>
      <c r="L30" s="206">
        <f t="shared" si="6"/>
        <v>131357063.20999999</v>
      </c>
      <c r="M30" s="206">
        <f t="shared" si="6"/>
        <v>156176224.39000002</v>
      </c>
      <c r="N30" s="206">
        <f t="shared" si="6"/>
        <v>118701833.90000001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1081354132.5699999</v>
      </c>
      <c r="T30" s="280">
        <f t="shared" si="4"/>
        <v>0.22512733590864611</v>
      </c>
    </row>
    <row r="31" spans="1:25">
      <c r="A31" s="175">
        <v>41</v>
      </c>
      <c r="B31" s="497" t="str">
        <f>+VLOOKUP($A31,Master!$D$27:$G$225,4,FALSE)</f>
        <v>Tekući izdaci</v>
      </c>
      <c r="C31" s="498"/>
      <c r="D31" s="498"/>
      <c r="E31" s="498"/>
      <c r="F31" s="498"/>
      <c r="G31" s="212">
        <f>+SUM(G32:G41)</f>
        <v>50999254.180000007</v>
      </c>
      <c r="H31" s="212">
        <f t="shared" ref="H31:R31" si="7">+SUM(H32:H41)</f>
        <v>58405330.32</v>
      </c>
      <c r="I31" s="212">
        <f t="shared" si="7"/>
        <v>85883180.63000001</v>
      </c>
      <c r="J31" s="212">
        <f t="shared" si="7"/>
        <v>77286244.589999974</v>
      </c>
      <c r="K31" s="212">
        <f t="shared" si="7"/>
        <v>68965938.739999995</v>
      </c>
      <c r="L31" s="212">
        <f t="shared" si="7"/>
        <v>68528549.039999992</v>
      </c>
      <c r="M31" s="212">
        <f t="shared" si="7"/>
        <v>73051651.219999999</v>
      </c>
      <c r="N31" s="212">
        <f t="shared" si="7"/>
        <v>56723030.990000002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539843179.71000004</v>
      </c>
      <c r="T31" s="268">
        <f t="shared" si="4"/>
        <v>0.11239006093935421</v>
      </c>
    </row>
    <row r="32" spans="1:25">
      <c r="A32" s="175">
        <v>411</v>
      </c>
      <c r="B32" s="489" t="str">
        <f>+VLOOKUP($A32,Master!$D$27:$G$225,4,FALSE)</f>
        <v>Bruto zarade i doprinosi na teret poslodavca</v>
      </c>
      <c r="C32" s="490"/>
      <c r="D32" s="490"/>
      <c r="E32" s="490"/>
      <c r="F32" s="490"/>
      <c r="G32" s="188">
        <f>+INDEX(DataEx!$1:$1048576,MATCH('2019'!$A32,DataEx!$D:$D,0),MATCH('2019'!G$6,DataEx!$7:$7,0))</f>
        <v>38898615.609999999</v>
      </c>
      <c r="H32" s="188">
        <f>+INDEX(DataEx!$1:$1048576,MATCH('2019'!$A32,DataEx!$D:$D,0),MATCH('2019'!H$6,DataEx!$7:$7,0))</f>
        <v>38602776.109999999</v>
      </c>
      <c r="I32" s="188">
        <f>+INDEX(DataEx!$1:$1048576,MATCH('2019'!$A32,DataEx!$D:$D,0),MATCH('2019'!I$6,DataEx!$7:$7,0))</f>
        <v>39176968.049999997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39904782.170000002</v>
      </c>
      <c r="L32" s="188">
        <f>+INDEX(DataEx!$1:$1048576,MATCH('2019'!$A32,DataEx!$D:$D,0),MATCH('2019'!L$6,DataEx!$7:$7,0))</f>
        <v>41491994.170000002</v>
      </c>
      <c r="M32" s="188">
        <f>+INDEX(DataEx!$1:$1048576,MATCH('2019'!$A32,DataEx!$D:$D,0),MATCH('2019'!M$6,DataEx!$7:$7,0))</f>
        <v>38031107.149999999</v>
      </c>
      <c r="N32" s="188">
        <f>+INDEX(DataEx!$1:$1048576,MATCH('2019'!$A32,DataEx!$D:$D,0),MATCH('2019'!N$6,DataEx!$7:$7,0))</f>
        <v>37169894.039999999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312199689.35000002</v>
      </c>
      <c r="T32" s="270">
        <f t="shared" si="4"/>
        <v>6.4996916567776328E-2</v>
      </c>
    </row>
    <row r="33" spans="1:22">
      <c r="A33" s="175">
        <v>412</v>
      </c>
      <c r="B33" s="489" t="str">
        <f>+VLOOKUP($A33,Master!$D$27:$G$225,4,FALSE)</f>
        <v>Ostala lična primanja</v>
      </c>
      <c r="C33" s="490"/>
      <c r="D33" s="490"/>
      <c r="E33" s="490"/>
      <c r="F33" s="490"/>
      <c r="G33" s="188">
        <f>+INDEX(DataEx!$1:$1048576,MATCH('2019'!$A33,DataEx!$D:$D,0),MATCH('2019'!G$6,DataEx!$7:$7,0))</f>
        <v>432711.77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1606928.02</v>
      </c>
      <c r="K33" s="188">
        <f>+INDEX(DataEx!$1:$1048576,MATCH('2019'!$A33,DataEx!$D:$D,0),MATCH('2019'!K$6,DataEx!$7:$7,0))</f>
        <v>1045480.66</v>
      </c>
      <c r="L33" s="188">
        <f>+INDEX(DataEx!$1:$1048576,MATCH('2019'!$A33,DataEx!$D:$D,0),MATCH('2019'!L$6,DataEx!$7:$7,0))</f>
        <v>650585.03</v>
      </c>
      <c r="M33" s="188">
        <f>+INDEX(DataEx!$1:$1048576,MATCH('2019'!$A33,DataEx!$D:$D,0),MATCH('2019'!M$6,DataEx!$7:$7,0))</f>
        <v>1612572.32</v>
      </c>
      <c r="N33" s="188">
        <f>+INDEX(DataEx!$1:$1048576,MATCH('2019'!$A33,DataEx!$D:$D,0),MATCH('2019'!N$6,DataEx!$7:$7,0))</f>
        <v>864258.85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7990003.3700000001</v>
      </c>
      <c r="T33" s="270">
        <f t="shared" si="4"/>
        <v>1.6634404201278288E-3</v>
      </c>
      <c r="U33" s="367"/>
    </row>
    <row r="34" spans="1:22">
      <c r="A34" s="175">
        <v>413</v>
      </c>
      <c r="B34" s="489" t="str">
        <f>+VLOOKUP($A34,Master!$D$27:$G$225,4,FALSE)</f>
        <v>Rashodi za materijal</v>
      </c>
      <c r="C34" s="490"/>
      <c r="D34" s="490"/>
      <c r="E34" s="490"/>
      <c r="F34" s="490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2488394.38</v>
      </c>
      <c r="K34" s="188">
        <f>+INDEX(DataEx!$1:$1048576,MATCH('2019'!$A34,DataEx!$D:$D,0),MATCH('2019'!K$6,DataEx!$7:$7,0))</f>
        <v>2262319.3199999998</v>
      </c>
      <c r="L34" s="188">
        <f>+INDEX(DataEx!$1:$1048576,MATCH('2019'!$A34,DataEx!$D:$D,0),MATCH('2019'!L$6,DataEx!$7:$7,0))</f>
        <v>3143597.69</v>
      </c>
      <c r="M34" s="188">
        <f>+INDEX(DataEx!$1:$1048576,MATCH('2019'!$A34,DataEx!$D:$D,0),MATCH('2019'!M$6,DataEx!$7:$7,0))</f>
        <v>2242317.38</v>
      </c>
      <c r="N34" s="188">
        <f>+INDEX(DataEx!$1:$1048576,MATCH('2019'!$A34,DataEx!$D:$D,0),MATCH('2019'!N$6,DataEx!$7:$7,0))</f>
        <v>2462726.48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18545342.66</v>
      </c>
      <c r="T34" s="270">
        <f t="shared" si="4"/>
        <v>3.8609586450981618E-3</v>
      </c>
      <c r="U34" s="385"/>
      <c r="V34" s="365"/>
    </row>
    <row r="35" spans="1:22">
      <c r="A35" s="175">
        <v>414</v>
      </c>
      <c r="B35" s="489" t="str">
        <f>+VLOOKUP($A35,Master!$D$27:$G$225,4,FALSE)</f>
        <v>Rashodi za usluge</v>
      </c>
      <c r="C35" s="490"/>
      <c r="D35" s="490"/>
      <c r="E35" s="490"/>
      <c r="F35" s="490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4317384.79</v>
      </c>
      <c r="I35" s="188">
        <f>+INDEX(DataEx!$1:$1048576,MATCH('2019'!$A35,DataEx!$D:$D,0),MATCH('2019'!I$6,DataEx!$7:$7,0))</f>
        <v>4690729.2300000004</v>
      </c>
      <c r="J35" s="188">
        <f>+INDEX(DataEx!$1:$1048576,MATCH('2019'!$A35,DataEx!$D:$D,0),MATCH('2019'!J$6,DataEx!$7:$7,0))</f>
        <v>4354180.1100000003</v>
      </c>
      <c r="K35" s="188">
        <f>+INDEX(DataEx!$1:$1048576,MATCH('2019'!$A35,DataEx!$D:$D,0),MATCH('2019'!K$6,DataEx!$7:$7,0))</f>
        <v>6607764.25</v>
      </c>
      <c r="L35" s="188">
        <f>+INDEX(DataEx!$1:$1048576,MATCH('2019'!$A35,DataEx!$D:$D,0),MATCH('2019'!L$6,DataEx!$7:$7,0))</f>
        <v>6806179.8200000003</v>
      </c>
      <c r="M35" s="188">
        <f>+INDEX(DataEx!$1:$1048576,MATCH('2019'!$A35,DataEx!$D:$D,0),MATCH('2019'!M$6,DataEx!$7:$7,0))</f>
        <v>8577720.9299999997</v>
      </c>
      <c r="N35" s="188">
        <f>+INDEX(DataEx!$1:$1048576,MATCH('2019'!$A35,DataEx!$D:$D,0),MATCH('2019'!N$6,DataEx!$7:$7,0))</f>
        <v>3302685.24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41470033.190000005</v>
      </c>
      <c r="T35" s="270">
        <f t="shared" si="4"/>
        <v>8.6336546103720369E-3</v>
      </c>
    </row>
    <row r="36" spans="1:22">
      <c r="A36" s="175">
        <v>415</v>
      </c>
      <c r="B36" s="489" t="str">
        <f>+VLOOKUP($A36,Master!$D$27:$G$225,4,FALSE)</f>
        <v>Rashodi za tekuće održavanje</v>
      </c>
      <c r="C36" s="490"/>
      <c r="D36" s="490"/>
      <c r="E36" s="490"/>
      <c r="F36" s="490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1602730.43</v>
      </c>
      <c r="K36" s="188">
        <f>+INDEX(DataEx!$1:$1048576,MATCH('2019'!$A36,DataEx!$D:$D,0),MATCH('2019'!K$6,DataEx!$7:$7,0))</f>
        <v>1719004.83</v>
      </c>
      <c r="L36" s="188">
        <f>+INDEX(DataEx!$1:$1048576,MATCH('2019'!$A36,DataEx!$D:$D,0),MATCH('2019'!L$6,DataEx!$7:$7,0))</f>
        <v>1361111.43</v>
      </c>
      <c r="M36" s="188">
        <f>+INDEX(DataEx!$1:$1048576,MATCH('2019'!$A36,DataEx!$D:$D,0),MATCH('2019'!M$6,DataEx!$7:$7,0))</f>
        <v>2074263.46</v>
      </c>
      <c r="N36" s="188">
        <f>+INDEX(DataEx!$1:$1048576,MATCH('2019'!$A36,DataEx!$D:$D,0),MATCH('2019'!N$6,DataEx!$7:$7,0))</f>
        <v>1121425.77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11075475.059999999</v>
      </c>
      <c r="T36" s="270">
        <f t="shared" si="4"/>
        <v>2.3058053962900504E-3</v>
      </c>
    </row>
    <row r="37" spans="1:22">
      <c r="A37" s="175">
        <v>416</v>
      </c>
      <c r="B37" s="489" t="str">
        <f>+VLOOKUP($A37,Master!$D$27:$G$225,4,FALSE)</f>
        <v>Kamate</v>
      </c>
      <c r="C37" s="490"/>
      <c r="D37" s="490"/>
      <c r="E37" s="490"/>
      <c r="F37" s="490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999341.54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18435271.789999999</v>
      </c>
      <c r="K37" s="188">
        <f>+INDEX(DataEx!$1:$1048576,MATCH('2019'!$A37,DataEx!$D:$D,0),MATCH('2019'!K$6,DataEx!$7:$7,0))</f>
        <v>10258844.07</v>
      </c>
      <c r="L37" s="188">
        <f>+INDEX(DataEx!$1:$1048576,MATCH('2019'!$A37,DataEx!$D:$D,0),MATCH('2019'!L$6,DataEx!$7:$7,0))</f>
        <v>5411766.9400000004</v>
      </c>
      <c r="M37" s="188">
        <f>+INDEX(DataEx!$1:$1048576,MATCH('2019'!$A37,DataEx!$D:$D,0),MATCH('2019'!M$6,DataEx!$7:$7,0))</f>
        <v>9047333.1999999993</v>
      </c>
      <c r="N37" s="188">
        <f>+INDEX(DataEx!$1:$1048576,MATCH('2019'!$A37,DataEx!$D:$D,0),MATCH('2019'!N$6,DataEx!$7:$7,0))</f>
        <v>1051267.33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80054191.420000002</v>
      </c>
      <c r="T37" s="270">
        <f t="shared" si="4"/>
        <v>1.6666498328232672E-2</v>
      </c>
    </row>
    <row r="38" spans="1:22">
      <c r="A38" s="175">
        <v>417</v>
      </c>
      <c r="B38" s="489" t="str">
        <f>+VLOOKUP($A38,Master!$D$27:$G$225,4,FALSE)</f>
        <v>Renta</v>
      </c>
      <c r="C38" s="490"/>
      <c r="D38" s="490"/>
      <c r="E38" s="490"/>
      <c r="F38" s="490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1122402.21</v>
      </c>
      <c r="K38" s="188">
        <f>+INDEX(DataEx!$1:$1048576,MATCH('2019'!$A38,DataEx!$D:$D,0),MATCH('2019'!K$6,DataEx!$7:$7,0))</f>
        <v>989005.29</v>
      </c>
      <c r="L38" s="188">
        <f>+INDEX(DataEx!$1:$1048576,MATCH('2019'!$A38,DataEx!$D:$D,0),MATCH('2019'!L$6,DataEx!$7:$7,0))</f>
        <v>608826.98</v>
      </c>
      <c r="M38" s="188">
        <f>+INDEX(DataEx!$1:$1048576,MATCH('2019'!$A38,DataEx!$D:$D,0),MATCH('2019'!M$6,DataEx!$7:$7,0))</f>
        <v>1399544.86</v>
      </c>
      <c r="N38" s="188">
        <f>+INDEX(DataEx!$1:$1048576,MATCH('2019'!$A38,DataEx!$D:$D,0),MATCH('2019'!N$6,DataEx!$7:$7,0))</f>
        <v>827493.89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6750903.8700000001</v>
      </c>
      <c r="T38" s="270">
        <f t="shared" si="4"/>
        <v>1.405472044219599E-3</v>
      </c>
    </row>
    <row r="39" spans="1:22">
      <c r="A39" s="175">
        <v>418</v>
      </c>
      <c r="B39" s="489" t="str">
        <f>+VLOOKUP($A39,Master!$D$27:$G$225,4,FALSE)</f>
        <v>Subvencije</v>
      </c>
      <c r="C39" s="490"/>
      <c r="D39" s="490"/>
      <c r="E39" s="490"/>
      <c r="F39" s="490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2194236.0299999998</v>
      </c>
      <c r="L39" s="188">
        <f>+INDEX(DataEx!$1:$1048576,MATCH('2019'!$A39,DataEx!$D:$D,0),MATCH('2019'!L$6,DataEx!$7:$7,0))</f>
        <v>1487101.06</v>
      </c>
      <c r="M39" s="188">
        <f>+INDEX(DataEx!$1:$1048576,MATCH('2019'!$A39,DataEx!$D:$D,0),MATCH('2019'!M$6,DataEx!$7:$7,0))</f>
        <v>3695060.6</v>
      </c>
      <c r="N39" s="188">
        <f>+INDEX(DataEx!$1:$1048576,MATCH('2019'!$A39,DataEx!$D:$D,0),MATCH('2019'!N$6,DataEx!$7:$7,0))</f>
        <v>1069449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15219096.66</v>
      </c>
      <c r="T39" s="270">
        <f t="shared" si="4"/>
        <v>3.1684668165636127E-3</v>
      </c>
    </row>
    <row r="40" spans="1:22">
      <c r="A40" s="175">
        <v>419</v>
      </c>
      <c r="B40" s="489" t="str">
        <f>+VLOOKUP($A40,Master!$D$27:$G$225,4,FALSE)</f>
        <v>Ostali izdaci</v>
      </c>
      <c r="C40" s="490"/>
      <c r="D40" s="490"/>
      <c r="E40" s="490"/>
      <c r="F40" s="490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3360527.27</v>
      </c>
      <c r="I40" s="188">
        <f>+INDEX(DataEx!$1:$1048576,MATCH('2019'!$A40,DataEx!$D:$D,0),MATCH('2019'!I$6,DataEx!$7:$7,0))</f>
        <v>2294447.6800000002</v>
      </c>
      <c r="J40" s="188">
        <f>+INDEX(DataEx!$1:$1048576,MATCH('2019'!$A40,DataEx!$D:$D,0),MATCH('2019'!J$6,DataEx!$7:$7,0))</f>
        <v>5380146.8200000003</v>
      </c>
      <c r="K40" s="188">
        <f>+INDEX(DataEx!$1:$1048576,MATCH('2019'!$A40,DataEx!$D:$D,0),MATCH('2019'!K$6,DataEx!$7:$7,0))</f>
        <v>2122463.62</v>
      </c>
      <c r="L40" s="188">
        <f>+INDEX(DataEx!$1:$1048576,MATCH('2019'!$A40,DataEx!$D:$D,0),MATCH('2019'!L$6,DataEx!$7:$7,0))</f>
        <v>4483387.37</v>
      </c>
      <c r="M40" s="188">
        <f>+INDEX(DataEx!$1:$1048576,MATCH('2019'!$A40,DataEx!$D:$D,0),MATCH('2019'!M$6,DataEx!$7:$7,0))</f>
        <v>3829539.86</v>
      </c>
      <c r="N40" s="188">
        <f>+INDEX(DataEx!$1:$1048576,MATCH('2019'!$A40,DataEx!$D:$D,0),MATCH('2019'!N$6,DataEx!$7:$7,0))</f>
        <v>4015195.5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26181295.040000003</v>
      </c>
      <c r="T40" s="270">
        <f t="shared" si="4"/>
        <v>5.4506891178981122E-3</v>
      </c>
    </row>
    <row r="41" spans="1:22">
      <c r="A41" s="175">
        <v>440</v>
      </c>
      <c r="B41" s="489" t="str">
        <f>+VLOOKUP($A41,Master!$D$27:$G$225,4,FALSE)</f>
        <v>Kapitalni izdaci u tekućem budžetu</v>
      </c>
      <c r="C41" s="490"/>
      <c r="D41" s="490"/>
      <c r="E41" s="490"/>
      <c r="F41" s="490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3462137.8600000003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1862038.5</v>
      </c>
      <c r="L41" s="188">
        <f>+INDEX(DataEx!$1:$1048576,MATCH('2019'!$A41,DataEx!$D:$D,0),MATCH('2019'!L$6,DataEx!$7:$7,0))</f>
        <v>3083998.55</v>
      </c>
      <c r="M41" s="188">
        <f>+INDEX(DataEx!$1:$1048576,MATCH('2019'!$A41,DataEx!$D:$D,0),MATCH('2019'!M$6,DataEx!$7:$7,0))</f>
        <v>2542191.46</v>
      </c>
      <c r="N41" s="188">
        <f>+INDEX(DataEx!$1:$1048576,MATCH('2019'!$A41,DataEx!$D:$D,0),MATCH('2019'!N$6,DataEx!$7:$7,0))</f>
        <v>4838634.8899999997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20357149.090000004</v>
      </c>
      <c r="T41" s="270">
        <f t="shared" si="4"/>
        <v>4.2381589927758005E-3</v>
      </c>
    </row>
    <row r="42" spans="1:22">
      <c r="A42" s="175">
        <v>42</v>
      </c>
      <c r="B42" s="485" t="str">
        <f>+VLOOKUP($A42,Master!$D$27:$G$225,4,FALSE)</f>
        <v>Transferi za socijalnu zaštitu</v>
      </c>
      <c r="C42" s="486"/>
      <c r="D42" s="486"/>
      <c r="E42" s="486"/>
      <c r="F42" s="486"/>
      <c r="G42" s="218">
        <f>+SUM(G43:G47)</f>
        <v>42563180.95000001</v>
      </c>
      <c r="H42" s="218">
        <f t="shared" ref="H42:R42" si="8">+SUM(H43:H47)</f>
        <v>46594709.649999999</v>
      </c>
      <c r="I42" s="218">
        <f t="shared" si="8"/>
        <v>45429673.470000006</v>
      </c>
      <c r="J42" s="200">
        <f t="shared" si="8"/>
        <v>45454458.559999995</v>
      </c>
      <c r="K42" s="218">
        <f t="shared" si="8"/>
        <v>45755730.580000006</v>
      </c>
      <c r="L42" s="218">
        <f t="shared" si="8"/>
        <v>45746699.100000001</v>
      </c>
      <c r="M42" s="218">
        <f t="shared" si="8"/>
        <v>46178800.580000006</v>
      </c>
      <c r="N42" s="218">
        <f t="shared" si="8"/>
        <v>45699224.809999995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363422477.70000005</v>
      </c>
      <c r="T42" s="273">
        <f t="shared" si="4"/>
        <v>7.5660999250515282E-2</v>
      </c>
    </row>
    <row r="43" spans="1:22">
      <c r="A43" s="175">
        <v>421</v>
      </c>
      <c r="B43" s="489" t="str">
        <f>+VLOOKUP($A43,Master!$D$27:$G$225,4,FALSE)</f>
        <v>Prava iz oblasti socijalne zaštite</v>
      </c>
      <c r="C43" s="490"/>
      <c r="D43" s="490"/>
      <c r="E43" s="490"/>
      <c r="F43" s="490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6410465.4699999997</v>
      </c>
      <c r="L43" s="188">
        <f>+INDEX(DataEx!$1:$1048576,MATCH('2019'!$A43,DataEx!$D:$D,0),MATCH('2019'!L$6,DataEx!$7:$7,0))</f>
        <v>6536921.0899999999</v>
      </c>
      <c r="M43" s="188">
        <f>+INDEX(DataEx!$1:$1048576,MATCH('2019'!$A43,DataEx!$D:$D,0),MATCH('2019'!M$6,DataEx!$7:$7,0))</f>
        <v>6798455.0999999996</v>
      </c>
      <c r="N43" s="188">
        <f>+INDEX(DataEx!$1:$1048576,MATCH('2019'!$A43,DataEx!$D:$D,0),MATCH('2019'!N$6,DataEx!$7:$7,0))</f>
        <v>6916329.6100000003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52751511.029999994</v>
      </c>
      <c r="T43" s="270">
        <f t="shared" si="4"/>
        <v>1.0982347767160077E-2</v>
      </c>
    </row>
    <row r="44" spans="1:22">
      <c r="A44" s="175">
        <v>422</v>
      </c>
      <c r="B44" s="489" t="str">
        <f>+VLOOKUP($A44,Master!$D$27:$G$225,4,FALSE)</f>
        <v>Sredstva za tehnološke viškove</v>
      </c>
      <c r="C44" s="490"/>
      <c r="D44" s="490"/>
      <c r="E44" s="490"/>
      <c r="F44" s="490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1341095.6299999999</v>
      </c>
      <c r="L44" s="188">
        <f>+INDEX(DataEx!$1:$1048576,MATCH('2019'!$A44,DataEx!$D:$D,0),MATCH('2019'!L$6,DataEx!$7:$7,0))</f>
        <v>1381621.25</v>
      </c>
      <c r="M44" s="188">
        <f>+INDEX(DataEx!$1:$1048576,MATCH('2019'!$A44,DataEx!$D:$D,0),MATCH('2019'!M$6,DataEx!$7:$7,0))</f>
        <v>1512829.9</v>
      </c>
      <c r="N44" s="188">
        <f>+INDEX(DataEx!$1:$1048576,MATCH('2019'!$A44,DataEx!$D:$D,0),MATCH('2019'!N$6,DataEx!$7:$7,0))</f>
        <v>1577705.79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9261954.3999999985</v>
      </c>
      <c r="T44" s="270">
        <f t="shared" si="4"/>
        <v>1.928248162721462E-3</v>
      </c>
    </row>
    <row r="45" spans="1:22">
      <c r="A45" s="175">
        <v>423</v>
      </c>
      <c r="B45" s="489" t="str">
        <f>+VLOOKUP($A45,Master!$D$27:$G$225,4,FALSE)</f>
        <v>Prava iz oblasti penzijskog i invalidskog osiguranja</v>
      </c>
      <c r="C45" s="490"/>
      <c r="D45" s="490"/>
      <c r="E45" s="490"/>
      <c r="F45" s="490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35184087.420000002</v>
      </c>
      <c r="L45" s="188">
        <f>+INDEX(DataEx!$1:$1048576,MATCH('2019'!$A45,DataEx!$D:$D,0),MATCH('2019'!L$6,DataEx!$7:$7,0))</f>
        <v>35185457.75</v>
      </c>
      <c r="M45" s="188">
        <f>+INDEX(DataEx!$1:$1048576,MATCH('2019'!$A45,DataEx!$D:$D,0),MATCH('2019'!M$6,DataEx!$7:$7,0))</f>
        <v>35081479.57</v>
      </c>
      <c r="N45" s="188">
        <f>+INDEX(DataEx!$1:$1048576,MATCH('2019'!$A45,DataEx!$D:$D,0),MATCH('2019'!N$6,DataEx!$7:$7,0))</f>
        <v>35015332.57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280989082.43000001</v>
      </c>
      <c r="T45" s="270">
        <f t="shared" si="4"/>
        <v>5.8499173990797994E-2</v>
      </c>
    </row>
    <row r="46" spans="1:22">
      <c r="A46" s="175">
        <v>424</v>
      </c>
      <c r="B46" s="489" t="str">
        <f>+VLOOKUP($A46,Master!$D$27:$G$225,4,FALSE)</f>
        <v>Ostala prava iz oblasti zdravstvene zaštite</v>
      </c>
      <c r="C46" s="490"/>
      <c r="D46" s="490"/>
      <c r="E46" s="490"/>
      <c r="F46" s="490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1914804.54</v>
      </c>
      <c r="L46" s="188">
        <f>+INDEX(DataEx!$1:$1048576,MATCH('2019'!$A46,DataEx!$D:$D,0),MATCH('2019'!L$6,DataEx!$7:$7,0))</f>
        <v>1732967.4</v>
      </c>
      <c r="M46" s="188">
        <f>+INDEX(DataEx!$1:$1048576,MATCH('2019'!$A46,DataEx!$D:$D,0),MATCH('2019'!M$6,DataEx!$7:$7,0))</f>
        <v>1746404.92</v>
      </c>
      <c r="N46" s="188">
        <f>+INDEX(DataEx!$1:$1048576,MATCH('2019'!$A46,DataEx!$D:$D,0),MATCH('2019'!N$6,DataEx!$7:$7,0))</f>
        <v>1448048.69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13394359.34</v>
      </c>
      <c r="T46" s="270">
        <f t="shared" si="4"/>
        <v>2.788574384277476E-3</v>
      </c>
    </row>
    <row r="47" spans="1:22">
      <c r="A47" s="175">
        <v>425</v>
      </c>
      <c r="B47" s="560" t="str">
        <f>+VLOOKUP($A47,Master!$D$27:$G$225,4,FALSE)</f>
        <v>Ostala prava iz zdravstvenog osiguranja</v>
      </c>
      <c r="C47" s="561"/>
      <c r="D47" s="561"/>
      <c r="E47" s="561"/>
      <c r="F47" s="561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1081000.8899999999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905277.52</v>
      </c>
      <c r="L47" s="188">
        <f>+INDEX(DataEx!$1:$1048576,MATCH('2019'!$A47,DataEx!$D:$D,0),MATCH('2019'!L$6,DataEx!$7:$7,0))</f>
        <v>909731.61</v>
      </c>
      <c r="M47" s="188">
        <f>+INDEX(DataEx!$1:$1048576,MATCH('2019'!$A47,DataEx!$D:$D,0),MATCH('2019'!M$6,DataEx!$7:$7,0))</f>
        <v>1039631.09</v>
      </c>
      <c r="N47" s="188">
        <f>+INDEX(DataEx!$1:$1048576,MATCH('2019'!$A47,DataEx!$D:$D,0),MATCH('2019'!N$6,DataEx!$7:$7,0))</f>
        <v>741808.15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7025570.5000000009</v>
      </c>
      <c r="T47" s="270">
        <f t="shared" si="4"/>
        <v>1.4626549455582622E-3</v>
      </c>
    </row>
    <row r="48" spans="1:22">
      <c r="A48" s="175">
        <v>43</v>
      </c>
      <c r="B48" s="487" t="str">
        <f>+VLOOKUP($A48,Master!$D$27:$G$225,4,FALSE)</f>
        <v xml:space="preserve">Transferi institucijama, pojedincima, nevladinom i javnom sektoru </v>
      </c>
      <c r="C48" s="488"/>
      <c r="D48" s="488"/>
      <c r="E48" s="488"/>
      <c r="F48" s="488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16108536.07</v>
      </c>
      <c r="K48" s="200">
        <f>+INDEX(DataEx!$1:$1048576,MATCH('2019'!$A48,DataEx!$D:$D,0),MATCH('2019'!K$6,DataEx!$7:$7,0))</f>
        <v>17254969.68</v>
      </c>
      <c r="L48" s="200">
        <f>+INDEX(DataEx!$1:$1048576,MATCH('2019'!$A48,DataEx!$D:$D,0),MATCH('2019'!L$6,DataEx!$7:$7,0))</f>
        <v>13582731.800000001</v>
      </c>
      <c r="M48" s="200">
        <f>+INDEX(DataEx!$1:$1048576,MATCH('2019'!$A48,DataEx!$D:$D,0),MATCH('2019'!M$6,DataEx!$7:$7,0))</f>
        <v>25674739.879999999</v>
      </c>
      <c r="N48" s="200">
        <f>+INDEX(DataEx!$1:$1048576,MATCH('2019'!$A48,DataEx!$D:$D,0),MATCH('2019'!N$6,DataEx!$7:$7,0))</f>
        <v>14819789.789999999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138506824.53999999</v>
      </c>
      <c r="T48" s="273">
        <f t="shared" si="4"/>
        <v>2.8835763858180832E-2</v>
      </c>
    </row>
    <row r="49" spans="1:22">
      <c r="A49" s="175">
        <v>44</v>
      </c>
      <c r="B49" s="487" t="str">
        <f>+VLOOKUP($A49,Master!$D$27:$G$225,4,FALSE)</f>
        <v>Kapitalni budžet</v>
      </c>
      <c r="C49" s="488"/>
      <c r="D49" s="488"/>
      <c r="E49" s="488"/>
      <c r="F49" s="488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11464377.560000001</v>
      </c>
      <c r="L49" s="200">
        <f>+INDEX(DataEx!$1:$1048576,MATCH('2019'!$A49,DataEx!$D:$D,0),MATCH('2019'!L$6,DataEx!$7:$7,0))</f>
        <v>12842221.23</v>
      </c>
      <c r="M49" s="200">
        <f>+INDEX(DataEx!$1:$1048576,MATCH('2019'!$A49,DataEx!$D:$D,0),MATCH('2019'!M$6,DataEx!$7:$7,0))</f>
        <v>23205721.09</v>
      </c>
      <c r="N49" s="200">
        <f>+INDEX(DataEx!$1:$1048576,MATCH('2019'!$A49,DataEx!$D:$D,0),MATCH('2019'!N$6,DataEx!$7:$7,0))</f>
        <v>40874123.119999997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145931562.95000002</v>
      </c>
      <c r="T49" s="273">
        <f t="shared" si="4"/>
        <v>3.0381521651781072E-2</v>
      </c>
    </row>
    <row r="50" spans="1:22">
      <c r="A50" s="175">
        <v>451</v>
      </c>
      <c r="B50" s="554" t="str">
        <f>+VLOOKUP($A50,Master!$D$27:$G$225,4,FALSE)</f>
        <v>Pozajmice i krediti</v>
      </c>
      <c r="C50" s="555"/>
      <c r="D50" s="555"/>
      <c r="E50" s="555"/>
      <c r="F50" s="555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236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260000</v>
      </c>
      <c r="L50" s="188">
        <f>+INDEX(DataEx!$1:$1048576,MATCH('2019'!$A50,DataEx!$D:$D,0),MATCH('2019'!L$6,DataEx!$7:$7,0))</f>
        <v>358750</v>
      </c>
      <c r="M50" s="188">
        <f>+INDEX(DataEx!$1:$1048576,MATCH('2019'!$A50,DataEx!$D:$D,0),MATCH('2019'!M$6,DataEx!$7:$7,0))</f>
        <v>335000</v>
      </c>
      <c r="N50" s="188">
        <f>+INDEX(DataEx!$1:$1048576,MATCH('2019'!$A50,DataEx!$D:$D,0),MATCH('2019'!N$6,DataEx!$7:$7,0))</f>
        <v>145000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1785607.98</v>
      </c>
      <c r="T50" s="270">
        <f t="shared" si="4"/>
        <v>3.7174608706514269E-4</v>
      </c>
    </row>
    <row r="51" spans="1:22">
      <c r="A51" s="175">
        <v>47</v>
      </c>
      <c r="B51" s="457" t="str">
        <f>+VLOOKUP($A51,Master!$D$27:$G$225,4,FALSE)</f>
        <v>Rezerve</v>
      </c>
      <c r="C51" s="458"/>
      <c r="D51" s="458"/>
      <c r="E51" s="458"/>
      <c r="F51" s="458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236">
        <f>+INDEX(DataEx!$1:$1048576,MATCH('2019'!$A51,DataEx!$D:$D,0),MATCH('2019'!J$6,DataEx!$7:$7,0))</f>
        <v>1806704.1</v>
      </c>
      <c r="K51" s="188">
        <f>+INDEX(DataEx!$1:$1048576,MATCH('2019'!$A51,DataEx!$D:$D,0),MATCH('2019'!K$6,DataEx!$7:$7,0))</f>
        <v>1407800</v>
      </c>
      <c r="L51" s="188">
        <f>+INDEX(DataEx!$1:$1048576,MATCH('2019'!$A51,DataEx!$D:$D,0),MATCH('2019'!L$6,DataEx!$7:$7,0))</f>
        <v>1291723.94</v>
      </c>
      <c r="M51" s="188">
        <f>+INDEX(DataEx!$1:$1048576,MATCH('2019'!$A51,DataEx!$D:$D,0),MATCH('2019'!M$6,DataEx!$7:$7,0))</f>
        <v>6489528.9000000004</v>
      </c>
      <c r="N51" s="188">
        <f>+INDEX(DataEx!$1:$1048576,MATCH('2019'!$A51,DataEx!$D:$D,0),MATCH('2019'!N$6,DataEx!$7:$7,0))</f>
        <v>433973.31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13661389.450000001</v>
      </c>
      <c r="T51" s="270">
        <f t="shared" si="4"/>
        <v>2.8441674369704163E-3</v>
      </c>
    </row>
    <row r="52" spans="1:22" ht="13.5" thickBot="1">
      <c r="A52" s="175">
        <v>462</v>
      </c>
      <c r="B52" s="475" t="str">
        <f>+VLOOKUP($A52,Master!$D$27:$G$225,4,FALSE)</f>
        <v>Otplata garancija</v>
      </c>
      <c r="C52" s="476"/>
      <c r="D52" s="476"/>
      <c r="E52" s="476"/>
      <c r="F52" s="476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7180485.3399999999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9434699.4100000001</v>
      </c>
      <c r="T52" s="284">
        <f t="shared" si="4"/>
        <v>1.964211981346158E-3</v>
      </c>
      <c r="U52" s="366"/>
    </row>
    <row r="53" spans="1:22" ht="13.5" thickBot="1">
      <c r="A53" s="169">
        <v>4630</v>
      </c>
      <c r="B53" s="556" t="str">
        <f>+VLOOKUP($A53,Master!$D$27:$G$225,4,TRUE)</f>
        <v>Otplata obaveza iz prethodnih godina</v>
      </c>
      <c r="C53" s="557"/>
      <c r="D53" s="557"/>
      <c r="E53" s="557"/>
      <c r="F53" s="557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1736748.41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1459507.08</v>
      </c>
      <c r="L53" s="224">
        <f>+INDEX(DataEx!$1:$1048576,MATCH('2019'!$A53,DataEx!$D:$D,0),MATCH('2019'!L$6,DataEx!$7:$7,0))</f>
        <v>1848609.33</v>
      </c>
      <c r="M53" s="224">
        <f>+INDEX(DataEx!$1:$1048576,MATCH('2019'!$A53,DataEx!$D:$D,0),MATCH('2019'!M$6,DataEx!$7:$7,0))</f>
        <v>4446503.8099999996</v>
      </c>
      <c r="N53" s="224">
        <f>+INDEX(DataEx!$1:$1048576,MATCH('2019'!$A53,DataEx!$D:$D,0),MATCH('2019'!N$6,DataEx!$7:$7,0))</f>
        <v>880815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14699953.779999997</v>
      </c>
      <c r="T53" s="284">
        <f>+S53/$T$7</f>
        <v>3.0603863552141229E-3</v>
      </c>
    </row>
    <row r="54" spans="1:22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81" t="str">
        <f>+VLOOKUP($A55,Master!$D$27:$G$225,4,FALSE)</f>
        <v>Suficit / deficit</v>
      </c>
      <c r="C55" s="482"/>
      <c r="D55" s="482"/>
      <c r="E55" s="482"/>
      <c r="F55" s="482"/>
      <c r="G55" s="176">
        <f t="shared" ref="G55:R55" si="9">+G10-G29</f>
        <v>-32332319.310000032</v>
      </c>
      <c r="H55" s="176">
        <f t="shared" si="9"/>
        <v>-14336259.739999995</v>
      </c>
      <c r="I55" s="176">
        <f t="shared" si="9"/>
        <v>-24619591.350000024</v>
      </c>
      <c r="J55" s="176">
        <f t="shared" si="9"/>
        <v>10120081.440000057</v>
      </c>
      <c r="K55" s="176">
        <f t="shared" si="9"/>
        <v>-2341851.3700000048</v>
      </c>
      <c r="L55" s="176">
        <f t="shared" si="9"/>
        <v>-805823.59000000358</v>
      </c>
      <c r="M55" s="176">
        <f t="shared" si="9"/>
        <v>-5257501.0400000215</v>
      </c>
      <c r="N55" s="176">
        <f t="shared" si="9"/>
        <v>14505477.229999989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-55067787.730000034</v>
      </c>
      <c r="T55" s="286">
        <f t="shared" si="4"/>
        <v>-1.1464573882539094E-2</v>
      </c>
    </row>
    <row r="56" spans="1:22" ht="13.5" thickBot="1">
      <c r="A56" s="169">
        <v>1001</v>
      </c>
      <c r="B56" s="483" t="str">
        <f>+VLOOKUP($A56,Master!$D$27:$G$225,4,FALSE)</f>
        <v>Primarni bilans</v>
      </c>
      <c r="C56" s="484"/>
      <c r="D56" s="484"/>
      <c r="E56" s="484"/>
      <c r="F56" s="484"/>
      <c r="G56" s="230">
        <f>+G55+G37</f>
        <v>-26177466.410000034</v>
      </c>
      <c r="H56" s="230">
        <f t="shared" ref="H56:R56" si="10">+H55+H37</f>
        <v>-13336918.199999996</v>
      </c>
      <c r="I56" s="230">
        <f t="shared" si="10"/>
        <v>4075922.2999999747</v>
      </c>
      <c r="J56" s="230">
        <f t="shared" si="10"/>
        <v>28555353.230000056</v>
      </c>
      <c r="K56" s="230">
        <f t="shared" si="10"/>
        <v>7916992.6999999955</v>
      </c>
      <c r="L56" s="230">
        <f t="shared" si="10"/>
        <v>4605943.3499999968</v>
      </c>
      <c r="M56" s="230">
        <f t="shared" si="10"/>
        <v>3789832.1599999778</v>
      </c>
      <c r="N56" s="230">
        <f t="shared" si="10"/>
        <v>15556744.559999989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24986403.68999996</v>
      </c>
      <c r="T56" s="286">
        <f t="shared" si="4"/>
        <v>5.2019244456935777E-3</v>
      </c>
    </row>
    <row r="57" spans="1:22">
      <c r="A57" s="169">
        <v>46</v>
      </c>
      <c r="B57" s="552" t="str">
        <f>+VLOOKUP($A57,Master!$D$27:$G$225,4,FALSE)</f>
        <v>Otplata dugova</v>
      </c>
      <c r="C57" s="553"/>
      <c r="D57" s="553"/>
      <c r="E57" s="553"/>
      <c r="F57" s="553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00">
        <f t="shared" si="11"/>
        <v>18302050.879999999</v>
      </c>
      <c r="K57" s="218">
        <f t="shared" si="11"/>
        <v>183682731.81999999</v>
      </c>
      <c r="L57" s="218">
        <f t="shared" si="11"/>
        <v>11094774.199999999</v>
      </c>
      <c r="M57" s="218">
        <f t="shared" si="11"/>
        <v>80471032.019999996</v>
      </c>
      <c r="N57" s="218">
        <f t="shared" si="11"/>
        <v>57755617.170000002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455976581.07999998</v>
      </c>
      <c r="T57" s="288">
        <f t="shared" si="4"/>
        <v>9.4929856781795843E-2</v>
      </c>
      <c r="V57" s="383"/>
    </row>
    <row r="58" spans="1:22">
      <c r="A58" s="169">
        <v>4611</v>
      </c>
      <c r="B58" s="473" t="str">
        <f>+VLOOKUP($A58,Master!$D$27:$G$225,4,FALSE)</f>
        <v>Otplata hartija od vrijednosti i kredita rezidentima</v>
      </c>
      <c r="C58" s="474"/>
      <c r="D58" s="474"/>
      <c r="E58" s="474"/>
      <c r="F58" s="474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5836708.6600000001</v>
      </c>
      <c r="L58" s="236">
        <f>+INDEX(DataEx!$1:$1048576,MATCH('2019'!$A58,DataEx!$D:$D,0),MATCH('2019'!L$6,DataEx!$7:$7,0))</f>
        <v>1304074.52</v>
      </c>
      <c r="M58" s="236">
        <f>+INDEX(DataEx!$1:$1048576,MATCH('2019'!$A58,DataEx!$D:$D,0),MATCH('2019'!M$6,DataEx!$7:$7,0))</f>
        <v>18837613.199999999</v>
      </c>
      <c r="N58" s="236">
        <f>+INDEX(DataEx!$1:$1048576,MATCH('2019'!$A58,DataEx!$D:$D,0),MATCH('2019'!N$6,DataEx!$7:$7,0))</f>
        <v>54838105.140000001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167090872.34</v>
      </c>
      <c r="T58" s="290">
        <f t="shared" si="4"/>
        <v>3.4786682559906731E-2</v>
      </c>
    </row>
    <row r="59" spans="1:22" ht="13.5" thickBot="1">
      <c r="A59" s="169">
        <v>4612</v>
      </c>
      <c r="B59" s="457" t="str">
        <f>+VLOOKUP($A59,Master!$D$27:$G$225,4,FALSE)</f>
        <v>Otplata hartija od vrijednosti i kredita nerezidentima</v>
      </c>
      <c r="C59" s="458"/>
      <c r="D59" s="458"/>
      <c r="E59" s="458"/>
      <c r="F59" s="458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177846023.16</v>
      </c>
      <c r="L59" s="236">
        <f>+INDEX(DataEx!$1:$1048576,MATCH('2019'!$A59,DataEx!$D:$D,0),MATCH('2019'!L$6,DataEx!$7:$7,0))</f>
        <v>9790699.6799999997</v>
      </c>
      <c r="M59" s="236">
        <f>+INDEX(DataEx!$1:$1048576,MATCH('2019'!$A59,DataEx!$D:$D,0),MATCH('2019'!M$6,DataEx!$7:$7,0))</f>
        <v>61633418.82</v>
      </c>
      <c r="N59" s="236">
        <f>+INDEX(DataEx!$1:$1048576,MATCH('2019'!$A59,DataEx!$D:$D,0),MATCH('2019'!N$6,DataEx!$7:$7,0))</f>
        <v>2917512.03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288885708.73999995</v>
      </c>
      <c r="T59" s="290">
        <f t="shared" si="4"/>
        <v>6.0143174221889105E-2</v>
      </c>
      <c r="V59" s="395"/>
    </row>
    <row r="60" spans="1:22" ht="13.5" thickBot="1">
      <c r="A60" s="169">
        <v>4418</v>
      </c>
      <c r="B60" s="552" t="str">
        <f>+VLOOKUP($A60,Master!$D$27:$G$225,4,FALSE)</f>
        <v>Izdaci za kupovinu hartija od vrijednosti</v>
      </c>
      <c r="C60" s="553"/>
      <c r="D60" s="553"/>
      <c r="E60" s="553"/>
      <c r="F60" s="553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39983668.460000001</v>
      </c>
      <c r="T60" s="288">
        <f>+S60/$T$7</f>
        <v>8.32420803614182E-3</v>
      </c>
      <c r="V60" s="395"/>
    </row>
    <row r="61" spans="1:22" ht="13.5" thickBot="1">
      <c r="A61" s="169">
        <v>1002</v>
      </c>
      <c r="B61" s="477" t="str">
        <f>+VLOOKUP($A61,Master!$D$27:$G$225,4,FALSE)</f>
        <v>Nedostajuća sredstva</v>
      </c>
      <c r="C61" s="478"/>
      <c r="D61" s="478"/>
      <c r="E61" s="478"/>
      <c r="F61" s="478"/>
      <c r="G61" s="242">
        <f>+G55-G57-G60</f>
        <v>-51850686.710000031</v>
      </c>
      <c r="H61" s="242">
        <f t="shared" ref="H61:R61" si="12">+H55-H57-H60</f>
        <v>-81736954.950000003</v>
      </c>
      <c r="I61" s="242">
        <f t="shared" si="12"/>
        <v>-42406175.820000023</v>
      </c>
      <c r="J61" s="242">
        <f t="shared" si="12"/>
        <v>-48130365.809999943</v>
      </c>
      <c r="K61" s="242">
        <f t="shared" si="12"/>
        <v>-186024583.19</v>
      </c>
      <c r="L61" s="242">
        <f t="shared" si="12"/>
        <v>-11900597.790000003</v>
      </c>
      <c r="M61" s="242">
        <f t="shared" si="12"/>
        <v>-85728533.060000017</v>
      </c>
      <c r="N61" s="242">
        <f t="shared" si="12"/>
        <v>-43250139.940000013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-551028037.2700001</v>
      </c>
      <c r="T61" s="292">
        <f t="shared" si="4"/>
        <v>-0.11471863870047677</v>
      </c>
    </row>
    <row r="62" spans="1:22" ht="13.5" thickBot="1">
      <c r="A62" s="169">
        <v>1003</v>
      </c>
      <c r="B62" s="479" t="str">
        <f>+VLOOKUP($A62,Master!$D$27:$G$225,4,FALSE)</f>
        <v>Finansiranje</v>
      </c>
      <c r="C62" s="480"/>
      <c r="D62" s="480"/>
      <c r="E62" s="480"/>
      <c r="F62" s="480"/>
      <c r="G62" s="176">
        <f>+SUM(G63:G66)</f>
        <v>51850686.710000031</v>
      </c>
      <c r="H62" s="176">
        <f t="shared" ref="H62:R62" si="13">+SUM(H63:H66)</f>
        <v>81736954.950000003</v>
      </c>
      <c r="I62" s="176">
        <f t="shared" si="13"/>
        <v>42406175.820000023</v>
      </c>
      <c r="J62" s="176">
        <f t="shared" si="13"/>
        <v>48130365.809999943</v>
      </c>
      <c r="K62" s="176">
        <f t="shared" si="13"/>
        <v>186024583.19</v>
      </c>
      <c r="L62" s="176">
        <f t="shared" si="13"/>
        <v>11900597.790000003</v>
      </c>
      <c r="M62" s="176">
        <f t="shared" si="13"/>
        <v>85728533.060000017</v>
      </c>
      <c r="N62" s="176">
        <f t="shared" si="13"/>
        <v>43250139.940000013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551028037.2700001</v>
      </c>
      <c r="T62" s="294">
        <f t="shared" si="4"/>
        <v>0.11471863870047677</v>
      </c>
    </row>
    <row r="63" spans="1:22">
      <c r="A63" s="169">
        <v>7511</v>
      </c>
      <c r="B63" s="473" t="str">
        <f>+VLOOKUP($A63,Master!$D$27:$G$225,4,FALSE)</f>
        <v>Pozajmice i krediti od domaćih izvora</v>
      </c>
      <c r="C63" s="474"/>
      <c r="D63" s="474"/>
      <c r="E63" s="474"/>
      <c r="F63" s="474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67815000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18000000</v>
      </c>
      <c r="N63" s="236">
        <f>+INDEX(DataEx!$1:$1048576,MATCH('2019'!$A63,DataEx!$D:$D,0),MATCH('2019'!N$6,DataEx!$7:$7,0))</f>
        <v>54000000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286438000</v>
      </c>
      <c r="T63" s="290">
        <f t="shared" si="4"/>
        <v>5.9633585243478442E-2</v>
      </c>
    </row>
    <row r="64" spans="1:22">
      <c r="A64" s="169">
        <v>7512</v>
      </c>
      <c r="B64" s="457" t="str">
        <f>+VLOOKUP($A64,Master!$D$27:$G$225,4,FALSE)</f>
        <v>Pozajmice i krediti od inostranih izvora</v>
      </c>
      <c r="C64" s="458"/>
      <c r="D64" s="458"/>
      <c r="E64" s="458"/>
      <c r="F64" s="458"/>
      <c r="G64" s="236">
        <f>+INDEX(DataEx!$1:$1048576,MATCH('2019'!$A64,DataEx!$D:$D,0),MATCH('2019'!G$6,DataEx!$7:$7,0))</f>
        <v>25748930.140000001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7856343.8600000003</v>
      </c>
      <c r="L64" s="236">
        <f>+INDEX(DataEx!$1:$1048576,MATCH('2019'!$A64,DataEx!$D:$D,0),MATCH('2019'!L$6,DataEx!$7:$7,0))</f>
        <v>8784836.1999999993</v>
      </c>
      <c r="M64" s="236">
        <f>+INDEX(DataEx!$1:$1048576,MATCH('2019'!$A64,DataEx!$D:$D,0),MATCH('2019'!M$6,DataEx!$7:$7,0))</f>
        <v>2698966.86</v>
      </c>
      <c r="N64" s="236">
        <f>+INDEX(DataEx!$1:$1048576,MATCH('2019'!$A64,DataEx!$D:$D,0),MATCH('2019'!N$6,DataEx!$7:$7,0))</f>
        <v>32388565.289999999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101853376.63</v>
      </c>
      <c r="T64" s="290">
        <f t="shared" si="4"/>
        <v>2.1204875112943184E-2</v>
      </c>
    </row>
    <row r="65" spans="1:20">
      <c r="A65" s="169">
        <v>72</v>
      </c>
      <c r="B65" s="457" t="str">
        <f>+VLOOKUP($A65,Master!$D$27:$G$225,4,FALSE)</f>
        <v>Primici od prodaje imovine</v>
      </c>
      <c r="C65" s="458"/>
      <c r="D65" s="458"/>
      <c r="E65" s="458"/>
      <c r="F65" s="458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223780.48000000001</v>
      </c>
      <c r="L65" s="236">
        <f>+INDEX(DataEx!$1:$1048576,MATCH('2019'!$A65,DataEx!$D:$D,0),MATCH('2019'!L$6,DataEx!$7:$7,0))</f>
        <v>722176.42</v>
      </c>
      <c r="M65" s="236">
        <f>+INDEX(DataEx!$1:$1048576,MATCH('2019'!$A65,DataEx!$D:$D,0),MATCH('2019'!M$6,DataEx!$7:$7,0))</f>
        <v>359609.29</v>
      </c>
      <c r="N65" s="236">
        <f>+INDEX(DataEx!$1:$1048576,MATCH('2019'!$A65,DataEx!$D:$D,0),MATCH('2019'!N$6,DataEx!$7:$7,0))</f>
        <v>176786.46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2036526.7</v>
      </c>
      <c r="T65" s="290">
        <f t="shared" si="4"/>
        <v>4.2398490621031374E-4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8075162.4400000274</v>
      </c>
      <c r="H66" s="250">
        <f t="shared" ref="H66:R66" si="14">-H61-SUM(H63:H65)</f>
        <v>23740109.350000009</v>
      </c>
      <c r="I66" s="250">
        <f t="shared" si="14"/>
        <v>28165629.150000021</v>
      </c>
      <c r="J66" s="250">
        <f t="shared" si="14"/>
        <v>-33158556.120000049</v>
      </c>
      <c r="K66" s="250">
        <f t="shared" si="14"/>
        <v>110129458.84999999</v>
      </c>
      <c r="L66" s="250">
        <f t="shared" si="14"/>
        <v>2393585.1700000037</v>
      </c>
      <c r="M66" s="250">
        <f t="shared" si="14"/>
        <v>64669956.910000019</v>
      </c>
      <c r="N66" s="250">
        <f t="shared" si="14"/>
        <v>-43315211.809999973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160700133.94000009</v>
      </c>
      <c r="T66" s="296">
        <f t="shared" si="4"/>
        <v>3.3456193437844832E-2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44" t="str">
        <f>+Master!G252</f>
        <v>Plan ostvarenja budžeta</v>
      </c>
      <c r="C102" s="545"/>
      <c r="D102" s="545"/>
      <c r="E102" s="545"/>
      <c r="F102" s="545"/>
      <c r="G102" s="537">
        <v>2019</v>
      </c>
      <c r="H102" s="538"/>
      <c r="I102" s="538"/>
      <c r="J102" s="538"/>
      <c r="K102" s="538"/>
      <c r="L102" s="538"/>
      <c r="M102" s="538"/>
      <c r="N102" s="538"/>
      <c r="O102" s="538"/>
      <c r="P102" s="538"/>
      <c r="Q102" s="538"/>
      <c r="R102" s="539"/>
      <c r="S102" s="115" t="str">
        <f>+S7</f>
        <v>BDP</v>
      </c>
      <c r="T102" s="116">
        <f>+T7</f>
        <v>4803300000</v>
      </c>
    </row>
    <row r="103" spans="1:21" ht="15.75" customHeight="1">
      <c r="B103" s="546"/>
      <c r="C103" s="547"/>
      <c r="D103" s="547"/>
      <c r="E103" s="547"/>
      <c r="F103" s="548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7" t="str">
        <f>+Master!G246</f>
        <v>Jan - Dec</v>
      </c>
      <c r="T103" s="539">
        <f>+T8</f>
        <v>0</v>
      </c>
    </row>
    <row r="104" spans="1:21" ht="13.5" thickBot="1">
      <c r="B104" s="549"/>
      <c r="C104" s="550"/>
      <c r="D104" s="550"/>
      <c r="E104" s="550"/>
      <c r="F104" s="55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40" t="str">
        <f>+VLOOKUP(LEFT($A105,LEN(A105)-1)*1,Master!$D$27:$G$225,4,FALSE)</f>
        <v>Prihodi budžeta</v>
      </c>
      <c r="C105" s="541"/>
      <c r="D105" s="541"/>
      <c r="E105" s="541"/>
      <c r="F105" s="541"/>
      <c r="G105" s="97">
        <f t="shared" ref="G105:R105" si="18">+G106+G114+SUM(G119:G123)</f>
        <v>107257935.59</v>
      </c>
      <c r="H105" s="97">
        <f t="shared" si="18"/>
        <v>116544625.95</v>
      </c>
      <c r="I105" s="97">
        <f t="shared" si="18"/>
        <v>147544680.63</v>
      </c>
      <c r="J105" s="97">
        <f t="shared" si="18"/>
        <v>165045416.33000001</v>
      </c>
      <c r="K105" s="97">
        <f t="shared" si="18"/>
        <v>144226839.65000001</v>
      </c>
      <c r="L105" s="97">
        <f t="shared" si="18"/>
        <v>143393601.47999999</v>
      </c>
      <c r="M105" s="97">
        <f t="shared" si="18"/>
        <v>163636678.97122747</v>
      </c>
      <c r="N105" s="97">
        <f t="shared" si="18"/>
        <v>164502209.05473346</v>
      </c>
      <c r="O105" s="97">
        <f t="shared" si="18"/>
        <v>151400956.73161691</v>
      </c>
      <c r="P105" s="97">
        <f t="shared" si="18"/>
        <v>188402533.23753721</v>
      </c>
      <c r="Q105" s="97">
        <f t="shared" si="18"/>
        <v>148714658.46197224</v>
      </c>
      <c r="R105" s="97">
        <f t="shared" si="18"/>
        <v>193362777.67647338</v>
      </c>
      <c r="S105" s="121">
        <f>+SUM(G105:R105)</f>
        <v>1834032913.7635608</v>
      </c>
      <c r="T105" s="122">
        <f>+S105/$T$7</f>
        <v>0.38182768383477211</v>
      </c>
    </row>
    <row r="106" spans="1:21">
      <c r="A106" s="137" t="str">
        <f t="shared" si="17"/>
        <v>711p</v>
      </c>
      <c r="B106" s="542" t="str">
        <f>+VLOOKUP(LEFT($A106,LEN(A106)-1)*1,Master!$D$27:$G$225,4,FALSE)</f>
        <v>Porezi</v>
      </c>
      <c r="C106" s="543"/>
      <c r="D106" s="543"/>
      <c r="E106" s="543"/>
      <c r="F106" s="543"/>
      <c r="G106" s="81">
        <f t="shared" ref="G106:R106" si="19">+SUM(G107:G113)</f>
        <v>72429730.420000002</v>
      </c>
      <c r="H106" s="81">
        <f t="shared" si="19"/>
        <v>68470908.439999998</v>
      </c>
      <c r="I106" s="81">
        <f t="shared" si="19"/>
        <v>98709545.510000005</v>
      </c>
      <c r="J106" s="81">
        <f t="shared" si="19"/>
        <v>106791818.52</v>
      </c>
      <c r="K106" s="81">
        <f t="shared" si="19"/>
        <v>94372185.030000001</v>
      </c>
      <c r="L106" s="81">
        <f t="shared" si="19"/>
        <v>89389439.689999998</v>
      </c>
      <c r="M106" s="81">
        <f t="shared" si="19"/>
        <v>106366803.00672032</v>
      </c>
      <c r="N106" s="81">
        <f t="shared" si="19"/>
        <v>110847613.63774106</v>
      </c>
      <c r="O106" s="81">
        <f t="shared" si="19"/>
        <v>101712748.66474015</v>
      </c>
      <c r="P106" s="81">
        <f t="shared" si="19"/>
        <v>96295636.228585869</v>
      </c>
      <c r="Q106" s="81">
        <f t="shared" si="19"/>
        <v>84393107.743797168</v>
      </c>
      <c r="R106" s="82">
        <f t="shared" si="19"/>
        <v>92890414.095145509</v>
      </c>
      <c r="S106" s="123">
        <f t="shared" ref="S106:S161" si="20">+SUM(G106:R106)</f>
        <v>1122669950.9867301</v>
      </c>
      <c r="T106" s="124">
        <f t="shared" ref="T106:T161" si="21">+S106/$T$7</f>
        <v>0.23372888451413198</v>
      </c>
      <c r="U106" s="302"/>
    </row>
    <row r="107" spans="1:21">
      <c r="A107" s="137" t="str">
        <f t="shared" si="17"/>
        <v>7111p</v>
      </c>
      <c r="B107" s="523" t="str">
        <f>+VLOOKUP(LEFT($A107,LEN(A107)-1)*1,Master!$D$27:$G$225,4,FALSE)</f>
        <v>Porez na dohodak fizičkih lica</v>
      </c>
      <c r="C107" s="524"/>
      <c r="D107" s="524"/>
      <c r="E107" s="524"/>
      <c r="F107" s="524"/>
      <c r="G107" s="91">
        <f>+SUM(DataEx!FF220)</f>
        <v>4240913.8099999996</v>
      </c>
      <c r="H107" s="91">
        <f>+SUM(DataEx!FG220)</f>
        <v>9361661.1500000004</v>
      </c>
      <c r="I107" s="91">
        <f>+SUM(DataEx!FH220)</f>
        <v>9044961.5800000001</v>
      </c>
      <c r="J107" s="91">
        <f>+SUM(DataEx!FI220)</f>
        <v>10767101.800000001</v>
      </c>
      <c r="K107" s="91">
        <f>+SUM(DataEx!FJ220)</f>
        <v>10210712.41</v>
      </c>
      <c r="L107" s="91">
        <f>+SUM(DataEx!FK220)</f>
        <v>10125793.029999999</v>
      </c>
      <c r="M107" s="91">
        <f>+SUM(DataEx!FL220)</f>
        <v>10562928.102170853</v>
      </c>
      <c r="N107" s="91">
        <f>+SUM(DataEx!FM220)</f>
        <v>10477537.909352116</v>
      </c>
      <c r="O107" s="91">
        <f>+SUM(DataEx!FN220)</f>
        <v>8957410.6319850832</v>
      </c>
      <c r="P107" s="91">
        <f>+SUM(DataEx!FO220)</f>
        <v>9589847.5886837803</v>
      </c>
      <c r="Q107" s="91">
        <f>+SUM(DataEx!FP220)</f>
        <v>9803639.4384757541</v>
      </c>
      <c r="R107" s="91">
        <f>+SUM(DataEx!FQ220)</f>
        <v>17095010.594302431</v>
      </c>
      <c r="S107" s="125">
        <f t="shared" si="20"/>
        <v>120237518.04497004</v>
      </c>
      <c r="T107" s="126">
        <f t="shared" si="21"/>
        <v>2.5032273238184171E-2</v>
      </c>
    </row>
    <row r="108" spans="1:21">
      <c r="A108" s="137" t="str">
        <f t="shared" si="17"/>
        <v>7112p</v>
      </c>
      <c r="B108" s="523" t="str">
        <f>+VLOOKUP(LEFT($A108,LEN(A108)-1)*1,Master!$D$27:$G$225,4,FALSE)</f>
        <v>Porez na dobit pravnih lica</v>
      </c>
      <c r="C108" s="524"/>
      <c r="D108" s="524"/>
      <c r="E108" s="524"/>
      <c r="F108" s="524"/>
      <c r="G108" s="91">
        <f>+SUM(DataEx!FF221)</f>
        <v>936843.13</v>
      </c>
      <c r="H108" s="91">
        <f>+SUM(DataEx!FG221)</f>
        <v>1962550.32</v>
      </c>
      <c r="I108" s="91">
        <f>+SUM(DataEx!FH221)</f>
        <v>22465664.23</v>
      </c>
      <c r="J108" s="91">
        <f>+SUM(DataEx!FI221)</f>
        <v>20408432.98</v>
      </c>
      <c r="K108" s="91">
        <f>+SUM(DataEx!FJ221)</f>
        <v>4781744.7</v>
      </c>
      <c r="L108" s="91">
        <f>+SUM(DataEx!FK221)</f>
        <v>3678815</v>
      </c>
      <c r="M108" s="91">
        <f>+SUM(DataEx!FL221)</f>
        <v>4457741.7110314406</v>
      </c>
      <c r="N108" s="91">
        <f>+SUM(DataEx!FM221)</f>
        <v>2685443.6740218201</v>
      </c>
      <c r="O108" s="91">
        <f>+SUM(DataEx!FN221)</f>
        <v>2555024.3067054804</v>
      </c>
      <c r="P108" s="91">
        <f>+SUM(DataEx!FO221)</f>
        <v>5099414.7304318398</v>
      </c>
      <c r="Q108" s="91">
        <f>+SUM(DataEx!FP221)</f>
        <v>845177.9860074711</v>
      </c>
      <c r="R108" s="91">
        <f>+SUM(DataEx!FQ221)</f>
        <v>1318007.3637119438</v>
      </c>
      <c r="S108" s="125">
        <f t="shared" si="20"/>
        <v>71194860.131909981</v>
      </c>
      <c r="T108" s="126">
        <f t="shared" si="21"/>
        <v>1.4822072352738738E-2</v>
      </c>
    </row>
    <row r="109" spans="1:21">
      <c r="A109" s="137" t="str">
        <f t="shared" si="17"/>
        <v>7113p</v>
      </c>
      <c r="B109" s="523" t="str">
        <f>+VLOOKUP(LEFT($A109,LEN(A109)-1)*1,Master!$D$27:$G$225,4,FALSE)</f>
        <v>Porez na promet nepokretnosti</v>
      </c>
      <c r="C109" s="524"/>
      <c r="D109" s="524"/>
      <c r="E109" s="524"/>
      <c r="F109" s="524"/>
      <c r="G109" s="91">
        <f>+SUM(DataEx!FF222)</f>
        <v>118243.45</v>
      </c>
      <c r="H109" s="91">
        <f>+SUM(DataEx!FG222)</f>
        <v>169568.16</v>
      </c>
      <c r="I109" s="91">
        <f>+SUM(DataEx!FH222)</f>
        <v>146352.49</v>
      </c>
      <c r="J109" s="91">
        <f>+SUM(DataEx!FI222)</f>
        <v>204359.36</v>
      </c>
      <c r="K109" s="91">
        <f>+SUM(DataEx!FJ222)</f>
        <v>147510.5</v>
      </c>
      <c r="L109" s="91">
        <f>+SUM(DataEx!FK222)</f>
        <v>158253.64000000001</v>
      </c>
      <c r="M109" s="91">
        <f>+SUM(DataEx!FL222)</f>
        <v>92289.827047712693</v>
      </c>
      <c r="N109" s="91">
        <f>+SUM(DataEx!FM222)</f>
        <v>199872.32178424072</v>
      </c>
      <c r="O109" s="91">
        <f>+SUM(DataEx!FN222)</f>
        <v>127416.86254210871</v>
      </c>
      <c r="P109" s="91">
        <f>+SUM(DataEx!FO222)</f>
        <v>134863.8150111227</v>
      </c>
      <c r="Q109" s="91">
        <f>+SUM(DataEx!FP222)</f>
        <v>174166.77614709371</v>
      </c>
      <c r="R109" s="91">
        <f>+SUM(DataEx!FQ222)</f>
        <v>189919.20786772171</v>
      </c>
      <c r="S109" s="125">
        <f t="shared" si="20"/>
        <v>1862816.4104000002</v>
      </c>
      <c r="T109" s="126">
        <f t="shared" si="21"/>
        <v>3.8782012583015845E-4</v>
      </c>
    </row>
    <row r="110" spans="1:21">
      <c r="A110" s="137" t="str">
        <f t="shared" si="17"/>
        <v>7114p</v>
      </c>
      <c r="B110" s="523" t="str">
        <f>+VLOOKUP(LEFT($A110,LEN(A110)-1)*1,Master!$D$27:$G$225,4,FALSE)</f>
        <v>Porez na dodatu vrijednost</v>
      </c>
      <c r="C110" s="524"/>
      <c r="D110" s="524"/>
      <c r="E110" s="524"/>
      <c r="F110" s="524"/>
      <c r="G110" s="91">
        <f>+SUM(DataEx!FF223)</f>
        <v>49847223.18</v>
      </c>
      <c r="H110" s="91">
        <f>+SUM(DataEx!FG223)</f>
        <v>38958365.399999999</v>
      </c>
      <c r="I110" s="91">
        <f>+SUM(DataEx!FH223)</f>
        <v>50498218.18</v>
      </c>
      <c r="J110" s="91">
        <f>+SUM(DataEx!FI223)</f>
        <v>55142838.460000001</v>
      </c>
      <c r="K110" s="91">
        <f>+SUM(DataEx!FJ223)</f>
        <v>56428341.859999999</v>
      </c>
      <c r="L110" s="91">
        <f>+SUM(DataEx!FK223)</f>
        <v>52810087.229999997</v>
      </c>
      <c r="M110" s="91">
        <f>+SUM(DataEx!FL223)</f>
        <v>64608697.993098304</v>
      </c>
      <c r="N110" s="91">
        <f>+SUM(DataEx!FM223)</f>
        <v>66890311.931873396</v>
      </c>
      <c r="O110" s="91">
        <f>+SUM(DataEx!FN223)</f>
        <v>59747048.514482997</v>
      </c>
      <c r="P110" s="91">
        <f>+SUM(DataEx!FO223)</f>
        <v>59046360.535818897</v>
      </c>
      <c r="Q110" s="91">
        <f>+SUM(DataEx!FP223)</f>
        <v>50298426.623042099</v>
      </c>
      <c r="R110" s="91">
        <f>+SUM(DataEx!FQ223)</f>
        <v>53629737.7635343</v>
      </c>
      <c r="S110" s="125">
        <f t="shared" si="20"/>
        <v>657905657.67184997</v>
      </c>
      <c r="T110" s="126">
        <f t="shared" si="21"/>
        <v>0.13696951214203776</v>
      </c>
    </row>
    <row r="111" spans="1:21">
      <c r="A111" s="137" t="str">
        <f t="shared" si="17"/>
        <v>7115p</v>
      </c>
      <c r="B111" s="523" t="str">
        <f>+VLOOKUP(LEFT($A111,LEN(A111)-1)*1,Master!$D$27:$G$225,4,FALSE)</f>
        <v>Akcize</v>
      </c>
      <c r="C111" s="524"/>
      <c r="D111" s="524"/>
      <c r="E111" s="524"/>
      <c r="F111" s="524"/>
      <c r="G111" s="91">
        <f>+SUM(DataEx!FF224)</f>
        <v>15141217.210000001</v>
      </c>
      <c r="H111" s="91">
        <f>+SUM(DataEx!FG224)</f>
        <v>13186126.23</v>
      </c>
      <c r="I111" s="91">
        <f>+SUM(DataEx!FH224)</f>
        <v>13315087.640000001</v>
      </c>
      <c r="J111" s="91">
        <f>+SUM(DataEx!FI224)</f>
        <v>16826313.73</v>
      </c>
      <c r="K111" s="91">
        <f>+SUM(DataEx!FJ224)</f>
        <v>19442485.359999999</v>
      </c>
      <c r="L111" s="91">
        <f>+SUM(DataEx!FK224)</f>
        <v>19205497.870000001</v>
      </c>
      <c r="M111" s="91">
        <f>+SUM(DataEx!FL224)</f>
        <v>23502946.676267412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234801605.29820004</v>
      </c>
      <c r="T111" s="126">
        <f t="shared" si="21"/>
        <v>4.8883393770574407E-2</v>
      </c>
    </row>
    <row r="112" spans="1:21">
      <c r="A112" s="137" t="str">
        <f t="shared" si="17"/>
        <v>7116p</v>
      </c>
      <c r="B112" s="523" t="str">
        <f>+VLOOKUP(LEFT($A112,LEN(A112)-1)*1,Master!$D$27:$G$225,4,FALSE)</f>
        <v>Porez na međunarodnu trgovinu i transakcije</v>
      </c>
      <c r="C112" s="524"/>
      <c r="D112" s="524"/>
      <c r="E112" s="524"/>
      <c r="F112" s="524"/>
      <c r="G112" s="91">
        <f>+SUM(DataEx!FF225)</f>
        <v>1424968.68</v>
      </c>
      <c r="H112" s="91">
        <f>+SUM(DataEx!FG225)</f>
        <v>1733788.33</v>
      </c>
      <c r="I112" s="91">
        <f>+SUM(DataEx!FH225)</f>
        <v>2462209.73</v>
      </c>
      <c r="J112" s="91">
        <f>+SUM(DataEx!FI225)</f>
        <v>2531899.16</v>
      </c>
      <c r="K112" s="91">
        <f>+SUM(DataEx!FJ225)</f>
        <v>2502520.2799999998</v>
      </c>
      <c r="L112" s="91">
        <f>+SUM(DataEx!FK225)</f>
        <v>2485583.9700000002</v>
      </c>
      <c r="M112" s="91">
        <f>+SUM(DataEx!FL225)</f>
        <v>2731455.7201732523</v>
      </c>
      <c r="N112" s="91">
        <f>+SUM(DataEx!FM225)</f>
        <v>2787010.1046283157</v>
      </c>
      <c r="O112" s="91">
        <f>+SUM(DataEx!FN225)</f>
        <v>2149778.7308390578</v>
      </c>
      <c r="P112" s="91">
        <f>+SUM(DataEx!FO225)</f>
        <v>2505449.340977564</v>
      </c>
      <c r="Q112" s="91">
        <f>+SUM(DataEx!FP225)</f>
        <v>1854095.8458453817</v>
      </c>
      <c r="R112" s="91">
        <f>+SUM(DataEx!FQ225)</f>
        <v>1998829.9373364251</v>
      </c>
      <c r="S112" s="125">
        <f t="shared" si="20"/>
        <v>27167589.829800002</v>
      </c>
      <c r="T112" s="126">
        <f t="shared" si="21"/>
        <v>5.6560260299793894E-3</v>
      </c>
    </row>
    <row r="113" spans="1:20">
      <c r="A113" s="137" t="str">
        <f t="shared" si="17"/>
        <v>7118p</v>
      </c>
      <c r="B113" s="523" t="str">
        <f>+VLOOKUP(LEFT($A113,LEN(A113)-1)*1,Master!$D$27:$G$225,4,FALSE)</f>
        <v>Ostali državni porezi</v>
      </c>
      <c r="C113" s="524"/>
      <c r="D113" s="524"/>
      <c r="E113" s="524"/>
      <c r="F113" s="524"/>
      <c r="G113" s="91">
        <f>+SUM(DataEx!FF227)</f>
        <v>720320.96</v>
      </c>
      <c r="H113" s="91">
        <f>+SUM(DataEx!FG227)</f>
        <v>3098848.85</v>
      </c>
      <c r="I113" s="91">
        <f>+SUM(DataEx!FH227)</f>
        <v>777051.66</v>
      </c>
      <c r="J113" s="91">
        <f>+SUM(DataEx!FI227)</f>
        <v>910873.03</v>
      </c>
      <c r="K113" s="91">
        <f>+SUM(DataEx!FJ227)</f>
        <v>858869.92</v>
      </c>
      <c r="L113" s="91">
        <f>+SUM(DataEx!FK227)</f>
        <v>925408.95</v>
      </c>
      <c r="M113" s="91">
        <f>+SUM(DataEx!FL227)</f>
        <v>410742.9769313393</v>
      </c>
      <c r="N113" s="91">
        <f>+SUM(DataEx!FM227)</f>
        <v>392873.90234621655</v>
      </c>
      <c r="O113" s="91">
        <f>+SUM(DataEx!FN227)</f>
        <v>354922.73324901523</v>
      </c>
      <c r="P113" s="91">
        <f>+SUM(DataEx!FO227)</f>
        <v>325827.84998510586</v>
      </c>
      <c r="Q113" s="91">
        <f>+SUM(DataEx!FP227)</f>
        <v>340887.93377701013</v>
      </c>
      <c r="R113" s="91">
        <f>+SUM(DataEx!FQ227)</f>
        <v>383274.83331131347</v>
      </c>
      <c r="S113" s="125">
        <f t="shared" si="20"/>
        <v>9499903.5996000003</v>
      </c>
      <c r="T113" s="126">
        <f t="shared" si="21"/>
        <v>1.9777868547873338E-3</v>
      </c>
    </row>
    <row r="114" spans="1:20">
      <c r="A114" s="137" t="str">
        <f t="shared" si="17"/>
        <v>712p</v>
      </c>
      <c r="B114" s="535" t="str">
        <f>+VLOOKUP(LEFT($A114,LEN(A114)-1)*1,Master!$D$27:$G$225,4,FALSE)</f>
        <v>Doprinosi</v>
      </c>
      <c r="C114" s="536"/>
      <c r="D114" s="536"/>
      <c r="E114" s="536"/>
      <c r="F114" s="536"/>
      <c r="G114" s="83">
        <f>+SUM(G115:G118)</f>
        <v>16498881.48</v>
      </c>
      <c r="H114" s="83">
        <f t="shared" ref="H114:R114" si="22">+SUM(H115:H118)</f>
        <v>41912269.38000001</v>
      </c>
      <c r="I114" s="83">
        <f t="shared" si="22"/>
        <v>41047599.18</v>
      </c>
      <c r="J114" s="83">
        <f t="shared" si="22"/>
        <v>50290988.940000005</v>
      </c>
      <c r="K114" s="83">
        <f t="shared" si="22"/>
        <v>37496285.130000003</v>
      </c>
      <c r="L114" s="83">
        <f t="shared" si="22"/>
        <v>45280786.510000005</v>
      </c>
      <c r="M114" s="83">
        <f t="shared" si="22"/>
        <v>46250891.035691187</v>
      </c>
      <c r="N114" s="83">
        <f t="shared" si="22"/>
        <v>44632014.674295112</v>
      </c>
      <c r="O114" s="83">
        <f t="shared" si="22"/>
        <v>41120271.333377153</v>
      </c>
      <c r="P114" s="83">
        <f t="shared" si="22"/>
        <v>46928850.635902815</v>
      </c>
      <c r="Q114" s="83">
        <f t="shared" si="22"/>
        <v>44128259.697538294</v>
      </c>
      <c r="R114" s="84">
        <f t="shared" si="22"/>
        <v>78626416.07852602</v>
      </c>
      <c r="S114" s="127">
        <f t="shared" si="20"/>
        <v>534213514.07533062</v>
      </c>
      <c r="T114" s="128">
        <f t="shared" si="21"/>
        <v>0.11121801971047626</v>
      </c>
    </row>
    <row r="115" spans="1:20">
      <c r="A115" s="137" t="str">
        <f t="shared" si="17"/>
        <v>7121p</v>
      </c>
      <c r="B115" s="523" t="str">
        <f>+VLOOKUP(LEFT($A115,LEN(A115)-1)*1,Master!$D$27:$G$225,4,FALSE)</f>
        <v>Doprinosi za penzijsko i invalidsko osiguranje</v>
      </c>
      <c r="C115" s="524"/>
      <c r="D115" s="524"/>
      <c r="E115" s="524"/>
      <c r="F115" s="524"/>
      <c r="G115" s="91">
        <f>+SUM(DataEx!FF229)</f>
        <v>9695765.5800000001</v>
      </c>
      <c r="H115" s="91">
        <f>+SUM(DataEx!FG229)</f>
        <v>24593790.260000002</v>
      </c>
      <c r="I115" s="91">
        <f>+SUM(DataEx!FH229)</f>
        <v>23923752.719999999</v>
      </c>
      <c r="J115" s="91">
        <f>+SUM(DataEx!FI229)</f>
        <v>29650595.870000001</v>
      </c>
      <c r="K115" s="91">
        <f>+SUM(DataEx!FJ229)</f>
        <v>22104934.850000001</v>
      </c>
      <c r="L115" s="91">
        <f>+SUM(DataEx!FK229)</f>
        <v>27009559.609999999</v>
      </c>
      <c r="M115" s="91">
        <f>+SUM(DataEx!FL229)</f>
        <v>27482444.037160631</v>
      </c>
      <c r="N115" s="91">
        <f>+SUM(DataEx!FM229)</f>
        <v>27981870.622507609</v>
      </c>
      <c r="O115" s="91">
        <f>+SUM(DataEx!FN229)</f>
        <v>26275213.096976332</v>
      </c>
      <c r="P115" s="91">
        <f>+SUM(DataEx!FO229)</f>
        <v>30509092.335605875</v>
      </c>
      <c r="Q115" s="91">
        <f>+SUM(DataEx!FP229)</f>
        <v>28690565.779876817</v>
      </c>
      <c r="R115" s="91">
        <f>+SUM(DataEx!FQ229)</f>
        <v>49959164.412414543</v>
      </c>
      <c r="S115" s="125">
        <f t="shared" si="20"/>
        <v>327876749.17454183</v>
      </c>
      <c r="T115" s="126">
        <f t="shared" si="21"/>
        <v>6.8260726828335061E-2</v>
      </c>
    </row>
    <row r="116" spans="1:20">
      <c r="A116" s="137" t="str">
        <f t="shared" si="17"/>
        <v>7122p</v>
      </c>
      <c r="B116" s="523" t="str">
        <f>+VLOOKUP(LEFT($A116,LEN(A116)-1)*1,Master!$D$27:$G$225,4,FALSE)</f>
        <v>Doprinosi za zdravstveno osiguranje</v>
      </c>
      <c r="C116" s="524"/>
      <c r="D116" s="524"/>
      <c r="E116" s="524"/>
      <c r="F116" s="524"/>
      <c r="G116" s="91">
        <f>+SUM(DataEx!FF230)</f>
        <v>5963049.2000000002</v>
      </c>
      <c r="H116" s="91">
        <f>+SUM(DataEx!FG230)</f>
        <v>15122476.890000001</v>
      </c>
      <c r="I116" s="91">
        <f>+SUM(DataEx!FH230)</f>
        <v>14777265.789999999</v>
      </c>
      <c r="J116" s="91">
        <f>+SUM(DataEx!FI230)</f>
        <v>17925167.550000001</v>
      </c>
      <c r="K116" s="91">
        <f>+SUM(DataEx!FJ230)</f>
        <v>13458982.5</v>
      </c>
      <c r="L116" s="91">
        <f>+SUM(DataEx!FK230)</f>
        <v>15925774.34</v>
      </c>
      <c r="M116" s="91">
        <f>+SUM(DataEx!FL230)</f>
        <v>16394230.760278165</v>
      </c>
      <c r="N116" s="91">
        <f>+SUM(DataEx!FM230)</f>
        <v>14239936.351746917</v>
      </c>
      <c r="O116" s="91">
        <f>+SUM(DataEx!FN230)</f>
        <v>12682409.588332439</v>
      </c>
      <c r="P116" s="91">
        <f>+SUM(DataEx!FO230)</f>
        <v>14130176.222576067</v>
      </c>
      <c r="Q116" s="91">
        <f>+SUM(DataEx!FP230)</f>
        <v>13398296.64486525</v>
      </c>
      <c r="R116" s="91">
        <f>+SUM(DataEx!FQ230)</f>
        <v>24833575.886677179</v>
      </c>
      <c r="S116" s="125">
        <f t="shared" si="20"/>
        <v>178851341.72447601</v>
      </c>
      <c r="T116" s="126">
        <f t="shared" si="21"/>
        <v>3.7235097063368104E-2</v>
      </c>
    </row>
    <row r="117" spans="1:20">
      <c r="A117" s="137" t="str">
        <f t="shared" si="17"/>
        <v>7123p</v>
      </c>
      <c r="B117" s="523" t="str">
        <f>+VLOOKUP(LEFT($A117,LEN(A117)-1)*1,Master!$D$27:$G$225,4,FALSE)</f>
        <v>Doprinosi za osiguranje od nezaposlenosti</v>
      </c>
      <c r="C117" s="524"/>
      <c r="D117" s="524"/>
      <c r="E117" s="524"/>
      <c r="F117" s="524"/>
      <c r="G117" s="91">
        <f>+SUM(DataEx!FF231)</f>
        <v>459881.42</v>
      </c>
      <c r="H117" s="91">
        <f>+SUM(DataEx!FG231)</f>
        <v>1160315.8500000001</v>
      </c>
      <c r="I117" s="91">
        <f>+SUM(DataEx!FH231)</f>
        <v>1135767.8899999999</v>
      </c>
      <c r="J117" s="91">
        <f>+SUM(DataEx!FI231)</f>
        <v>1375720.59</v>
      </c>
      <c r="K117" s="91">
        <f>+SUM(DataEx!FJ231)</f>
        <v>1026106.03</v>
      </c>
      <c r="L117" s="91">
        <f>+SUM(DataEx!FK231)</f>
        <v>1222753.49</v>
      </c>
      <c r="M117" s="91">
        <f>+SUM(DataEx!FL231)</f>
        <v>1142926.9664523243</v>
      </c>
      <c r="N117" s="91">
        <f>+SUM(DataEx!FM231)</f>
        <v>1304199.4730337204</v>
      </c>
      <c r="O117" s="91">
        <f>+SUM(DataEx!FN231)</f>
        <v>1183707.9939274685</v>
      </c>
      <c r="P117" s="91">
        <f>+SUM(DataEx!FO231)</f>
        <v>1329191.3701360417</v>
      </c>
      <c r="Q117" s="91">
        <f>+SUM(DataEx!FP231)</f>
        <v>1263549.4031596093</v>
      </c>
      <c r="R117" s="91">
        <f>+SUM(DataEx!FQ231)</f>
        <v>2346588.9629115779</v>
      </c>
      <c r="S117" s="125">
        <f t="shared" si="20"/>
        <v>14950709.439620741</v>
      </c>
      <c r="T117" s="126">
        <f t="shared" si="21"/>
        <v>3.1125912267859056E-3</v>
      </c>
    </row>
    <row r="118" spans="1:20">
      <c r="A118" s="137" t="str">
        <f t="shared" si="17"/>
        <v>7124p</v>
      </c>
      <c r="B118" s="523" t="str">
        <f>+VLOOKUP(LEFT($A118,LEN(A118)-1)*1,Master!$D$27:$G$225,4,FALSE)</f>
        <v>Ostali doprinosi</v>
      </c>
      <c r="C118" s="524"/>
      <c r="D118" s="524"/>
      <c r="E118" s="524"/>
      <c r="F118" s="524"/>
      <c r="G118" s="91">
        <f>+SUM(DataEx!FF232)</f>
        <v>380185.28</v>
      </c>
      <c r="H118" s="91">
        <f>+SUM(DataEx!FG232)</f>
        <v>1035686.38</v>
      </c>
      <c r="I118" s="91">
        <f>+SUM(DataEx!FH232)</f>
        <v>1210812.78</v>
      </c>
      <c r="J118" s="91">
        <f>+SUM(DataEx!FI232)</f>
        <v>1339504.93</v>
      </c>
      <c r="K118" s="91">
        <f>+SUM(DataEx!FJ232)</f>
        <v>906261.75</v>
      </c>
      <c r="L118" s="91">
        <f>+SUM(DataEx!FK232)</f>
        <v>1122699.07</v>
      </c>
      <c r="M118" s="91">
        <f>+SUM(DataEx!FL232)</f>
        <v>1231289.271800064</v>
      </c>
      <c r="N118" s="91">
        <f>+SUM(DataEx!FM232)</f>
        <v>1106008.2270068659</v>
      </c>
      <c r="O118" s="91">
        <f>+SUM(DataEx!FN232)</f>
        <v>978940.65414091514</v>
      </c>
      <c r="P118" s="91">
        <f>+SUM(DataEx!FO232)</f>
        <v>960390.70758482651</v>
      </c>
      <c r="Q118" s="91">
        <f>+SUM(DataEx!FP232)</f>
        <v>775847.86963662016</v>
      </c>
      <c r="R118" s="91">
        <f>+SUM(DataEx!FQ232)</f>
        <v>1487086.8165227156</v>
      </c>
      <c r="S118" s="125">
        <f t="shared" si="20"/>
        <v>12534713.736692008</v>
      </c>
      <c r="T118" s="126">
        <f t="shared" si="21"/>
        <v>2.6096045919871769E-3</v>
      </c>
    </row>
    <row r="119" spans="1:20">
      <c r="A119" s="137" t="str">
        <f t="shared" si="17"/>
        <v>713p</v>
      </c>
      <c r="B119" s="527" t="str">
        <f>+VLOOKUP(LEFT($A119,LEN(A119)-1)*1,Master!$D$27:$G$225,4,FALSE)</f>
        <v>Takse</v>
      </c>
      <c r="C119" s="528"/>
      <c r="D119" s="528"/>
      <c r="E119" s="528"/>
      <c r="F119" s="528"/>
      <c r="G119" s="85">
        <f>+SUM(DataEx!FF233)</f>
        <v>851162.27</v>
      </c>
      <c r="H119" s="85">
        <f>+SUM(DataEx!FG233)</f>
        <v>1041125.3899999999</v>
      </c>
      <c r="I119" s="85">
        <f>+SUM(DataEx!FH233)</f>
        <v>1066481.8799999999</v>
      </c>
      <c r="J119" s="85">
        <f>+SUM(DataEx!FI233)</f>
        <v>1290371.49</v>
      </c>
      <c r="K119" s="85">
        <f>+SUM(DataEx!FJ233)</f>
        <v>1208813.17</v>
      </c>
      <c r="L119" s="85">
        <f>+SUM(DataEx!FK233)</f>
        <v>1252534.6599999999</v>
      </c>
      <c r="M119" s="85">
        <f>+SUM(DataEx!FL233)</f>
        <v>1795731.4641523927</v>
      </c>
      <c r="N119" s="85">
        <f>+SUM(DataEx!FM233)</f>
        <v>1701456.5372229549</v>
      </c>
      <c r="O119" s="85">
        <f>+SUM(DataEx!FN233)</f>
        <v>1388736.0694359436</v>
      </c>
      <c r="P119" s="85">
        <f>+SUM(DataEx!FO233)</f>
        <v>1341528.8515351652</v>
      </c>
      <c r="Q119" s="85">
        <f>+SUM(DataEx!FP233)</f>
        <v>1134405.6022195939</v>
      </c>
      <c r="R119" s="85">
        <f>+SUM(DataEx!FQ233)</f>
        <v>1246141.5409339513</v>
      </c>
      <c r="S119" s="127">
        <f t="shared" si="20"/>
        <v>15318488.925500004</v>
      </c>
      <c r="T119" s="128">
        <f t="shared" si="21"/>
        <v>3.1891593124518569E-3</v>
      </c>
    </row>
    <row r="120" spans="1:20">
      <c r="A120" s="137" t="str">
        <f t="shared" si="17"/>
        <v>714p</v>
      </c>
      <c r="B120" s="527" t="str">
        <f>+VLOOKUP(LEFT($A120,LEN(A120)-1)*1,Master!$D$27:$G$225,4,FALSE)</f>
        <v>Naknade</v>
      </c>
      <c r="C120" s="528"/>
      <c r="D120" s="528"/>
      <c r="E120" s="528"/>
      <c r="F120" s="528"/>
      <c r="G120" s="85">
        <f>+SUM(DataEx!FF238)</f>
        <v>2315003.25</v>
      </c>
      <c r="H120" s="85">
        <f>+SUM(DataEx!FG238)</f>
        <v>1541397.86</v>
      </c>
      <c r="I120" s="85">
        <f>+SUM(DataEx!FH238)</f>
        <v>2408517.5</v>
      </c>
      <c r="J120" s="85">
        <f>+SUM(DataEx!FI238)</f>
        <v>3310133.38</v>
      </c>
      <c r="K120" s="85">
        <f>+SUM(DataEx!FJ238)</f>
        <v>1792591.2</v>
      </c>
      <c r="L120" s="85">
        <f>+SUM(DataEx!FK238)</f>
        <v>2081141.31</v>
      </c>
      <c r="M120" s="85">
        <f>+SUM(DataEx!FL238)</f>
        <v>3811615.3822946725</v>
      </c>
      <c r="N120" s="85">
        <f>+SUM(DataEx!FM238)</f>
        <v>2369139.8885664819</v>
      </c>
      <c r="O120" s="85">
        <f>+SUM(DataEx!FN238)</f>
        <v>2509036.584840606</v>
      </c>
      <c r="P120" s="85">
        <f>+SUM(DataEx!FO238)</f>
        <v>3286740.3746407013</v>
      </c>
      <c r="Q120" s="85">
        <f>+SUM(DataEx!FP238)</f>
        <v>2611990.4957672656</v>
      </c>
      <c r="R120" s="85">
        <f>+SUM(DataEx!FQ238)</f>
        <v>3353537.6354902741</v>
      </c>
      <c r="S120" s="127">
        <f t="shared" si="20"/>
        <v>31390844.861600004</v>
      </c>
      <c r="T120" s="128">
        <f t="shared" si="21"/>
        <v>6.5352663505506637E-3</v>
      </c>
    </row>
    <row r="121" spans="1:20">
      <c r="A121" s="137" t="str">
        <f t="shared" si="17"/>
        <v>715p</v>
      </c>
      <c r="B121" s="527" t="str">
        <f>+VLOOKUP(LEFT($A121,LEN(A121)-1)*1,Master!$D$27:$G$225,4,FALSE)</f>
        <v>Ostali prihodi</v>
      </c>
      <c r="C121" s="528"/>
      <c r="D121" s="528"/>
      <c r="E121" s="528"/>
      <c r="F121" s="528"/>
      <c r="G121" s="85">
        <f>+SUM(DataEx!FF245)</f>
        <v>1567288.04</v>
      </c>
      <c r="H121" s="85">
        <f>+SUM(DataEx!FG245)</f>
        <v>2199531.1</v>
      </c>
      <c r="I121" s="85">
        <f>+SUM(DataEx!FH245)</f>
        <v>3194097.81</v>
      </c>
      <c r="J121" s="85">
        <f>+SUM(DataEx!FI245)</f>
        <v>2385711.15</v>
      </c>
      <c r="K121" s="85">
        <f>+SUM(DataEx!FJ245)</f>
        <v>7159438.3900000006</v>
      </c>
      <c r="L121" s="85">
        <f>+SUM(DataEx!FK245)</f>
        <v>3263135.44</v>
      </c>
      <c r="M121" s="85">
        <f>+SUM(DataEx!FL245)</f>
        <v>3782335.0282840966</v>
      </c>
      <c r="N121" s="85">
        <f>+SUM(DataEx!FM245)</f>
        <v>3340173.0404689522</v>
      </c>
      <c r="O121" s="85">
        <f>+SUM(DataEx!FN245)</f>
        <v>2689732.0664405972</v>
      </c>
      <c r="P121" s="85">
        <f>+SUM(DataEx!FO245)</f>
        <v>37215962.809770532</v>
      </c>
      <c r="Q121" s="85">
        <f>+SUM(DataEx!FP245)</f>
        <v>3512092.3071244648</v>
      </c>
      <c r="R121" s="85">
        <f>+SUM(DataEx!FQ245)</f>
        <v>7138953.7303113183</v>
      </c>
      <c r="S121" s="127">
        <f t="shared" si="20"/>
        <v>77448450.912399963</v>
      </c>
      <c r="T121" s="128">
        <f t="shared" si="21"/>
        <v>1.6124008684112998E-2</v>
      </c>
    </row>
    <row r="122" spans="1:20">
      <c r="A122" s="137" t="str">
        <f t="shared" si="17"/>
        <v>73p</v>
      </c>
      <c r="B122" s="527" t="str">
        <f>+VLOOKUP(LEFT($A122,LEN(A122)-1)*1,Master!$D$27:$G$225,4,FALSE)</f>
        <v>Primici od otplate kredita i sredstva prenesena iz prethodne godine</v>
      </c>
      <c r="C122" s="528"/>
      <c r="D122" s="528"/>
      <c r="E122" s="528"/>
      <c r="F122" s="528"/>
      <c r="G122" s="85">
        <f>+SUM(DataEx!FF253)</f>
        <v>69158.880000000005</v>
      </c>
      <c r="H122" s="85">
        <f>+SUM(DataEx!FG253)</f>
        <v>378338.04</v>
      </c>
      <c r="I122" s="85">
        <f>+SUM(DataEx!FH253)</f>
        <v>257172.98</v>
      </c>
      <c r="J122" s="85">
        <f>+SUM(DataEx!FI253)</f>
        <v>349238.34</v>
      </c>
      <c r="K122" s="85">
        <f>+SUM(DataEx!FJ253)</f>
        <v>808656.23</v>
      </c>
      <c r="L122" s="85">
        <f>+SUM(DataEx!FK253)</f>
        <v>1298753.81</v>
      </c>
      <c r="M122" s="85">
        <f>+SUM(DataEx!FL253)</f>
        <v>142080.0960214606</v>
      </c>
      <c r="N122" s="85">
        <f>+SUM(DataEx!FM253)</f>
        <v>117083.56784272524</v>
      </c>
      <c r="O122" s="85">
        <f>+SUM(DataEx!FN253)</f>
        <v>723504.94882674748</v>
      </c>
      <c r="P122" s="85">
        <f>+SUM(DataEx!FO253)</f>
        <v>419152.39381785714</v>
      </c>
      <c r="Q122" s="85">
        <f>+SUM(DataEx!FP253)</f>
        <v>3373987.8037220733</v>
      </c>
      <c r="R122" s="85">
        <f>+SUM(DataEx!FQ253)</f>
        <v>574536.91176913551</v>
      </c>
      <c r="S122" s="127">
        <f t="shared" si="20"/>
        <v>8511664.0019999985</v>
      </c>
      <c r="T122" s="128">
        <f t="shared" si="21"/>
        <v>1.772045052776216E-3</v>
      </c>
    </row>
    <row r="123" spans="1:20" ht="13.5" thickBot="1">
      <c r="A123" s="137" t="str">
        <f t="shared" si="17"/>
        <v>74p</v>
      </c>
      <c r="B123" s="529" t="str">
        <f>+VLOOKUP(LEFT($A123,LEN(A123)-1)*1,Master!$D$27:$G$225,4,FALSE)</f>
        <v>Donacije i transferi</v>
      </c>
      <c r="C123" s="530"/>
      <c r="D123" s="530"/>
      <c r="E123" s="530"/>
      <c r="F123" s="530"/>
      <c r="G123" s="85">
        <f>+SUM(DataEx!FF256)</f>
        <v>13526711.25</v>
      </c>
      <c r="H123" s="85">
        <f>+SUM(DataEx!FG256)</f>
        <v>1001055.74</v>
      </c>
      <c r="I123" s="85">
        <f>+SUM(DataEx!FH256)</f>
        <v>861265.77</v>
      </c>
      <c r="J123" s="85">
        <f>+SUM(DataEx!FI256)</f>
        <v>627154.51</v>
      </c>
      <c r="K123" s="85">
        <f>+SUM(DataEx!FJ256)</f>
        <v>1388870.5</v>
      </c>
      <c r="L123" s="85">
        <f>+SUM(DataEx!FK256)</f>
        <v>827810.06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9532777.6842971519</v>
      </c>
      <c r="S123" s="129">
        <f t="shared" si="20"/>
        <v>44480000</v>
      </c>
      <c r="T123" s="130">
        <f t="shared" si="21"/>
        <v>9.2603002102721044E-3</v>
      </c>
    </row>
    <row r="124" spans="1:20" ht="13.5" thickBot="1">
      <c r="A124" s="137" t="str">
        <f t="shared" si="17"/>
        <v>4p</v>
      </c>
      <c r="B124" s="513" t="str">
        <f>+VLOOKUP(LEFT($A124,LEN(A124)-1)*1,Master!$D$27:$G$225,4,FALSE)</f>
        <v>Budžetski izdaci</v>
      </c>
      <c r="C124" s="514"/>
      <c r="D124" s="514"/>
      <c r="E124" s="514"/>
      <c r="F124" s="514"/>
      <c r="G124" s="97">
        <f>+G126+G137+G143+SUM(G144:G148)</f>
        <v>169675887.19749999</v>
      </c>
      <c r="H124" s="97">
        <f t="shared" ref="H124:R124" si="23">+H126+H137+H143+SUM(H144:H148)</f>
        <v>163118817.50749999</v>
      </c>
      <c r="I124" s="97">
        <f t="shared" si="23"/>
        <v>195750967.64750001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173593221.77416667</v>
      </c>
      <c r="N124" s="97">
        <f t="shared" si="23"/>
        <v>157395422.72416666</v>
      </c>
      <c r="O124" s="97">
        <f t="shared" si="23"/>
        <v>161208966.37416667</v>
      </c>
      <c r="P124" s="97">
        <f t="shared" si="23"/>
        <v>158508019.66083336</v>
      </c>
      <c r="Q124" s="97">
        <f t="shared" si="23"/>
        <v>152277719.94083336</v>
      </c>
      <c r="R124" s="97">
        <f t="shared" si="23"/>
        <v>146102024.36083338</v>
      </c>
      <c r="S124" s="131">
        <f>+SUM(G124:R124)</f>
        <v>1976630978.4000001</v>
      </c>
      <c r="T124" s="132">
        <f t="shared" si="21"/>
        <v>0.41151520379738932</v>
      </c>
    </row>
    <row r="125" spans="1:20" ht="13.5" thickBot="1">
      <c r="A125" s="137" t="str">
        <f t="shared" si="17"/>
        <v>40p</v>
      </c>
      <c r="B125" s="531" t="str">
        <f>+VLOOKUP(LEFT($A125,LEN(A125)-1)*1,Master!$D$27:$G$225,4,FALSE)</f>
        <v>Tekuća budžetska potrošnja</v>
      </c>
      <c r="C125" s="532"/>
      <c r="D125" s="532"/>
      <c r="E125" s="532"/>
      <c r="F125" s="532"/>
      <c r="G125" s="80">
        <f t="shared" ref="G125:R125" si="24">+G124-G144</f>
        <v>142932137.20749998</v>
      </c>
      <c r="H125" s="80">
        <f t="shared" si="24"/>
        <v>136375067.51749998</v>
      </c>
      <c r="I125" s="80">
        <f t="shared" si="24"/>
        <v>169007217.65750003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146849471.78416669</v>
      </c>
      <c r="N125" s="80">
        <f t="shared" si="24"/>
        <v>130651672.73416667</v>
      </c>
      <c r="O125" s="80">
        <f t="shared" si="24"/>
        <v>134465216.38416666</v>
      </c>
      <c r="P125" s="80">
        <f t="shared" si="24"/>
        <v>131764269.67083336</v>
      </c>
      <c r="Q125" s="80">
        <f t="shared" si="24"/>
        <v>138033969.95083335</v>
      </c>
      <c r="R125" s="80">
        <f t="shared" si="24"/>
        <v>131858274.25083338</v>
      </c>
      <c r="S125" s="133">
        <f t="shared" si="20"/>
        <v>1680705978.4000001</v>
      </c>
      <c r="T125" s="134">
        <f t="shared" si="21"/>
        <v>0.34990651810213813</v>
      </c>
    </row>
    <row r="126" spans="1:20">
      <c r="A126" s="137" t="str">
        <f t="shared" si="17"/>
        <v>41p</v>
      </c>
      <c r="B126" s="533" t="str">
        <f>+VLOOKUP(LEFT($A126,LEN(A126)-1)*1,Master!$D$27:$G$225,4,FALSE)</f>
        <v>Tekući izdaci</v>
      </c>
      <c r="C126" s="534"/>
      <c r="D126" s="534"/>
      <c r="E126" s="534"/>
      <c r="F126" s="534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71113855.702500001</v>
      </c>
      <c r="N126" s="89">
        <f t="shared" si="25"/>
        <v>62800153.3125</v>
      </c>
      <c r="O126" s="89">
        <f t="shared" si="25"/>
        <v>66815564.902500011</v>
      </c>
      <c r="P126" s="89">
        <f t="shared" si="25"/>
        <v>62629581.782500006</v>
      </c>
      <c r="Q126" s="89">
        <f t="shared" si="25"/>
        <v>68882826.062500015</v>
      </c>
      <c r="R126" s="90">
        <f t="shared" si="25"/>
        <v>62463700.292500041</v>
      </c>
      <c r="S126" s="123">
        <f t="shared" si="20"/>
        <v>846670934.61000013</v>
      </c>
      <c r="T126" s="124">
        <f t="shared" si="21"/>
        <v>0.17626859338579728</v>
      </c>
    </row>
    <row r="127" spans="1:20">
      <c r="A127" s="137" t="str">
        <f t="shared" si="17"/>
        <v>411p</v>
      </c>
      <c r="B127" s="523" t="str">
        <f>+VLOOKUP(LEFT($A127,LEN(A127)-1)*1,Master!$D$27:$G$225,4,FALSE)</f>
        <v>Bruto zarade i doprinosi na teret poslodavca</v>
      </c>
      <c r="C127" s="524"/>
      <c r="D127" s="524"/>
      <c r="E127" s="524"/>
      <c r="F127" s="524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38858179.001666702</v>
      </c>
      <c r="S127" s="125">
        <f t="shared" si="20"/>
        <v>472054247.1500001</v>
      </c>
      <c r="T127" s="126">
        <f t="shared" si="21"/>
        <v>9.8277069337746992E-2</v>
      </c>
    </row>
    <row r="128" spans="1:20">
      <c r="A128" s="137" t="str">
        <f t="shared" si="17"/>
        <v>412p</v>
      </c>
      <c r="B128" s="523" t="str">
        <f>+VLOOKUP(LEFT($A128,LEN(A128)-1)*1,Master!$D$27:$G$225,4,FALSE)</f>
        <v>Ostala lična primanja</v>
      </c>
      <c r="C128" s="524"/>
      <c r="D128" s="524"/>
      <c r="E128" s="524"/>
      <c r="F128" s="524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1240174.31083333</v>
      </c>
      <c r="S128" s="125">
        <f t="shared" si="20"/>
        <v>15077125.449999996</v>
      </c>
      <c r="T128" s="126">
        <f t="shared" si="21"/>
        <v>3.138909801594736E-3</v>
      </c>
    </row>
    <row r="129" spans="1:20">
      <c r="A129" s="137" t="str">
        <f t="shared" si="17"/>
        <v>413p</v>
      </c>
      <c r="B129" s="523" t="str">
        <f>+VLOOKUP(LEFT($A129,LEN(A129)-1)*1,Master!$D$27:$G$225,4,FALSE)</f>
        <v>Rashodi za materijal</v>
      </c>
      <c r="C129" s="524"/>
      <c r="D129" s="524"/>
      <c r="E129" s="524"/>
      <c r="F129" s="524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7.6307596152645069E-3</v>
      </c>
    </row>
    <row r="130" spans="1:20">
      <c r="A130" s="137" t="str">
        <f t="shared" si="17"/>
        <v>414p</v>
      </c>
      <c r="B130" s="523" t="str">
        <f>+VLOOKUP(LEFT($A130,LEN(A130)-1)*1,Master!$D$27:$G$225,4,FALSE)</f>
        <v>Rashodi za usluge</v>
      </c>
      <c r="C130" s="524"/>
      <c r="D130" s="524"/>
      <c r="E130" s="524"/>
      <c r="F130" s="524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5059087.2374999989</v>
      </c>
      <c r="N130" s="91">
        <f>+SUM(DataEx!FM286)</f>
        <v>5071091.2374999989</v>
      </c>
      <c r="O130" s="91">
        <f>+SUM(DataEx!FN286)</f>
        <v>5175886.7374999989</v>
      </c>
      <c r="P130" s="91">
        <f>+SUM(DataEx!FO286)</f>
        <v>5062253.3274999987</v>
      </c>
      <c r="Q130" s="91">
        <f>+SUM(DataEx!FP286)</f>
        <v>5061881.6574999988</v>
      </c>
      <c r="R130" s="91">
        <f>+SUM(DataEx!FQ286)</f>
        <v>5000451.0074999994</v>
      </c>
      <c r="S130" s="125">
        <f t="shared" si="20"/>
        <v>63127045.969999991</v>
      </c>
      <c r="T130" s="126">
        <f t="shared" si="21"/>
        <v>1.3142432488081109E-2</v>
      </c>
    </row>
    <row r="131" spans="1:20">
      <c r="A131" s="137" t="str">
        <f t="shared" si="17"/>
        <v>415p</v>
      </c>
      <c r="B131" s="523" t="str">
        <f>+VLOOKUP(LEFT($A131,LEN(A131)-1)*1,Master!$D$27:$G$225,4,FALSE)</f>
        <v>Rashodi za tekuće održavanje</v>
      </c>
      <c r="C131" s="524"/>
      <c r="D131" s="524"/>
      <c r="E131" s="524"/>
      <c r="F131" s="524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4.8129210334561662E-3</v>
      </c>
    </row>
    <row r="132" spans="1:20">
      <c r="A132" s="137" t="str">
        <f t="shared" si="17"/>
        <v>416p</v>
      </c>
      <c r="B132" s="523" t="str">
        <f>+VLOOKUP(LEFT($A132,LEN(A132)-1)*1,Master!$D$27:$G$225,4,FALSE)</f>
        <v>Kamate</v>
      </c>
      <c r="C132" s="524"/>
      <c r="D132" s="524"/>
      <c r="E132" s="524"/>
      <c r="F132" s="524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1.9934774009535108E-2</v>
      </c>
    </row>
    <row r="133" spans="1:20">
      <c r="A133" s="137" t="str">
        <f t="shared" si="17"/>
        <v>417p</v>
      </c>
      <c r="B133" s="523" t="str">
        <f>+VLOOKUP(LEFT($A133,LEN(A133)-1)*1,Master!$D$27:$G$225,4,FALSE)</f>
        <v>Renta</v>
      </c>
      <c r="C133" s="524"/>
      <c r="D133" s="524"/>
      <c r="E133" s="524"/>
      <c r="F133" s="524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2.0446571648658212E-3</v>
      </c>
    </row>
    <row r="134" spans="1:20">
      <c r="A134" s="137" t="str">
        <f t="shared" si="17"/>
        <v>418p</v>
      </c>
      <c r="B134" s="523" t="str">
        <f>+VLOOKUP(LEFT($A134,LEN(A134)-1)*1,Master!$D$27:$G$225,4,FALSE)</f>
        <v>Subvencije</v>
      </c>
      <c r="C134" s="524"/>
      <c r="D134" s="524"/>
      <c r="E134" s="524"/>
      <c r="F134" s="524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6.4152978160847739E-3</v>
      </c>
    </row>
    <row r="135" spans="1:20">
      <c r="A135" s="137" t="str">
        <f t="shared" si="17"/>
        <v>419p</v>
      </c>
      <c r="B135" s="523" t="str">
        <f>+VLOOKUP(LEFT($A135,LEN(A135)-1)*1,Master!$D$27:$G$225,4,FALSE)</f>
        <v>Ostali izdaci</v>
      </c>
      <c r="C135" s="524"/>
      <c r="D135" s="524"/>
      <c r="E135" s="524"/>
      <c r="F135" s="524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4122049.5508333351</v>
      </c>
      <c r="N135" s="91">
        <f>+SUM(DataEx!FM311)</f>
        <v>3027649.6708333334</v>
      </c>
      <c r="O135" s="91">
        <f>+SUM(DataEx!FN311)</f>
        <v>2986649.6408333336</v>
      </c>
      <c r="P135" s="91">
        <f>+SUM(DataEx!FO311)</f>
        <v>2977759.6208333336</v>
      </c>
      <c r="Q135" s="91">
        <f>+SUM(DataEx!FP311)</f>
        <v>3014504.6508333334</v>
      </c>
      <c r="R135" s="91">
        <f>+SUM(DataEx!FQ311)</f>
        <v>2914612.7408333337</v>
      </c>
      <c r="S135" s="125">
        <f t="shared" si="20"/>
        <v>41196323.400000006</v>
      </c>
      <c r="T135" s="126">
        <f t="shared" si="21"/>
        <v>8.5766709137468002E-3</v>
      </c>
    </row>
    <row r="136" spans="1:20">
      <c r="A136" s="137" t="str">
        <f t="shared" si="17"/>
        <v>440p</v>
      </c>
      <c r="B136" s="523" t="str">
        <f>+VLOOKUP(LEFT($A136,LEN(A136)-1)*1,Master!$D$27:$G$225,4,FALSE)</f>
        <v>Kapitalni izdaci u tekućem budžetu</v>
      </c>
      <c r="C136" s="524"/>
      <c r="D136" s="524"/>
      <c r="E136" s="524"/>
      <c r="F136" s="524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5014205.3275000015</v>
      </c>
      <c r="N136" s="91">
        <f>+SUM(DataEx!FM369)</f>
        <v>4967667.1475000018</v>
      </c>
      <c r="O136" s="91">
        <f>+SUM(DataEx!FN369)</f>
        <v>4972709.1475000018</v>
      </c>
      <c r="P136" s="91">
        <f>+SUM(DataEx!FO369)</f>
        <v>4947709.1475000018</v>
      </c>
      <c r="Q136" s="91">
        <f>+SUM(DataEx!FP369)</f>
        <v>4786209.1475000018</v>
      </c>
      <c r="R136" s="91">
        <f>+SUM(DataEx!FQ369)</f>
        <v>4798442.6775000012</v>
      </c>
      <c r="S136" s="125">
        <f t="shared" si="20"/>
        <v>59057059.620000012</v>
      </c>
      <c r="T136" s="126">
        <f t="shared" si="21"/>
        <v>1.2295101205421275E-2</v>
      </c>
    </row>
    <row r="137" spans="1:20">
      <c r="A137" s="137" t="str">
        <f t="shared" si="17"/>
        <v>42p</v>
      </c>
      <c r="B137" s="519" t="str">
        <f>+VLOOKUP(LEFT($A137,LEN(A137)-1)*1,Master!$D$27:$G$225,4,FALSE)</f>
        <v>Transferi za socijalnu zaštitu</v>
      </c>
      <c r="C137" s="520"/>
      <c r="D137" s="520"/>
      <c r="E137" s="520"/>
      <c r="F137" s="520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47329512.010000005</v>
      </c>
      <c r="Q137" s="87">
        <f t="shared" si="26"/>
        <v>47329512.010000005</v>
      </c>
      <c r="R137" s="87">
        <f t="shared" si="26"/>
        <v>47329512.010000005</v>
      </c>
      <c r="S137" s="127">
        <f t="shared" si="20"/>
        <v>557842584.41999996</v>
      </c>
      <c r="T137" s="128">
        <f t="shared" si="21"/>
        <v>0.1161373606520517</v>
      </c>
    </row>
    <row r="138" spans="1:20">
      <c r="A138" s="137" t="str">
        <f t="shared" si="17"/>
        <v>421p</v>
      </c>
      <c r="B138" s="523" t="str">
        <f>+VLOOKUP(LEFT($A138,LEN(A138)-1)*1,Master!$D$27:$G$225,4,FALSE)</f>
        <v>Prava iz oblasti socijalne zaštite</v>
      </c>
      <c r="C138" s="524"/>
      <c r="D138" s="524"/>
      <c r="E138" s="524"/>
      <c r="F138" s="524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1.6861324506068746E-2</v>
      </c>
    </row>
    <row r="139" spans="1:20">
      <c r="A139" s="137" t="str">
        <f t="shared" si="17"/>
        <v>422p</v>
      </c>
      <c r="B139" s="523" t="str">
        <f>+VLOOKUP(LEFT($A139,LEN(A139)-1)*1,Master!$D$27:$G$225,4,FALSE)</f>
        <v>Sredstva za tehnološke viškove</v>
      </c>
      <c r="C139" s="524"/>
      <c r="D139" s="524"/>
      <c r="E139" s="524"/>
      <c r="F139" s="524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2359394.0699999998</v>
      </c>
      <c r="Q139" s="91">
        <f>SUM(DataEx!FP330)</f>
        <v>2359394.0699999998</v>
      </c>
      <c r="R139" s="91">
        <f>SUM(DataEx!FQ330)</f>
        <v>2359394.0699999998</v>
      </c>
      <c r="S139" s="125">
        <f t="shared" si="20"/>
        <v>18202468.969999999</v>
      </c>
      <c r="T139" s="126">
        <f t="shared" si="21"/>
        <v>3.7895757021214581E-3</v>
      </c>
    </row>
    <row r="140" spans="1:20">
      <c r="A140" s="137" t="str">
        <f t="shared" si="17"/>
        <v>423p</v>
      </c>
      <c r="B140" s="523" t="str">
        <f>+VLOOKUP(LEFT($A140,LEN(A140)-1)*1,Master!$D$27:$G$225,4,FALSE)</f>
        <v>Prava iz oblasti penzijskog i invalidskog osiguranja</v>
      </c>
      <c r="C140" s="524"/>
      <c r="D140" s="524"/>
      <c r="E140" s="524"/>
      <c r="F140" s="524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8.9318804665542428E-2</v>
      </c>
    </row>
    <row r="141" spans="1:20">
      <c r="A141" s="137" t="str">
        <f t="shared" si="17"/>
        <v>424p</v>
      </c>
      <c r="B141" s="523" t="str">
        <f>+VLOOKUP(LEFT($A141,LEN(A141)-1)*1,Master!$D$27:$G$225,4,FALSE)</f>
        <v>Ostala prava iz oblasti zdravstvene zaštite</v>
      </c>
      <c r="C141" s="524"/>
      <c r="D141" s="524"/>
      <c r="E141" s="524"/>
      <c r="F141" s="524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3.9556346678325319E-3</v>
      </c>
    </row>
    <row r="142" spans="1:20">
      <c r="A142" s="137" t="str">
        <f t="shared" si="17"/>
        <v>425p</v>
      </c>
      <c r="B142" s="523" t="str">
        <f>+VLOOKUP(LEFT($A142,LEN(A142)-1)*1,Master!$D$27:$G$225,4,FALSE)</f>
        <v>Ostala prava iz zdravstvenog osiguranja</v>
      </c>
      <c r="C142" s="524"/>
      <c r="D142" s="524"/>
      <c r="E142" s="524"/>
      <c r="F142" s="524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2.2120211104865407E-3</v>
      </c>
    </row>
    <row r="143" spans="1:20">
      <c r="A143" s="137" t="str">
        <f t="shared" si="17"/>
        <v>43p</v>
      </c>
      <c r="B143" s="525" t="str">
        <f>+VLOOKUP(LEFT($A143,LEN(A143)-1)*1,Master!$D$27:$G$225,4,FALSE)</f>
        <v xml:space="preserve">Transferi institucijama, pojedincima, nevladinom i javnom sektoru </v>
      </c>
      <c r="C143" s="526"/>
      <c r="D143" s="526"/>
      <c r="E143" s="526"/>
      <c r="F143" s="526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22848909.595000003</v>
      </c>
      <c r="N143" s="85">
        <f>SUM(DataEx!FM350)</f>
        <v>17972208.524999999</v>
      </c>
      <c r="O143" s="85">
        <f>SUM(DataEx!FN350)</f>
        <v>17992208.524999999</v>
      </c>
      <c r="P143" s="85">
        <f>SUM(DataEx!FO350)</f>
        <v>17923875.184999999</v>
      </c>
      <c r="Q143" s="85">
        <f>SUM(DataEx!FP350)</f>
        <v>17866375.204999998</v>
      </c>
      <c r="R143" s="85">
        <f>SUM(DataEx!FQ350)</f>
        <v>18024758.024999999</v>
      </c>
      <c r="S143" s="127">
        <f>+SUM(G143:R143)</f>
        <v>220947786.96000001</v>
      </c>
      <c r="T143" s="128">
        <f t="shared" si="21"/>
        <v>4.5999164524389485E-2</v>
      </c>
    </row>
    <row r="144" spans="1:20">
      <c r="A144" s="137" t="str">
        <f t="shared" si="17"/>
        <v>44p</v>
      </c>
      <c r="B144" s="525" t="str">
        <f>+VLOOKUP(LEFT($A144,LEN(A144)-1)*1,Master!$D$27:$G$225,4,FALSE)</f>
        <v>Kapitalni budžet</v>
      </c>
      <c r="C144" s="526"/>
      <c r="D144" s="526"/>
      <c r="E144" s="526"/>
      <c r="F144" s="526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14243749.989999998</v>
      </c>
      <c r="R144" s="85">
        <f>SUM(DataEx!FQ368)</f>
        <v>14243750.109999999</v>
      </c>
      <c r="S144" s="127">
        <f t="shared" si="20"/>
        <v>295925000</v>
      </c>
      <c r="T144" s="128">
        <f t="shared" si="21"/>
        <v>6.1608685695251179E-2</v>
      </c>
    </row>
    <row r="145" spans="1:20">
      <c r="A145" s="137" t="str">
        <f t="shared" si="17"/>
        <v>451p</v>
      </c>
      <c r="B145" s="507" t="str">
        <f>+VLOOKUP(LEFT($A145,LEN(A145)-1)*1,Master!$D$27:$G$225,4,FALSE)</f>
        <v>Pozajmice i krediti</v>
      </c>
      <c r="C145" s="508"/>
      <c r="D145" s="508"/>
      <c r="E145" s="508"/>
      <c r="F145" s="508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4.7467387004767545E-4</v>
      </c>
    </row>
    <row r="146" spans="1:20">
      <c r="A146" s="137" t="str">
        <f t="shared" si="17"/>
        <v>47p</v>
      </c>
      <c r="B146" s="507" t="str">
        <f>+VLOOKUP(LEFT($A146,LEN(A146)-1)*1,Master!$D$27:$G$225,4,FALSE)</f>
        <v>Rezerve</v>
      </c>
      <c r="C146" s="508"/>
      <c r="D146" s="508"/>
      <c r="E146" s="508"/>
      <c r="F146" s="508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4650583.3333333302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2317250</v>
      </c>
      <c r="Q146" s="91">
        <f>SUM(DataEx!FP394)</f>
        <v>2317250</v>
      </c>
      <c r="R146" s="91">
        <f>SUM(DataEx!FQ394)</f>
        <v>2317250</v>
      </c>
      <c r="S146" s="125">
        <f t="shared" si="20"/>
        <v>24999999.999999996</v>
      </c>
      <c r="T146" s="126">
        <f t="shared" si="21"/>
        <v>5.2047550642266771E-3</v>
      </c>
    </row>
    <row r="147" spans="1:20">
      <c r="A147" s="137" t="str">
        <f t="shared" si="17"/>
        <v>462p</v>
      </c>
      <c r="B147" s="507" t="str">
        <f>+VLOOKUP(LEFT($A147,LEN(A147)-1)*1,Master!$D$27:$G$225,4,FALSE)</f>
        <v>Otplata garancija</v>
      </c>
      <c r="C147" s="508"/>
      <c r="D147" s="508"/>
      <c r="E147" s="508"/>
      <c r="F147" s="508"/>
      <c r="G147" s="91">
        <f>SUM(DataEx!FF390)</f>
        <v>2253720.0299999998</v>
      </c>
      <c r="H147" s="91">
        <f>SUM(DataEx!FG390)</f>
        <v>0</v>
      </c>
      <c r="I147" s="91">
        <f>SUM(DataEx!FH390)</f>
        <v>7180952.3800000008</v>
      </c>
      <c r="J147" s="91">
        <f>SUM(DataEx!FI390)</f>
        <v>0</v>
      </c>
      <c r="K147" s="91">
        <f>SUM(DataEx!FJ390)</f>
        <v>0</v>
      </c>
      <c r="L147" s="91">
        <f>SUM(DataEx!FK390)</f>
        <v>0</v>
      </c>
      <c r="M147" s="91">
        <f>SUM(DataEx!FL390)</f>
        <v>0</v>
      </c>
      <c r="N147" s="91">
        <f>SUM(DataEx!FM390)</f>
        <v>0</v>
      </c>
      <c r="O147" s="91">
        <f>SUM(DataEx!FN390)</f>
        <v>0</v>
      </c>
      <c r="P147" s="91">
        <f>SUM(DataEx!FO390)</f>
        <v>0</v>
      </c>
      <c r="Q147" s="91">
        <f>SUM(DataEx!FP390)</f>
        <v>0</v>
      </c>
      <c r="R147" s="91">
        <f>SUM(DataEx!FQ390)</f>
        <v>0</v>
      </c>
      <c r="S147" s="125">
        <f t="shared" si="20"/>
        <v>9434672.4100000001</v>
      </c>
      <c r="T147" s="126">
        <f t="shared" si="21"/>
        <v>1.9642063602106886E-3</v>
      </c>
    </row>
    <row r="148" spans="1:20">
      <c r="A148" s="138" t="str">
        <f>+CONCATENATE(A53,"p")</f>
        <v>4630p</v>
      </c>
      <c r="B148" s="507" t="str">
        <f>+VLOOKUP(LEFT($A148,LEN(A148)-1)*1,Master!$D$27:$G$225,4,FALSE)</f>
        <v>Otplata obaveza iz prethodnih godina</v>
      </c>
      <c r="C148" s="508"/>
      <c r="D148" s="508"/>
      <c r="E148" s="508"/>
      <c r="F148" s="508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1533053.84</v>
      </c>
      <c r="S148" s="107">
        <f>+SUM(G148:R148)</f>
        <v>18529999</v>
      </c>
      <c r="T148" s="108">
        <f>+S148/$T$7</f>
        <v>3.8577642454146106E-3</v>
      </c>
    </row>
    <row r="149" spans="1:20" ht="13.5" thickBot="1">
      <c r="A149" s="137"/>
      <c r="B149" s="521" t="s">
        <v>695</v>
      </c>
      <c r="C149" s="522"/>
      <c r="D149" s="522"/>
      <c r="E149" s="522"/>
      <c r="F149" s="522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15" t="str">
        <f>+VLOOKUP(LEFT($A150,LEN(A150)-1)*1,Master!$D$27:$G$225,4,FALSE)</f>
        <v>Suficit / deficit</v>
      </c>
      <c r="C150" s="516"/>
      <c r="D150" s="516"/>
      <c r="E150" s="516"/>
      <c r="F150" s="516"/>
      <c r="G150" s="97">
        <f t="shared" ref="G150:R150" si="27">+G105-G124</f>
        <v>-62417951.607499987</v>
      </c>
      <c r="H150" s="97">
        <f t="shared" si="27"/>
        <v>-46574191.55749999</v>
      </c>
      <c r="I150" s="97">
        <f t="shared" si="27"/>
        <v>-48206287.017500013</v>
      </c>
      <c r="J150" s="97">
        <f t="shared" si="27"/>
        <v>-7552535.5874999762</v>
      </c>
      <c r="K150" s="97">
        <f t="shared" si="27"/>
        <v>-23536603.497500032</v>
      </c>
      <c r="L150" s="97">
        <f t="shared" si="27"/>
        <v>-15244934.667500019</v>
      </c>
      <c r="M150" s="97">
        <f t="shared" si="27"/>
        <v>-9956542.8029392064</v>
      </c>
      <c r="N150" s="97">
        <f t="shared" si="27"/>
        <v>7106786.3305667937</v>
      </c>
      <c r="O150" s="97">
        <f t="shared" si="27"/>
        <v>-9808009.6425497532</v>
      </c>
      <c r="P150" s="97">
        <f t="shared" si="27"/>
        <v>29894513.576703846</v>
      </c>
      <c r="Q150" s="97">
        <f t="shared" si="27"/>
        <v>-3563061.4788611233</v>
      </c>
      <c r="R150" s="97">
        <f t="shared" si="27"/>
        <v>47260753.315640002</v>
      </c>
      <c r="S150" s="113">
        <f t="shared" si="20"/>
        <v>-142598064.63643947</v>
      </c>
      <c r="T150" s="114">
        <f t="shared" si="21"/>
        <v>-2.9687519962617256E-2</v>
      </c>
    </row>
    <row r="151" spans="1:20" ht="13.5" thickBot="1">
      <c r="A151" s="138" t="str">
        <f>+CONCATENATE(A56,"p")</f>
        <v>1001p</v>
      </c>
      <c r="B151" s="517" t="str">
        <f>+VLOOKUP(LEFT($A151,LEN(A151)-1)*1,Master!$D$27:$G$225,4,FALSE)</f>
        <v>Primarni bilans</v>
      </c>
      <c r="C151" s="518"/>
      <c r="D151" s="518"/>
      <c r="E151" s="518"/>
      <c r="F151" s="518"/>
      <c r="G151" s="98">
        <f t="shared" ref="G151:R151" si="28">+G150+G132</f>
        <v>-54437226.607499987</v>
      </c>
      <c r="H151" s="98">
        <f t="shared" si="28"/>
        <v>-45587471.597499989</v>
      </c>
      <c r="I151" s="98">
        <f t="shared" si="28"/>
        <v>-20104787.917500012</v>
      </c>
      <c r="J151" s="98">
        <f t="shared" si="28"/>
        <v>10947196.512500025</v>
      </c>
      <c r="K151" s="98">
        <f t="shared" si="28"/>
        <v>-9490767.2275000308</v>
      </c>
      <c r="L151" s="98">
        <f t="shared" si="28"/>
        <v>-13271132.007500019</v>
      </c>
      <c r="M151" s="98">
        <f t="shared" si="28"/>
        <v>-1192067.0129392073</v>
      </c>
      <c r="N151" s="98">
        <f t="shared" si="28"/>
        <v>8403992.4705667943</v>
      </c>
      <c r="O151" s="98">
        <f t="shared" si="28"/>
        <v>-6667683.8425497524</v>
      </c>
      <c r="P151" s="98">
        <f t="shared" si="28"/>
        <v>31215805.656703848</v>
      </c>
      <c r="Q151" s="98">
        <f t="shared" si="28"/>
        <v>4240675.8511388777</v>
      </c>
      <c r="R151" s="98">
        <f t="shared" si="28"/>
        <v>49098101.085640006</v>
      </c>
      <c r="S151" s="113">
        <f t="shared" si="20"/>
        <v>-46845364.63643948</v>
      </c>
      <c r="T151" s="114">
        <f t="shared" si="21"/>
        <v>-9.7527459530821481E-3</v>
      </c>
    </row>
    <row r="152" spans="1:20">
      <c r="A152" s="138" t="str">
        <f>+CONCATENATE(A57,"p")</f>
        <v>46p</v>
      </c>
      <c r="B152" s="519" t="str">
        <f>+VLOOKUP(LEFT($A152,LEN(A152)-1)*1,Master!$D$27:$G$225,4,FALSE)</f>
        <v>Otplata dugova</v>
      </c>
      <c r="C152" s="520"/>
      <c r="D152" s="520"/>
      <c r="E152" s="520"/>
      <c r="F152" s="520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7.777985967980347E-2</v>
      </c>
    </row>
    <row r="153" spans="1:20">
      <c r="A153" s="138" t="str">
        <f>+CONCATENATE(A58,"p")</f>
        <v>4611p</v>
      </c>
      <c r="B153" s="509" t="str">
        <f>+VLOOKUP(LEFT($A153,LEN(A153)-1)*1,Master!$D$27:$G$225,4,FALSE)</f>
        <v>Otplata hartija od vrijednosti i kredita rezidentima</v>
      </c>
      <c r="C153" s="510"/>
      <c r="D153" s="510"/>
      <c r="E153" s="510"/>
      <c r="F153" s="510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9.1811879416234671E-3</v>
      </c>
    </row>
    <row r="154" spans="1:20" ht="13.5" thickBot="1">
      <c r="A154" s="138" t="str">
        <f>+CONCATENATE(A59,"p")</f>
        <v>4612p</v>
      </c>
      <c r="B154" s="507" t="str">
        <f>+VLOOKUP(LEFT($A154,LEN(A154)-1)*1,Master!$D$27:$G$225,4,FALSE)</f>
        <v>Otplata hartija od vrijednosti i kredita nerezidentima</v>
      </c>
      <c r="C154" s="508"/>
      <c r="D154" s="508"/>
      <c r="E154" s="508"/>
      <c r="F154" s="508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6.8598671738180003E-2</v>
      </c>
    </row>
    <row r="155" spans="1:20" ht="13.5" thickBot="1">
      <c r="A155" s="138"/>
      <c r="B155" s="493" t="s">
        <v>790</v>
      </c>
      <c r="C155" s="494"/>
      <c r="D155" s="494"/>
      <c r="E155" s="494"/>
      <c r="F155" s="494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8.3734099473278811E-3</v>
      </c>
    </row>
    <row r="156" spans="1:20" ht="13.5" thickBot="1">
      <c r="A156" s="138" t="str">
        <f t="shared" ref="A156:A161" si="30">+CONCATENATE(A61,"p")</f>
        <v>1002p</v>
      </c>
      <c r="B156" s="511" t="str">
        <f>+VLOOKUP(LEFT($A156,LEN(A156)-1)*1,Master!$D$27:$G$225,4,FALSE)</f>
        <v>Nedostajuća sredstva</v>
      </c>
      <c r="C156" s="512"/>
      <c r="D156" s="512"/>
      <c r="E156" s="512"/>
      <c r="F156" s="512"/>
      <c r="G156" s="79">
        <f t="shared" ref="G156:R156" si="31">+G150-G152-G155</f>
        <v>-64162981.937499985</v>
      </c>
      <c r="H156" s="79">
        <f t="shared" si="31"/>
        <v>-49963551.177499995</v>
      </c>
      <c r="I156" s="79">
        <f t="shared" si="31"/>
        <v>-65853879.377500013</v>
      </c>
      <c r="J156" s="79">
        <f t="shared" si="31"/>
        <v>-68696397.547499985</v>
      </c>
      <c r="K156" s="79">
        <f t="shared" si="31"/>
        <v>-205052828.04750001</v>
      </c>
      <c r="L156" s="79">
        <f t="shared" si="31"/>
        <v>-32116387.137500022</v>
      </c>
      <c r="M156" s="79">
        <f t="shared" si="31"/>
        <v>-71704253.742939219</v>
      </c>
      <c r="N156" s="79">
        <f t="shared" si="31"/>
        <v>-6674621.4294332061</v>
      </c>
      <c r="O156" s="79">
        <f t="shared" si="31"/>
        <v>-27665993.622549754</v>
      </c>
      <c r="P156" s="79">
        <f t="shared" si="31"/>
        <v>23716690.676703844</v>
      </c>
      <c r="Q156" s="79">
        <f t="shared" si="31"/>
        <v>-13766234.018861122</v>
      </c>
      <c r="R156" s="79">
        <f t="shared" si="31"/>
        <v>25522372.725640003</v>
      </c>
      <c r="S156" s="117">
        <f t="shared" si="20"/>
        <v>-556418064.63643956</v>
      </c>
      <c r="T156" s="118">
        <f t="shared" si="21"/>
        <v>-0.11584078958974862</v>
      </c>
    </row>
    <row r="157" spans="1:20" ht="13.5" thickBot="1">
      <c r="A157" s="138" t="str">
        <f t="shared" si="30"/>
        <v>1003p</v>
      </c>
      <c r="B157" s="513" t="str">
        <f>+VLOOKUP(LEFT($A157,LEN(A157)-1)*1,Master!$D$27:$G$225,4,FALSE)</f>
        <v>Finansiranje</v>
      </c>
      <c r="C157" s="514"/>
      <c r="D157" s="514"/>
      <c r="E157" s="514"/>
      <c r="F157" s="514"/>
      <c r="G157" s="97">
        <f t="shared" ref="G157:R157" si="32">+SUM(G158:G161)</f>
        <v>64162981.937499985</v>
      </c>
      <c r="H157" s="97">
        <f t="shared" si="32"/>
        <v>49963551.177499995</v>
      </c>
      <c r="I157" s="97">
        <f t="shared" si="32"/>
        <v>65853879.377500013</v>
      </c>
      <c r="J157" s="97">
        <f t="shared" si="32"/>
        <v>68696397.547499985</v>
      </c>
      <c r="K157" s="97">
        <f t="shared" si="32"/>
        <v>205052828.04750001</v>
      </c>
      <c r="L157" s="97">
        <f t="shared" si="32"/>
        <v>32116387.137500022</v>
      </c>
      <c r="M157" s="97">
        <f t="shared" si="32"/>
        <v>71704253.742939219</v>
      </c>
      <c r="N157" s="97">
        <f t="shared" si="32"/>
        <v>6674621.4294332061</v>
      </c>
      <c r="O157" s="97">
        <f t="shared" si="32"/>
        <v>27665993.622549754</v>
      </c>
      <c r="P157" s="97">
        <f t="shared" si="32"/>
        <v>-23716690.67670384</v>
      </c>
      <c r="Q157" s="97">
        <f t="shared" si="32"/>
        <v>13766234.018861122</v>
      </c>
      <c r="R157" s="97">
        <f t="shared" si="32"/>
        <v>-25522372.725640006</v>
      </c>
      <c r="S157" s="119">
        <f t="shared" si="20"/>
        <v>556418064.63643956</v>
      </c>
      <c r="T157" s="120">
        <f t="shared" si="21"/>
        <v>0.11584078958974862</v>
      </c>
    </row>
    <row r="158" spans="1:20">
      <c r="A158" s="138" t="str">
        <f t="shared" si="30"/>
        <v>7511p</v>
      </c>
      <c r="B158" s="509" t="str">
        <f>+VLOOKUP(LEFT($A158,LEN(A158)-1)*1,Master!$D$27:$G$225,4,FALSE)</f>
        <v>Pozajmice i krediti od domaćih izvora</v>
      </c>
      <c r="C158" s="510"/>
      <c r="D158" s="510"/>
      <c r="E158" s="510"/>
      <c r="F158" s="510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3.9556138488122748E-2</v>
      </c>
    </row>
    <row r="159" spans="1:20">
      <c r="A159" s="138" t="str">
        <f t="shared" si="30"/>
        <v>7512p</v>
      </c>
      <c r="B159" s="507" t="str">
        <f>+VLOOKUP(LEFT($A159,LEN(A159)-1)*1,Master!$D$27:$G$225,4,FALSE)</f>
        <v>Pozajmice i krediti od inostranih izvora</v>
      </c>
      <c r="C159" s="508"/>
      <c r="D159" s="508"/>
      <c r="E159" s="508"/>
      <c r="F159" s="508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13983087.501553783</v>
      </c>
      <c r="S159" s="107">
        <f t="shared" si="20"/>
        <v>180405268.74155378</v>
      </c>
      <c r="T159" s="108">
        <f t="shared" si="21"/>
        <v>3.7558609443831069E-2</v>
      </c>
    </row>
    <row r="160" spans="1:20">
      <c r="A160" s="138" t="str">
        <f t="shared" si="30"/>
        <v>72p</v>
      </c>
      <c r="B160" s="507" t="str">
        <f>+VLOOKUP(LEFT($A160,LEN(A160)-1)*1,Master!$D$27:$G$225,4,FALSE)</f>
        <v>Primici od prodaje imovine</v>
      </c>
      <c r="C160" s="508"/>
      <c r="D160" s="508"/>
      <c r="E160" s="508"/>
      <c r="F160" s="508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1.2491412154144025E-3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39640138.087499984</v>
      </c>
      <c r="H161" s="101">
        <f t="shared" si="33"/>
        <v>49463551.177499995</v>
      </c>
      <c r="I161" s="101">
        <f t="shared" si="33"/>
        <v>-42045458.012499988</v>
      </c>
      <c r="J161" s="101">
        <f t="shared" si="33"/>
        <v>53196397.547499985</v>
      </c>
      <c r="K161" s="101">
        <f t="shared" si="33"/>
        <v>92552828.047500014</v>
      </c>
      <c r="L161" s="101">
        <f t="shared" si="33"/>
        <v>14616387.137500022</v>
      </c>
      <c r="M161" s="101">
        <f t="shared" si="33"/>
        <v>54204253.742939219</v>
      </c>
      <c r="N161" s="101">
        <f t="shared" si="33"/>
        <v>-8825378.5705667939</v>
      </c>
      <c r="O161" s="101">
        <f t="shared" si="33"/>
        <v>10165993.622549754</v>
      </c>
      <c r="P161" s="101">
        <f t="shared" si="33"/>
        <v>-41216690.67670384</v>
      </c>
      <c r="Q161" s="101">
        <f t="shared" si="33"/>
        <v>-1733765.9811388776</v>
      </c>
      <c r="R161" s="101">
        <f t="shared" si="33"/>
        <v>-40005460.227193788</v>
      </c>
      <c r="S161" s="111">
        <f t="shared" si="20"/>
        <v>180012795.89488566</v>
      </c>
      <c r="T161" s="112">
        <f t="shared" si="21"/>
        <v>3.7476900442380376E-2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11" activePane="bottomLeft" state="frozen"/>
      <selection pane="bottomLeft" activeCell="A32" sqref="A3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755</v>
      </c>
      <c r="H6" s="259" t="s">
        <v>756</v>
      </c>
      <c r="I6" s="259" t="s">
        <v>757</v>
      </c>
      <c r="J6" s="259" t="s">
        <v>758</v>
      </c>
      <c r="K6" s="259" t="s">
        <v>759</v>
      </c>
      <c r="L6" s="259" t="s">
        <v>760</v>
      </c>
      <c r="M6" s="259" t="s">
        <v>761</v>
      </c>
      <c r="N6" s="259" t="s">
        <v>762</v>
      </c>
      <c r="O6" s="259" t="s">
        <v>763</v>
      </c>
      <c r="P6" s="259" t="s">
        <v>764</v>
      </c>
      <c r="Q6" s="259" t="s">
        <v>765</v>
      </c>
      <c r="R6" s="259" t="s">
        <v>766</v>
      </c>
      <c r="S6" s="258"/>
      <c r="T6" s="258"/>
    </row>
    <row r="7" spans="1:20" ht="15" customHeight="1" thickBot="1">
      <c r="A7" s="169"/>
      <c r="B7" s="562" t="str">
        <f>+Master!G251</f>
        <v>Ostvarenje budžeta</v>
      </c>
      <c r="C7" s="460"/>
      <c r="D7" s="460"/>
      <c r="E7" s="460"/>
      <c r="F7" s="460"/>
      <c r="G7" s="468">
        <v>2018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0" t="str">
        <f>+Master!G248</f>
        <v>BDP</v>
      </c>
      <c r="T7" s="261">
        <v>4619100000</v>
      </c>
    </row>
    <row r="8" spans="1:20" ht="16.5" customHeight="1">
      <c r="A8" s="169"/>
      <c r="B8" s="461"/>
      <c r="C8" s="462"/>
      <c r="D8" s="462"/>
      <c r="E8" s="462"/>
      <c r="F8" s="463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8" t="str">
        <f>+Master!G245</f>
        <v>Jan - Avg</v>
      </c>
      <c r="T8" s="472"/>
    </row>
    <row r="9" spans="1:20" ht="13.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1" t="str">
        <f>+VLOOKUP($A10,Master!$D$27:$G$225,4,FALSE)</f>
        <v>Prihodi budžeta</v>
      </c>
      <c r="C10" s="502"/>
      <c r="D10" s="502"/>
      <c r="E10" s="502"/>
      <c r="F10" s="502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184473608.03</v>
      </c>
      <c r="S10" s="264">
        <f>+SUM(G10:R10)</f>
        <v>1746141901.48</v>
      </c>
      <c r="T10" s="265">
        <f>+S10/$T$7</f>
        <v>0.37802643404126346</v>
      </c>
    </row>
    <row r="11" spans="1:20">
      <c r="A11" s="175">
        <v>711</v>
      </c>
      <c r="B11" s="503" t="str">
        <f>+VLOOKUP($A11,Master!$D$27:$G$225,4,FALSE)</f>
        <v>Porezi</v>
      </c>
      <c r="C11" s="504"/>
      <c r="D11" s="504"/>
      <c r="E11" s="504"/>
      <c r="F11" s="504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0.23141893470589509</v>
      </c>
    </row>
    <row r="12" spans="1:20">
      <c r="A12" s="175">
        <v>7111</v>
      </c>
      <c r="B12" s="489" t="str">
        <f>+VLOOKUP($A12,Master!$D$27:$G$225,4,FALSE)</f>
        <v>Porez na dohodak fizičkih lica</v>
      </c>
      <c r="C12" s="490"/>
      <c r="D12" s="490"/>
      <c r="E12" s="490"/>
      <c r="F12" s="490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2.7039549275832957E-2</v>
      </c>
    </row>
    <row r="13" spans="1:20">
      <c r="A13" s="175">
        <v>7112</v>
      </c>
      <c r="B13" s="489" t="str">
        <f>+VLOOKUP($A13,Master!$D$27:$G$225,4,FALSE)</f>
        <v>Porez na dobit pravnih lica</v>
      </c>
      <c r="C13" s="490"/>
      <c r="D13" s="490"/>
      <c r="E13" s="490"/>
      <c r="F13" s="490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1.4758822807473315E-2</v>
      </c>
    </row>
    <row r="14" spans="1:20">
      <c r="A14" s="175">
        <v>7113</v>
      </c>
      <c r="B14" s="489" t="str">
        <f>+VLOOKUP($A14,Master!$D$27:$G$225,4,FALSE)</f>
        <v>Porez na promet nepokretnosti</v>
      </c>
      <c r="C14" s="490"/>
      <c r="D14" s="490"/>
      <c r="E14" s="490"/>
      <c r="F14" s="490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3.9750049143772598E-4</v>
      </c>
    </row>
    <row r="15" spans="1:20">
      <c r="A15" s="175">
        <v>7114</v>
      </c>
      <c r="B15" s="489" t="str">
        <f>+VLOOKUP($A15,Master!$D$27:$G$225,4,FALSE)</f>
        <v>Porez na dodatu vrijednost</v>
      </c>
      <c r="C15" s="490"/>
      <c r="D15" s="490"/>
      <c r="E15" s="490"/>
      <c r="F15" s="490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0.13355711695135417</v>
      </c>
    </row>
    <row r="16" spans="1:20">
      <c r="A16" s="175">
        <v>7115</v>
      </c>
      <c r="B16" s="489" t="str">
        <f>+VLOOKUP($A16,Master!$D$27:$G$225,4,FALSE)</f>
        <v>Akcize</v>
      </c>
      <c r="C16" s="490"/>
      <c r="D16" s="490"/>
      <c r="E16" s="490"/>
      <c r="F16" s="490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4.7883363514537466E-2</v>
      </c>
    </row>
    <row r="17" spans="1:25">
      <c r="A17" s="175">
        <v>7116</v>
      </c>
      <c r="B17" s="489" t="str">
        <f>+VLOOKUP($A17,Master!$D$27:$G$225,4,FALSE)</f>
        <v>Porez na međunarodnu trgovinu i transakcije</v>
      </c>
      <c r="C17" s="490"/>
      <c r="D17" s="490"/>
      <c r="E17" s="490"/>
      <c r="F17" s="490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5.766251432097161E-3</v>
      </c>
    </row>
    <row r="18" spans="1:25">
      <c r="A18" s="175">
        <v>7118</v>
      </c>
      <c r="B18" s="489" t="str">
        <f>+VLOOKUP($A18,Master!$D$27:$G$225,4,FALSE)</f>
        <v>Ostali državni porezi</v>
      </c>
      <c r="C18" s="490"/>
      <c r="D18" s="490"/>
      <c r="E18" s="490"/>
      <c r="F18" s="490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2.0163302331623039E-3</v>
      </c>
    </row>
    <row r="19" spans="1:25">
      <c r="A19" s="175">
        <v>712</v>
      </c>
      <c r="B19" s="499" t="str">
        <f>+VLOOKUP($A19,Master!$D$27:$G$225,4,FALSE)</f>
        <v>Doprinosi</v>
      </c>
      <c r="C19" s="500"/>
      <c r="D19" s="500"/>
      <c r="E19" s="500"/>
      <c r="F19" s="500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0.1135372939317183</v>
      </c>
    </row>
    <row r="20" spans="1:25">
      <c r="A20" s="175">
        <v>7121</v>
      </c>
      <c r="B20" s="489" t="str">
        <f>+VLOOKUP($A20,Master!$D$27:$G$225,4,FALSE)</f>
        <v>Doprinosi za penzijsko i invalidsko osiguranje</v>
      </c>
      <c r="C20" s="490"/>
      <c r="D20" s="490"/>
      <c r="E20" s="490"/>
      <c r="F20" s="490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6.8624398320019056E-2</v>
      </c>
    </row>
    <row r="21" spans="1:25">
      <c r="A21" s="175">
        <v>7122</v>
      </c>
      <c r="B21" s="489" t="str">
        <f>+VLOOKUP($A21,Master!$D$27:$G$225,4,FALSE)</f>
        <v>Doprinosi za zdravstveno osiguranje</v>
      </c>
      <c r="C21" s="490"/>
      <c r="D21" s="490"/>
      <c r="E21" s="490"/>
      <c r="F21" s="490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3.9411522883245655E-2</v>
      </c>
    </row>
    <row r="22" spans="1:25">
      <c r="A22" s="175">
        <v>7123</v>
      </c>
      <c r="B22" s="489" t="str">
        <f>+VLOOKUP($A22,Master!$D$27:$G$225,4,FALSE)</f>
        <v>Doprinosi za osiguranje od nezaposlenosti</v>
      </c>
      <c r="C22" s="490"/>
      <c r="D22" s="490"/>
      <c r="E22" s="490"/>
      <c r="F22" s="490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2.9422609101340089E-3</v>
      </c>
    </row>
    <row r="23" spans="1:25">
      <c r="A23" s="175">
        <v>7124</v>
      </c>
      <c r="B23" s="489" t="str">
        <f>+VLOOKUP($A23,Master!$D$27:$G$225,4,FALSE)</f>
        <v>Ostali doprinosi</v>
      </c>
      <c r="C23" s="490"/>
      <c r="D23" s="490"/>
      <c r="E23" s="490"/>
      <c r="F23" s="490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2.5591118183195863E-3</v>
      </c>
      <c r="Y23" s="379"/>
    </row>
    <row r="24" spans="1:25">
      <c r="A24" s="175">
        <v>713</v>
      </c>
      <c r="B24" s="491" t="str">
        <f>+VLOOKUP($A24,Master!$D$27:$G$225,4,FALSE)</f>
        <v>Takse</v>
      </c>
      <c r="C24" s="492"/>
      <c r="D24" s="492"/>
      <c r="E24" s="492"/>
      <c r="F24" s="492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3.6249469203957479E-3</v>
      </c>
      <c r="Y24" s="379"/>
    </row>
    <row r="25" spans="1:25">
      <c r="A25" s="175">
        <v>714</v>
      </c>
      <c r="B25" s="491" t="str">
        <f>+VLOOKUP($A25,Master!$D$27:$G$225,4,FALSE)</f>
        <v>Naknade</v>
      </c>
      <c r="C25" s="492"/>
      <c r="D25" s="492"/>
      <c r="E25" s="492"/>
      <c r="F25" s="492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5.7196291658548207E-3</v>
      </c>
      <c r="W25" s="366"/>
    </row>
    <row r="26" spans="1:25">
      <c r="A26" s="175">
        <v>715</v>
      </c>
      <c r="B26" s="491" t="str">
        <f>+VLOOKUP($A26,Master!$D$27:$G$225,4,FALSE)</f>
        <v>Ostali prihodi</v>
      </c>
      <c r="C26" s="492"/>
      <c r="D26" s="492"/>
      <c r="E26" s="492"/>
      <c r="F26" s="492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4014664.14</v>
      </c>
      <c r="S26" s="272">
        <f t="shared" si="3"/>
        <v>71114889.350000009</v>
      </c>
      <c r="T26" s="273">
        <f t="shared" si="4"/>
        <v>1.5395832380766817E-2</v>
      </c>
    </row>
    <row r="27" spans="1:25">
      <c r="A27" s="175">
        <v>73</v>
      </c>
      <c r="B27" s="491" t="str">
        <f>+VLOOKUP($A27,Master!$D$27:$G$225,4,FALSE)</f>
        <v>Primici od otplate kredita i sredstva prenesena iz prethodne godine</v>
      </c>
      <c r="C27" s="492"/>
      <c r="D27" s="492"/>
      <c r="E27" s="492"/>
      <c r="F27" s="492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2.4083399103721503E-3</v>
      </c>
    </row>
    <row r="28" spans="1:25" ht="13.5" thickBot="1">
      <c r="A28" s="175">
        <v>74</v>
      </c>
      <c r="B28" s="493" t="str">
        <f>+VLOOKUP($A28,Master!$D$27:$G$225,4,FALSE)</f>
        <v>Donacije i transferi</v>
      </c>
      <c r="C28" s="494"/>
      <c r="D28" s="494"/>
      <c r="E28" s="494"/>
      <c r="F28" s="494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5.9214570262605274E-3</v>
      </c>
    </row>
    <row r="29" spans="1:25" ht="13.5" thickBot="1">
      <c r="A29" s="175">
        <v>4</v>
      </c>
      <c r="B29" s="479" t="str">
        <f>+VLOOKUP($A29,Master!$D$27:$G$225,4,FALSE)</f>
        <v>Budžetski izdaci</v>
      </c>
      <c r="C29" s="480"/>
      <c r="D29" s="480"/>
      <c r="E29" s="480"/>
      <c r="F29" s="480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0.41254491928297715</v>
      </c>
    </row>
    <row r="30" spans="1:25" ht="13.5" thickBot="1">
      <c r="A30" s="175">
        <v>40</v>
      </c>
      <c r="B30" s="495" t="str">
        <f>+VLOOKUP($A30,Master!$D$27:$G$225,4,FALSE)</f>
        <v>Tekuća budžetska potrošnja</v>
      </c>
      <c r="C30" s="496"/>
      <c r="D30" s="496"/>
      <c r="E30" s="496"/>
      <c r="F30" s="496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31">
        <f t="shared" si="3"/>
        <v>1640886809.3599997</v>
      </c>
      <c r="T30" s="280">
        <f t="shared" si="4"/>
        <v>0.35523950755774925</v>
      </c>
    </row>
    <row r="31" spans="1:25">
      <c r="A31" s="175">
        <v>41</v>
      </c>
      <c r="B31" s="497" t="str">
        <f>+VLOOKUP($A31,Master!$D$27:$G$225,4,FALSE)</f>
        <v>Tekući izdaci</v>
      </c>
      <c r="C31" s="498"/>
      <c r="D31" s="498"/>
      <c r="E31" s="498"/>
      <c r="F31" s="498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32">
        <f t="shared" si="3"/>
        <v>836300421.38</v>
      </c>
      <c r="T31" s="268">
        <f t="shared" si="4"/>
        <v>0.18105267722716548</v>
      </c>
    </row>
    <row r="32" spans="1:25">
      <c r="A32" s="175">
        <v>411</v>
      </c>
      <c r="B32" s="489" t="str">
        <f>+VLOOKUP($A32,Master!$D$27:$G$225,4,FALSE)</f>
        <v>Bruto zarade i doprinosi na teret poslodavca</v>
      </c>
      <c r="C32" s="490"/>
      <c r="D32" s="490"/>
      <c r="E32" s="490"/>
      <c r="F32" s="490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9.9542385865211844E-2</v>
      </c>
    </row>
    <row r="33" spans="1:22">
      <c r="A33" s="175">
        <v>412</v>
      </c>
      <c r="B33" s="489" t="str">
        <f>+VLOOKUP($A33,Master!$D$27:$G$225,4,FALSE)</f>
        <v>Ostala lična primanja</v>
      </c>
      <c r="C33" s="490"/>
      <c r="D33" s="490"/>
      <c r="E33" s="490"/>
      <c r="F33" s="490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2.8605010088545387E-3</v>
      </c>
      <c r="U33" s="367"/>
    </row>
    <row r="34" spans="1:22">
      <c r="A34" s="175">
        <v>413</v>
      </c>
      <c r="B34" s="489" t="str">
        <f>+VLOOKUP($A34,Master!$D$27:$G$225,4,FALSE)</f>
        <v>Rashodi za materijal</v>
      </c>
      <c r="C34" s="490"/>
      <c r="D34" s="490"/>
      <c r="E34" s="490"/>
      <c r="F34" s="490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7.9671288562707023E-3</v>
      </c>
      <c r="U34" s="385"/>
      <c r="V34" s="365"/>
    </row>
    <row r="35" spans="1:22">
      <c r="A35" s="175">
        <v>414</v>
      </c>
      <c r="B35" s="489" t="str">
        <f>+VLOOKUP($A35,Master!$D$27:$G$225,4,FALSE)</f>
        <v>Rashodi za usluge</v>
      </c>
      <c r="C35" s="490"/>
      <c r="D35" s="490"/>
      <c r="E35" s="490"/>
      <c r="F35" s="490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1.6288451209109999E-2</v>
      </c>
    </row>
    <row r="36" spans="1:22">
      <c r="A36" s="175">
        <v>415</v>
      </c>
      <c r="B36" s="489" t="str">
        <f>+VLOOKUP($A36,Master!$D$27:$G$225,4,FALSE)</f>
        <v>Rashodi za tekuće održavanje</v>
      </c>
      <c r="C36" s="490"/>
      <c r="D36" s="490"/>
      <c r="E36" s="490"/>
      <c r="F36" s="490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4.5445627741334893E-3</v>
      </c>
    </row>
    <row r="37" spans="1:22">
      <c r="A37" s="175">
        <v>416</v>
      </c>
      <c r="B37" s="489" t="str">
        <f>+VLOOKUP($A37,Master!$D$27:$G$225,4,FALSE)</f>
        <v>Kamate</v>
      </c>
      <c r="C37" s="490"/>
      <c r="D37" s="490"/>
      <c r="E37" s="490"/>
      <c r="F37" s="490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1.9191315884046677E-2</v>
      </c>
    </row>
    <row r="38" spans="1:22">
      <c r="A38" s="175">
        <v>417</v>
      </c>
      <c r="B38" s="489" t="str">
        <f>+VLOOKUP($A38,Master!$D$27:$G$225,4,FALSE)</f>
        <v>Renta</v>
      </c>
      <c r="C38" s="490"/>
      <c r="D38" s="490"/>
      <c r="E38" s="490"/>
      <c r="F38" s="490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2.4072236950921171E-3</v>
      </c>
    </row>
    <row r="39" spans="1:22">
      <c r="A39" s="175">
        <v>418</v>
      </c>
      <c r="B39" s="489" t="str">
        <f>+VLOOKUP($A39,Master!$D$27:$G$225,4,FALSE)</f>
        <v>Subvencije</v>
      </c>
      <c r="C39" s="490"/>
      <c r="D39" s="490"/>
      <c r="E39" s="490"/>
      <c r="F39" s="490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6.6161990366088632E-3</v>
      </c>
    </row>
    <row r="40" spans="1:22">
      <c r="A40" s="175">
        <v>419</v>
      </c>
      <c r="B40" s="489" t="str">
        <f>+VLOOKUP($A40,Master!$D$27:$G$225,4,FALSE)</f>
        <v>Ostali izdaci</v>
      </c>
      <c r="C40" s="490"/>
      <c r="D40" s="490"/>
      <c r="E40" s="490"/>
      <c r="F40" s="490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9.4415786776644809E-3</v>
      </c>
    </row>
    <row r="41" spans="1:22">
      <c r="A41" s="175">
        <v>440</v>
      </c>
      <c r="B41" s="489" t="str">
        <f>+VLOOKUP($A41,Master!$D$27:$G$225,4,FALSE)</f>
        <v>Kapitalni izdaci u tekućem budžetu</v>
      </c>
      <c r="C41" s="490"/>
      <c r="D41" s="490"/>
      <c r="E41" s="490"/>
      <c r="F41" s="490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1.2193330220172762E-2</v>
      </c>
    </row>
    <row r="42" spans="1:22">
      <c r="A42" s="175">
        <v>42</v>
      </c>
      <c r="B42" s="485" t="str">
        <f>+VLOOKUP($A42,Master!$D$27:$G$225,4,FALSE)</f>
        <v>Transferi za socijalnu zaštitu</v>
      </c>
      <c r="C42" s="486"/>
      <c r="D42" s="486"/>
      <c r="E42" s="486"/>
      <c r="F42" s="486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0.11787698284947284</v>
      </c>
    </row>
    <row r="43" spans="1:22">
      <c r="A43" s="175">
        <v>421</v>
      </c>
      <c r="B43" s="489" t="str">
        <f>+VLOOKUP($A43,Master!$D$27:$G$225,4,FALSE)</f>
        <v>Prava iz oblasti socijalne zaštite</v>
      </c>
      <c r="C43" s="490"/>
      <c r="D43" s="490"/>
      <c r="E43" s="490"/>
      <c r="F43" s="490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1.7816194600679788E-2</v>
      </c>
    </row>
    <row r="44" spans="1:22">
      <c r="A44" s="175">
        <v>422</v>
      </c>
      <c r="B44" s="489" t="str">
        <f>+VLOOKUP($A44,Master!$D$27:$G$225,4,FALSE)</f>
        <v>Sredstva za tehnološke viškove</v>
      </c>
      <c r="C44" s="490"/>
      <c r="D44" s="490"/>
      <c r="E44" s="490"/>
      <c r="F44" s="490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3.0734974215756313E-3</v>
      </c>
    </row>
    <row r="45" spans="1:22">
      <c r="A45" s="175">
        <v>423</v>
      </c>
      <c r="B45" s="489" t="str">
        <f>+VLOOKUP($A45,Master!$D$27:$G$225,4,FALSE)</f>
        <v>Prava iz oblasti penzijskog i invalidskog osiguranja</v>
      </c>
      <c r="C45" s="490"/>
      <c r="D45" s="490"/>
      <c r="E45" s="490"/>
      <c r="F45" s="490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8.9790276417483925E-2</v>
      </c>
    </row>
    <row r="46" spans="1:22">
      <c r="A46" s="175">
        <v>424</v>
      </c>
      <c r="B46" s="489" t="str">
        <f>+VLOOKUP($A46,Master!$D$27:$G$225,4,FALSE)</f>
        <v>Ostala prava iz oblasti zdravstvene zaštite</v>
      </c>
      <c r="C46" s="490"/>
      <c r="D46" s="490"/>
      <c r="E46" s="490"/>
      <c r="F46" s="490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4.3308933082202164E-3</v>
      </c>
    </row>
    <row r="47" spans="1:22">
      <c r="A47" s="175">
        <v>425</v>
      </c>
      <c r="B47" s="560" t="str">
        <f>+VLOOKUP($A47,Master!$D$27:$G$225,4,FALSE)</f>
        <v>Ostala prava iz zdravstvenog osiguranja</v>
      </c>
      <c r="C47" s="561"/>
      <c r="D47" s="561"/>
      <c r="E47" s="561"/>
      <c r="F47" s="561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2.8661211015132818E-3</v>
      </c>
    </row>
    <row r="48" spans="1:22">
      <c r="A48" s="175">
        <v>43</v>
      </c>
      <c r="B48" s="487" t="str">
        <f>+VLOOKUP($A48,Master!$D$27:$G$225,4,FALSE)</f>
        <v xml:space="preserve">Transferi institucijama, pojedincima, nevladinom i javnom sektoru </v>
      </c>
      <c r="C48" s="488"/>
      <c r="D48" s="488"/>
      <c r="E48" s="488"/>
      <c r="F48" s="488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4.5188374406269612E-2</v>
      </c>
    </row>
    <row r="49" spans="1:22">
      <c r="A49" s="175">
        <v>44</v>
      </c>
      <c r="B49" s="487" t="str">
        <f>+VLOOKUP($A49,Master!$D$27:$G$225,4,FALSE)</f>
        <v>Kapitalni budžet</v>
      </c>
      <c r="C49" s="488"/>
      <c r="D49" s="488"/>
      <c r="E49" s="488"/>
      <c r="F49" s="488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5.7305411725227857E-2</v>
      </c>
    </row>
    <row r="50" spans="1:22">
      <c r="A50" s="175">
        <v>451</v>
      </c>
      <c r="B50" s="554" t="str">
        <f>+VLOOKUP($A50,Master!$D$27:$G$225,4,FALSE)</f>
        <v>Pozajmice i krediti</v>
      </c>
      <c r="C50" s="555"/>
      <c r="D50" s="555"/>
      <c r="E50" s="555"/>
      <c r="F50" s="555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9.9507891147626159E-4</v>
      </c>
    </row>
    <row r="51" spans="1:22">
      <c r="A51" s="175">
        <v>47</v>
      </c>
      <c r="B51" s="457" t="str">
        <f>+VLOOKUP($A51,Master!$D$27:$G$225,4,FALSE)</f>
        <v>Rezerve</v>
      </c>
      <c r="C51" s="458"/>
      <c r="D51" s="458"/>
      <c r="E51" s="458"/>
      <c r="F51" s="458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5.1714619839362645E-3</v>
      </c>
    </row>
    <row r="52" spans="1:22" ht="13.5" thickBot="1">
      <c r="A52" s="175">
        <v>462</v>
      </c>
      <c r="B52" s="475" t="str">
        <f>+VLOOKUP($A52,Master!$D$27:$G$225,4,FALSE)</f>
        <v>Otplata garancija</v>
      </c>
      <c r="C52" s="476"/>
      <c r="D52" s="476"/>
      <c r="E52" s="476"/>
      <c r="F52" s="476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6" t="str">
        <f>+VLOOKUP($A53,Master!$D$27:$G$225,4,TRUE)</f>
        <v>Otplata obaveza iz prethodnih godina</v>
      </c>
      <c r="C53" s="557"/>
      <c r="D53" s="557"/>
      <c r="E53" s="557"/>
      <c r="F53" s="557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33">
        <f>+SUM(G53:R53)</f>
        <v>22887327.229999997</v>
      </c>
      <c r="T53" s="284">
        <f>+S53/$T$7</f>
        <v>4.9549321794288923E-3</v>
      </c>
    </row>
    <row r="54" spans="1:22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81" t="str">
        <f>+VLOOKUP($A55,Master!$D$27:$G$225,4,FALSE)</f>
        <v>Suficit / deficit</v>
      </c>
      <c r="C55" s="482"/>
      <c r="D55" s="482"/>
      <c r="E55" s="482"/>
      <c r="F55" s="482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-70658591.820000023</v>
      </c>
      <c r="S55" s="285">
        <f t="shared" si="3"/>
        <v>-159444335.17999992</v>
      </c>
      <c r="T55" s="286">
        <f t="shared" si="4"/>
        <v>-3.4518485241713734E-2</v>
      </c>
    </row>
    <row r="56" spans="1:22" ht="13.5" thickBot="1">
      <c r="A56" s="169">
        <v>1001</v>
      </c>
      <c r="B56" s="483" t="str">
        <f>+VLOOKUP($A56,Master!$D$27:$G$225,4,FALSE)</f>
        <v>Primarni bilans</v>
      </c>
      <c r="C56" s="484"/>
      <c r="D56" s="484"/>
      <c r="E56" s="484"/>
      <c r="F56" s="484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-65001922.400000021</v>
      </c>
      <c r="S56" s="285">
        <f t="shared" si="3"/>
        <v>-70797727.979999915</v>
      </c>
      <c r="T56" s="286">
        <f t="shared" si="4"/>
        <v>-1.5327169357667059E-2</v>
      </c>
    </row>
    <row r="57" spans="1:22">
      <c r="A57" s="169">
        <v>46</v>
      </c>
      <c r="B57" s="552" t="str">
        <f>+VLOOKUP($A57,Master!$D$27:$G$225,4,FALSE)</f>
        <v>Otplata dugova</v>
      </c>
      <c r="C57" s="553"/>
      <c r="D57" s="553"/>
      <c r="E57" s="553"/>
      <c r="F57" s="553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0.15073963757225434</v>
      </c>
      <c r="V57" s="383"/>
    </row>
    <row r="58" spans="1:22">
      <c r="A58" s="169">
        <v>4611</v>
      </c>
      <c r="B58" s="473" t="str">
        <f>+VLOOKUP($A58,Master!$D$27:$G$225,4,FALSE)</f>
        <v>Otplata hartija od vrijednosti i kredita rezidentima</v>
      </c>
      <c r="C58" s="474"/>
      <c r="D58" s="474"/>
      <c r="E58" s="474"/>
      <c r="F58" s="474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5.0837520967288004E-2</v>
      </c>
    </row>
    <row r="59" spans="1:22" ht="13.5" thickBot="1">
      <c r="A59" s="169">
        <v>4612</v>
      </c>
      <c r="B59" s="457" t="str">
        <f>+VLOOKUP($A59,Master!$D$27:$G$225,4,FALSE)</f>
        <v>Otplata hartija od vrijednosti i kredita nerezidentima</v>
      </c>
      <c r="C59" s="458"/>
      <c r="D59" s="458"/>
      <c r="E59" s="458"/>
      <c r="F59" s="458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9.990211660496634E-2</v>
      </c>
      <c r="V59" s="395"/>
    </row>
    <row r="60" spans="1:22" ht="13.5" thickBot="1">
      <c r="A60" s="169">
        <v>4418</v>
      </c>
      <c r="B60" s="552" t="str">
        <f>+VLOOKUP($A60,Master!$D$27:$G$225,4,FALSE)</f>
        <v>Izdaci za kupovinu hartija od vrijednosti</v>
      </c>
      <c r="C60" s="553"/>
      <c r="D60" s="553"/>
      <c r="E60" s="553"/>
      <c r="F60" s="553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1.4991079790435366E-2</v>
      </c>
      <c r="V60" s="395"/>
    </row>
    <row r="61" spans="1:22" ht="13.5" thickBot="1">
      <c r="A61" s="169">
        <v>1002</v>
      </c>
      <c r="B61" s="477" t="str">
        <f>+VLOOKUP($A61,Master!$D$27:$G$225,4,FALSE)</f>
        <v>Nedostajuća sredstva</v>
      </c>
      <c r="C61" s="478"/>
      <c r="D61" s="478"/>
      <c r="E61" s="478"/>
      <c r="F61" s="478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-81875980.900000021</v>
      </c>
      <c r="S61" s="291">
        <f t="shared" si="3"/>
        <v>-924971091.75</v>
      </c>
      <c r="T61" s="292">
        <f t="shared" si="4"/>
        <v>-0.20024920260440346</v>
      </c>
    </row>
    <row r="62" spans="1:22" ht="13.5" thickBot="1">
      <c r="A62" s="169">
        <v>1003</v>
      </c>
      <c r="B62" s="479" t="str">
        <f>+VLOOKUP($A62,Master!$D$27:$G$225,4,FALSE)</f>
        <v>Finansiranje</v>
      </c>
      <c r="C62" s="480"/>
      <c r="D62" s="480"/>
      <c r="E62" s="480"/>
      <c r="F62" s="480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81875980.900000021</v>
      </c>
      <c r="S62" s="293">
        <f t="shared" si="3"/>
        <v>924971091.75</v>
      </c>
      <c r="T62" s="294">
        <f t="shared" si="4"/>
        <v>0.20024920260440346</v>
      </c>
    </row>
    <row r="63" spans="1:22">
      <c r="A63" s="169">
        <v>7511</v>
      </c>
      <c r="B63" s="473" t="str">
        <f>+VLOOKUP($A63,Master!$D$27:$G$225,4,FALSE)</f>
        <v>Pozajmice i krediti od domaćih izvora</v>
      </c>
      <c r="C63" s="474"/>
      <c r="D63" s="474"/>
      <c r="E63" s="474"/>
      <c r="F63" s="474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4.6242774566473986E-2</v>
      </c>
    </row>
    <row r="64" spans="1:22">
      <c r="A64" s="169">
        <v>7512</v>
      </c>
      <c r="B64" s="457" t="str">
        <f>+VLOOKUP($A64,Master!$D$27:$G$225,4,FALSE)</f>
        <v>Pozajmice i krediti od inostranih izvora</v>
      </c>
      <c r="C64" s="458"/>
      <c r="D64" s="458"/>
      <c r="E64" s="458"/>
      <c r="F64" s="458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0.19487339223225308</v>
      </c>
    </row>
    <row r="65" spans="1:20">
      <c r="A65" s="169">
        <v>72</v>
      </c>
      <c r="B65" s="457" t="str">
        <f>+VLOOKUP($A65,Master!$D$27:$G$225,4,FALSE)</f>
        <v>Primici od prodaje imovine</v>
      </c>
      <c r="C65" s="458"/>
      <c r="D65" s="458"/>
      <c r="E65" s="458"/>
      <c r="F65" s="458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3.4095563443094974E-3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57197539.62000002</v>
      </c>
      <c r="S66" s="295">
        <f>+SUM(G66:R66)</f>
        <v>-204517676.02000004</v>
      </c>
      <c r="T66" s="296">
        <f t="shared" si="4"/>
        <v>-4.4276520538633075E-2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44" t="str">
        <f>+Master!G252</f>
        <v>Plan ostvarenja budžeta</v>
      </c>
      <c r="C102" s="545"/>
      <c r="D102" s="545"/>
      <c r="E102" s="545"/>
      <c r="F102" s="545"/>
      <c r="G102" s="537">
        <v>2018</v>
      </c>
      <c r="H102" s="538"/>
      <c r="I102" s="538"/>
      <c r="J102" s="538"/>
      <c r="K102" s="538"/>
      <c r="L102" s="538"/>
      <c r="M102" s="538"/>
      <c r="N102" s="538"/>
      <c r="O102" s="538"/>
      <c r="P102" s="538"/>
      <c r="Q102" s="538"/>
      <c r="R102" s="539"/>
      <c r="S102" s="115" t="str">
        <f>+S7</f>
        <v>BDP</v>
      </c>
      <c r="T102" s="116">
        <f>+T7</f>
        <v>4619100000</v>
      </c>
    </row>
    <row r="103" spans="1:21" ht="15.75" customHeight="1">
      <c r="B103" s="546"/>
      <c r="C103" s="547"/>
      <c r="D103" s="547"/>
      <c r="E103" s="547"/>
      <c r="F103" s="548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7" t="str">
        <f>+Master!G246</f>
        <v>Jan - Dec</v>
      </c>
      <c r="T103" s="539">
        <f>+T8</f>
        <v>0</v>
      </c>
    </row>
    <row r="104" spans="1:21" ht="13.5" thickBot="1">
      <c r="B104" s="549"/>
      <c r="C104" s="550"/>
      <c r="D104" s="550"/>
      <c r="E104" s="550"/>
      <c r="F104" s="55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40" t="str">
        <f>+VLOOKUP(LEFT($A105,LEN(A105)-1)*1,Master!$D$27:$G$225,4,FALSE)</f>
        <v>Prihodi budžeta</v>
      </c>
      <c r="C105" s="541"/>
      <c r="D105" s="541"/>
      <c r="E105" s="541"/>
      <c r="F105" s="541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0.38037782709493462</v>
      </c>
    </row>
    <row r="106" spans="1:21">
      <c r="A106" s="137" t="str">
        <f t="shared" si="17"/>
        <v>711p</v>
      </c>
      <c r="B106" s="542" t="str">
        <f>+VLOOKUP(LEFT($A106,LEN(A106)-1)*1,Master!$D$27:$G$225,4,FALSE)</f>
        <v>Porezi</v>
      </c>
      <c r="C106" s="543"/>
      <c r="D106" s="543"/>
      <c r="E106" s="543"/>
      <c r="F106" s="543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0.23346478521729086</v>
      </c>
      <c r="U106" s="302"/>
    </row>
    <row r="107" spans="1:21">
      <c r="A107" s="137" t="str">
        <f t="shared" si="17"/>
        <v>7111p</v>
      </c>
      <c r="B107" s="523" t="str">
        <f>+VLOOKUP(LEFT($A107,LEN(A107)-1)*1,Master!$D$27:$G$225,4,FALSE)</f>
        <v>Porez na dohodak fizičkih lica</v>
      </c>
      <c r="C107" s="524"/>
      <c r="D107" s="524"/>
      <c r="E107" s="524"/>
      <c r="F107" s="524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2.6273443347922226E-2</v>
      </c>
    </row>
    <row r="108" spans="1:21">
      <c r="A108" s="137" t="str">
        <f t="shared" si="17"/>
        <v>7112p</v>
      </c>
      <c r="B108" s="523" t="str">
        <f>+VLOOKUP(LEFT($A108,LEN(A108)-1)*1,Master!$D$27:$G$225,4,FALSE)</f>
        <v>Porez na dobit pravnih lica</v>
      </c>
      <c r="C108" s="524"/>
      <c r="D108" s="524"/>
      <c r="E108" s="524"/>
      <c r="F108" s="524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1.3352896748372338E-2</v>
      </c>
    </row>
    <row r="109" spans="1:21">
      <c r="A109" s="137" t="str">
        <f t="shared" si="17"/>
        <v>7113p</v>
      </c>
      <c r="B109" s="523" t="str">
        <f>+VLOOKUP(LEFT($A109,LEN(A109)-1)*1,Master!$D$27:$G$225,4,FALSE)</f>
        <v>Porez na promet nepokretnosti</v>
      </c>
      <c r="C109" s="524"/>
      <c r="D109" s="524"/>
      <c r="E109" s="524"/>
      <c r="F109" s="524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4.0157133002934758E-4</v>
      </c>
    </row>
    <row r="110" spans="1:21">
      <c r="A110" s="137" t="str">
        <f t="shared" si="17"/>
        <v>7114p</v>
      </c>
      <c r="B110" s="523" t="str">
        <f>+VLOOKUP(LEFT($A110,LEN(A110)-1)*1,Master!$D$27:$G$225,4,FALSE)</f>
        <v>Porez na dodatu vrijednost</v>
      </c>
      <c r="C110" s="524"/>
      <c r="D110" s="524"/>
      <c r="E110" s="524"/>
      <c r="F110" s="524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0.13517606936875037</v>
      </c>
    </row>
    <row r="111" spans="1:21">
      <c r="A111" s="137" t="str">
        <f t="shared" si="17"/>
        <v>7115p</v>
      </c>
      <c r="B111" s="523" t="str">
        <f>+VLOOKUP(LEFT($A111,LEN(A111)-1)*1,Master!$D$27:$G$225,4,FALSE)</f>
        <v>Akcize</v>
      </c>
      <c r="C111" s="524"/>
      <c r="D111" s="524"/>
      <c r="E111" s="524"/>
      <c r="F111" s="524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5.0377309637034705E-2</v>
      </c>
    </row>
    <row r="112" spans="1:21">
      <c r="A112" s="137" t="str">
        <f t="shared" si="17"/>
        <v>7116p</v>
      </c>
      <c r="B112" s="523" t="str">
        <f>+VLOOKUP(LEFT($A112,LEN(A112)-1)*1,Master!$D$27:$G$225,4,FALSE)</f>
        <v>Porez na međunarodnu trgovinu i transakcije</v>
      </c>
      <c r="C112" s="524"/>
      <c r="D112" s="524"/>
      <c r="E112" s="524"/>
      <c r="F112" s="524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5.8149866592513942E-3</v>
      </c>
    </row>
    <row r="113" spans="1:20">
      <c r="A113" s="137" t="str">
        <f t="shared" si="17"/>
        <v>7118p</v>
      </c>
      <c r="B113" s="523" t="str">
        <f>+VLOOKUP(LEFT($A113,LEN(A113)-1)*1,Master!$D$27:$G$225,4,FALSE)</f>
        <v>Ostali državni porezi</v>
      </c>
      <c r="C113" s="524"/>
      <c r="D113" s="524"/>
      <c r="E113" s="524"/>
      <c r="F113" s="524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2.0685081259305014E-3</v>
      </c>
    </row>
    <row r="114" spans="1:20">
      <c r="A114" s="137" t="str">
        <f t="shared" si="17"/>
        <v>712p</v>
      </c>
      <c r="B114" s="535" t="str">
        <f>+VLOOKUP(LEFT($A114,LEN(A114)-1)*1,Master!$D$27:$G$225,4,FALSE)</f>
        <v>Doprinosi</v>
      </c>
      <c r="C114" s="536"/>
      <c r="D114" s="536"/>
      <c r="E114" s="536"/>
      <c r="F114" s="536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0.11306397976237681</v>
      </c>
    </row>
    <row r="115" spans="1:20">
      <c r="A115" s="137" t="str">
        <f t="shared" si="17"/>
        <v>7121p</v>
      </c>
      <c r="B115" s="523" t="str">
        <f>+VLOOKUP(LEFT($A115,LEN(A115)-1)*1,Master!$D$27:$G$225,4,FALSE)</f>
        <v>Doprinosi za penzijsko i invalidsko osiguranje</v>
      </c>
      <c r="C115" s="524"/>
      <c r="D115" s="524"/>
      <c r="E115" s="524"/>
      <c r="F115" s="524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6.8086015665941566E-2</v>
      </c>
    </row>
    <row r="116" spans="1:20">
      <c r="A116" s="137" t="str">
        <f t="shared" si="17"/>
        <v>7122p</v>
      </c>
      <c r="B116" s="523" t="str">
        <f>+VLOOKUP(LEFT($A116,LEN(A116)-1)*1,Master!$D$27:$G$225,4,FALSE)</f>
        <v>Doprinosi za zdravstveno osiguranje</v>
      </c>
      <c r="C116" s="524"/>
      <c r="D116" s="524"/>
      <c r="E116" s="524"/>
      <c r="F116" s="524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3.9162623551469371E-2</v>
      </c>
    </row>
    <row r="117" spans="1:20">
      <c r="A117" s="137" t="str">
        <f t="shared" si="17"/>
        <v>7123p</v>
      </c>
      <c r="B117" s="523" t="str">
        <f>+VLOOKUP(LEFT($A117,LEN(A117)-1)*1,Master!$D$27:$G$225,4,FALSE)</f>
        <v>Doprinosi za osiguranje od nezaposlenosti</v>
      </c>
      <c r="C117" s="524"/>
      <c r="D117" s="524"/>
      <c r="E117" s="524"/>
      <c r="F117" s="524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3.0631836555475821E-3</v>
      </c>
    </row>
    <row r="118" spans="1:20">
      <c r="A118" s="137" t="str">
        <f t="shared" si="17"/>
        <v>7124p</v>
      </c>
      <c r="B118" s="523" t="str">
        <f>+VLOOKUP(LEFT($A118,LEN(A118)-1)*1,Master!$D$27:$G$225,4,FALSE)</f>
        <v>Ostali doprinosi</v>
      </c>
      <c r="C118" s="524"/>
      <c r="D118" s="524"/>
      <c r="E118" s="524"/>
      <c r="F118" s="524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2.7521568894182877E-3</v>
      </c>
    </row>
    <row r="119" spans="1:20">
      <c r="A119" s="137" t="str">
        <f t="shared" si="17"/>
        <v>713p</v>
      </c>
      <c r="B119" s="527" t="str">
        <f>+VLOOKUP(LEFT($A119,LEN(A119)-1)*1,Master!$D$27:$G$225,4,FALSE)</f>
        <v>Takse</v>
      </c>
      <c r="C119" s="528"/>
      <c r="D119" s="528"/>
      <c r="E119" s="528"/>
      <c r="F119" s="528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3.8320167106630867E-3</v>
      </c>
    </row>
    <row r="120" spans="1:20">
      <c r="A120" s="137" t="str">
        <f t="shared" si="17"/>
        <v>714p</v>
      </c>
      <c r="B120" s="527" t="str">
        <f>+VLOOKUP(LEFT($A120,LEN(A120)-1)*1,Master!$D$27:$G$225,4,FALSE)</f>
        <v>Naknade</v>
      </c>
      <c r="C120" s="528"/>
      <c r="D120" s="528"/>
      <c r="E120" s="528"/>
      <c r="F120" s="528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6.0895252532171401E-3</v>
      </c>
    </row>
    <row r="121" spans="1:20">
      <c r="A121" s="137" t="str">
        <f t="shared" si="17"/>
        <v>715p</v>
      </c>
      <c r="B121" s="527" t="str">
        <f>+VLOOKUP(LEFT($A121,LEN(A121)-1)*1,Master!$D$27:$G$225,4,FALSE)</f>
        <v>Ostali prihodi</v>
      </c>
      <c r="C121" s="528"/>
      <c r="D121" s="528"/>
      <c r="E121" s="528"/>
      <c r="F121" s="528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1.55296279945835E-2</v>
      </c>
    </row>
    <row r="122" spans="1:20">
      <c r="A122" s="137" t="str">
        <f t="shared" si="17"/>
        <v>73p</v>
      </c>
      <c r="B122" s="527" t="str">
        <f>+VLOOKUP(LEFT($A122,LEN(A122)-1)*1,Master!$D$27:$G$225,4,FALSE)</f>
        <v>Primici od otplate kredita i sredstva prenesena iz prethodne godine</v>
      </c>
      <c r="C122" s="528"/>
      <c r="D122" s="528"/>
      <c r="E122" s="528"/>
      <c r="F122" s="528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1.57223576901074E-3</v>
      </c>
    </row>
    <row r="123" spans="1:20" ht="13.5" thickBot="1">
      <c r="A123" s="137" t="str">
        <f t="shared" si="17"/>
        <v>74p</v>
      </c>
      <c r="B123" s="529" t="str">
        <f>+VLOOKUP(LEFT($A123,LEN(A123)-1)*1,Master!$D$27:$G$225,4,FALSE)</f>
        <v>Donacije i transferi</v>
      </c>
      <c r="C123" s="530"/>
      <c r="D123" s="530"/>
      <c r="E123" s="530"/>
      <c r="F123" s="530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6.8256563877924486E-3</v>
      </c>
    </row>
    <row r="124" spans="1:20" ht="13.5" thickBot="1">
      <c r="A124" s="137" t="str">
        <f t="shared" si="17"/>
        <v>4p</v>
      </c>
      <c r="B124" s="513" t="str">
        <f>+VLOOKUP(LEFT($A124,LEN(A124)-1)*1,Master!$D$27:$G$225,4,FALSE)</f>
        <v>Budžetski izdaci</v>
      </c>
      <c r="C124" s="514"/>
      <c r="D124" s="514"/>
      <c r="E124" s="514"/>
      <c r="F124" s="514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0.41130156842169829</v>
      </c>
    </row>
    <row r="125" spans="1:20" ht="13.5" thickBot="1">
      <c r="A125" s="137" t="str">
        <f t="shared" si="17"/>
        <v>40p</v>
      </c>
      <c r="B125" s="531" t="str">
        <f>+VLOOKUP(LEFT($A125,LEN(A125)-1)*1,Master!$D$27:$G$225,4,FALSE)</f>
        <v>Tekuća budžetska potrošnja</v>
      </c>
      <c r="C125" s="532"/>
      <c r="D125" s="532"/>
      <c r="E125" s="532"/>
      <c r="F125" s="532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0.34871903069862092</v>
      </c>
    </row>
    <row r="126" spans="1:20">
      <c r="A126" s="137" t="str">
        <f t="shared" si="17"/>
        <v>41p</v>
      </c>
      <c r="B126" s="533" t="str">
        <f>+VLOOKUP(LEFT($A126,LEN(A126)-1)*1,Master!$D$27:$G$225,4,FALSE)</f>
        <v>Tekući izdaci</v>
      </c>
      <c r="C126" s="534"/>
      <c r="D126" s="534"/>
      <c r="E126" s="534"/>
      <c r="F126" s="534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0.17592833515403433</v>
      </c>
    </row>
    <row r="127" spans="1:20">
      <c r="A127" s="137" t="str">
        <f t="shared" si="17"/>
        <v>411p</v>
      </c>
      <c r="B127" s="523" t="str">
        <f>+VLOOKUP(LEFT($A127,LEN(A127)-1)*1,Master!$D$27:$G$225,4,FALSE)</f>
        <v>Bruto zarade i doprinosi na teret poslodavca</v>
      </c>
      <c r="C127" s="524"/>
      <c r="D127" s="524"/>
      <c r="E127" s="524"/>
      <c r="F127" s="524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0.10001381145028249</v>
      </c>
    </row>
    <row r="128" spans="1:20">
      <c r="A128" s="137" t="str">
        <f t="shared" si="17"/>
        <v>412p</v>
      </c>
      <c r="B128" s="523" t="str">
        <f>+VLOOKUP(LEFT($A128,LEN(A128)-1)*1,Master!$D$27:$G$225,4,FALSE)</f>
        <v>Ostala lična primanja</v>
      </c>
      <c r="C128" s="524"/>
      <c r="D128" s="524"/>
      <c r="E128" s="524"/>
      <c r="F128" s="524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2.8712569937866675E-3</v>
      </c>
    </row>
    <row r="129" spans="1:20">
      <c r="A129" s="137" t="str">
        <f t="shared" si="17"/>
        <v>413p</v>
      </c>
      <c r="B129" s="523" t="str">
        <f>+VLOOKUP(LEFT($A129,LEN(A129)-1)*1,Master!$D$27:$G$225,4,FALSE)</f>
        <v>Rashodi za materijal</v>
      </c>
      <c r="C129" s="524"/>
      <c r="D129" s="524"/>
      <c r="E129" s="524"/>
      <c r="F129" s="524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8.5908972527115671E-3</v>
      </c>
    </row>
    <row r="130" spans="1:20">
      <c r="A130" s="137" t="str">
        <f t="shared" si="17"/>
        <v>414p</v>
      </c>
      <c r="B130" s="523" t="str">
        <f>+VLOOKUP(LEFT($A130,LEN(A130)-1)*1,Master!$D$27:$G$225,4,FALSE)</f>
        <v>Rashodi za usluge</v>
      </c>
      <c r="C130" s="524"/>
      <c r="D130" s="524"/>
      <c r="E130" s="524"/>
      <c r="F130" s="524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1.2717181472581239E-2</v>
      </c>
    </row>
    <row r="131" spans="1:20">
      <c r="A131" s="137" t="str">
        <f t="shared" si="17"/>
        <v>415p</v>
      </c>
      <c r="B131" s="523" t="str">
        <f>+VLOOKUP(LEFT($A131,LEN(A131)-1)*1,Master!$D$27:$G$225,4,FALSE)</f>
        <v>Rashodi za tekuće održavanje</v>
      </c>
      <c r="C131" s="524"/>
      <c r="D131" s="524"/>
      <c r="E131" s="524"/>
      <c r="F131" s="524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4.8246383083284626E-3</v>
      </c>
    </row>
    <row r="132" spans="1:20">
      <c r="A132" s="137" t="str">
        <f t="shared" si="17"/>
        <v>416p</v>
      </c>
      <c r="B132" s="523" t="str">
        <f>+VLOOKUP(LEFT($A132,LEN(A132)-1)*1,Master!$D$27:$G$225,4,FALSE)</f>
        <v>Kamate</v>
      </c>
      <c r="C132" s="524"/>
      <c r="D132" s="524"/>
      <c r="E132" s="524"/>
      <c r="F132" s="524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1.8930679136628346E-2</v>
      </c>
    </row>
    <row r="133" spans="1:20">
      <c r="A133" s="137" t="str">
        <f t="shared" si="17"/>
        <v>417p</v>
      </c>
      <c r="B133" s="523" t="str">
        <f>+VLOOKUP(LEFT($A133,LEN(A133)-1)*1,Master!$D$27:$G$225,4,FALSE)</f>
        <v>Renta</v>
      </c>
      <c r="C133" s="524"/>
      <c r="D133" s="524"/>
      <c r="E133" s="524"/>
      <c r="F133" s="524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2.2395108700829164E-3</v>
      </c>
    </row>
    <row r="134" spans="1:20">
      <c r="A134" s="137" t="str">
        <f t="shared" si="17"/>
        <v>418p</v>
      </c>
      <c r="B134" s="523" t="str">
        <f>+VLOOKUP(LEFT($A134,LEN(A134)-1)*1,Master!$D$27:$G$225,4,FALSE)</f>
        <v>Subvencije</v>
      </c>
      <c r="C134" s="524"/>
      <c r="D134" s="524"/>
      <c r="E134" s="524"/>
      <c r="F134" s="524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5.787231278820552E-3</v>
      </c>
    </row>
    <row r="135" spans="1:20">
      <c r="A135" s="137" t="str">
        <f t="shared" si="17"/>
        <v>419p</v>
      </c>
      <c r="B135" s="523" t="str">
        <f>+VLOOKUP(LEFT($A135,LEN(A135)-1)*1,Master!$D$27:$G$225,4,FALSE)</f>
        <v>Ostali izdaci</v>
      </c>
      <c r="C135" s="524"/>
      <c r="D135" s="524"/>
      <c r="E135" s="524"/>
      <c r="F135" s="524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8.512032631897988E-3</v>
      </c>
    </row>
    <row r="136" spans="1:20">
      <c r="A136" s="137" t="str">
        <f t="shared" si="17"/>
        <v>440p</v>
      </c>
      <c r="B136" s="523" t="str">
        <f>+VLOOKUP(LEFT($A136,LEN(A136)-1)*1,Master!$D$27:$G$225,4,FALSE)</f>
        <v>Kapitalni izdaci u tekućem budžetu</v>
      </c>
      <c r="C136" s="524"/>
      <c r="D136" s="524"/>
      <c r="E136" s="524"/>
      <c r="F136" s="524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1.1441095758914071E-2</v>
      </c>
    </row>
    <row r="137" spans="1:20">
      <c r="A137" s="137" t="str">
        <f t="shared" si="17"/>
        <v>42p</v>
      </c>
      <c r="B137" s="519" t="str">
        <f>+VLOOKUP(LEFT($A137,LEN(A137)-1)*1,Master!$D$27:$G$225,4,FALSE)</f>
        <v>Transferi za socijalnu zaštitu</v>
      </c>
      <c r="C137" s="520"/>
      <c r="D137" s="520"/>
      <c r="E137" s="520"/>
      <c r="F137" s="520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0.1210046922257583</v>
      </c>
    </row>
    <row r="138" spans="1:20">
      <c r="A138" s="137" t="str">
        <f t="shared" si="17"/>
        <v>421p</v>
      </c>
      <c r="B138" s="523" t="str">
        <f>+VLOOKUP(LEFT($A138,LEN(A138)-1)*1,Master!$D$27:$G$225,4,FALSE)</f>
        <v>Prava iz oblasti socijalne zaštite</v>
      </c>
      <c r="C138" s="524"/>
      <c r="D138" s="524"/>
      <c r="E138" s="524"/>
      <c r="F138" s="524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1.7922557188629819E-2</v>
      </c>
    </row>
    <row r="139" spans="1:20">
      <c r="A139" s="137" t="str">
        <f t="shared" si="17"/>
        <v>422p</v>
      </c>
      <c r="B139" s="523" t="str">
        <f>+VLOOKUP(LEFT($A139,LEN(A139)-1)*1,Master!$D$27:$G$225,4,FALSE)</f>
        <v>Sredstva za tehnološke viškove</v>
      </c>
      <c r="C139" s="524"/>
      <c r="D139" s="524"/>
      <c r="E139" s="524"/>
      <c r="F139" s="524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3.745058457275225E-3</v>
      </c>
    </row>
    <row r="140" spans="1:20">
      <c r="A140" s="137" t="str">
        <f t="shared" si="17"/>
        <v>423p</v>
      </c>
      <c r="B140" s="523" t="str">
        <f>+VLOOKUP(LEFT($A140,LEN(A140)-1)*1,Master!$D$27:$G$225,4,FALSE)</f>
        <v>Prava iz oblasti penzijskog i invalidskog osiguranja</v>
      </c>
      <c r="C140" s="524"/>
      <c r="D140" s="524"/>
      <c r="E140" s="524"/>
      <c r="F140" s="524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9.2154919882661154E-2</v>
      </c>
    </row>
    <row r="141" spans="1:20">
      <c r="A141" s="137" t="str">
        <f t="shared" si="17"/>
        <v>424p</v>
      </c>
      <c r="B141" s="523" t="str">
        <f>+VLOOKUP(LEFT($A141,LEN(A141)-1)*1,Master!$D$27:$G$225,4,FALSE)</f>
        <v>Ostala prava iz oblasti zdravstvene zaštite</v>
      </c>
      <c r="C141" s="524"/>
      <c r="D141" s="524"/>
      <c r="E141" s="524"/>
      <c r="F141" s="524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4.1133770647961716E-3</v>
      </c>
    </row>
    <row r="142" spans="1:20">
      <c r="A142" s="137" t="str">
        <f t="shared" si="17"/>
        <v>425p</v>
      </c>
      <c r="B142" s="523" t="str">
        <f>+VLOOKUP(LEFT($A142,LEN(A142)-1)*1,Master!$D$27:$G$225,4,FALSE)</f>
        <v>Ostala prava iz zdravstvenog osiguranja</v>
      </c>
      <c r="C142" s="524"/>
      <c r="D142" s="524"/>
      <c r="E142" s="524"/>
      <c r="F142" s="524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3.0687796323959219E-3</v>
      </c>
    </row>
    <row r="143" spans="1:20">
      <c r="A143" s="137" t="str">
        <f t="shared" si="17"/>
        <v>43p</v>
      </c>
      <c r="B143" s="525" t="str">
        <f>+VLOOKUP(LEFT($A143,LEN(A143)-1)*1,Master!$D$27:$G$225,4,FALSE)</f>
        <v xml:space="preserve">Transferi institucijama, pojedincima, nevladinom i javnom sektoru </v>
      </c>
      <c r="C143" s="526"/>
      <c r="D143" s="526"/>
      <c r="E143" s="526"/>
      <c r="F143" s="526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4.4745564869779826E-2</v>
      </c>
    </row>
    <row r="144" spans="1:20">
      <c r="A144" s="137" t="str">
        <f t="shared" si="17"/>
        <v>44p</v>
      </c>
      <c r="B144" s="525" t="str">
        <f>+VLOOKUP(LEFT($A144,LEN(A144)-1)*1,Master!$D$27:$G$225,4,FALSE)</f>
        <v>Kapitalni budžet</v>
      </c>
      <c r="C144" s="526"/>
      <c r="D144" s="526"/>
      <c r="E144" s="526"/>
      <c r="F144" s="526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6.2582537723077383E-2</v>
      </c>
    </row>
    <row r="145" spans="1:20">
      <c r="A145" s="137" t="str">
        <f t="shared" si="17"/>
        <v>451p</v>
      </c>
      <c r="B145" s="507" t="str">
        <f>+VLOOKUP(LEFT($A145,LEN(A145)-1)*1,Master!$D$27:$G$225,4,FALSE)</f>
        <v>Pozajmice i krediti</v>
      </c>
      <c r="C145" s="508"/>
      <c r="D145" s="508"/>
      <c r="E145" s="508"/>
      <c r="F145" s="508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6.2241583858327365E-4</v>
      </c>
    </row>
    <row r="146" spans="1:20">
      <c r="A146" s="137" t="str">
        <f t="shared" si="17"/>
        <v>47p</v>
      </c>
      <c r="B146" s="507" t="str">
        <f>+VLOOKUP(LEFT($A146,LEN(A146)-1)*1,Master!$D$27:$G$225,4,FALSE)</f>
        <v>Rezerve</v>
      </c>
      <c r="C146" s="508"/>
      <c r="D146" s="508"/>
      <c r="E146" s="508"/>
      <c r="F146" s="508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6.4180226104652424E-3</v>
      </c>
    </row>
    <row r="147" spans="1:20">
      <c r="A147" s="137" t="str">
        <f t="shared" si="17"/>
        <v>462p</v>
      </c>
      <c r="B147" s="507" t="str">
        <f>+VLOOKUP(LEFT($A147,LEN(A147)-1)*1,Master!$D$27:$G$225,4,FALSE)</f>
        <v>Otplata garancija</v>
      </c>
      <c r="C147" s="508"/>
      <c r="D147" s="508"/>
      <c r="E147" s="508"/>
      <c r="F147" s="508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695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5" t="str">
        <f>+VLOOKUP(LEFT($A149,LEN(A149)-1)*1,Master!$D$27:$G$225,4,FALSE)</f>
        <v>Suficit / deficit</v>
      </c>
      <c r="C149" s="516"/>
      <c r="D149" s="516"/>
      <c r="E149" s="516"/>
      <c r="F149" s="516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-3.0923741326763718E-2</v>
      </c>
    </row>
    <row r="150" spans="1:20" ht="13.5" thickBot="1">
      <c r="A150" s="138" t="str">
        <f>+CONCATENATE(A56,"p")</f>
        <v>1001p</v>
      </c>
      <c r="B150" s="517" t="str">
        <f>+VLOOKUP(LEFT($A150,LEN(A150)-1)*1,Master!$D$27:$G$225,4,FALSE)</f>
        <v>Primarni bilans</v>
      </c>
      <c r="C150" s="518"/>
      <c r="D150" s="518"/>
      <c r="E150" s="518"/>
      <c r="F150" s="518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-1.1993062190135366E-2</v>
      </c>
    </row>
    <row r="151" spans="1:20">
      <c r="A151" s="138" t="str">
        <f>+CONCATENATE(A57,"p")</f>
        <v>46p</v>
      </c>
      <c r="B151" s="519" t="str">
        <f>+VLOOKUP(LEFT($A151,LEN(A151)-1)*1,Master!$D$27:$G$225,4,FALSE)</f>
        <v>Otplata dugova</v>
      </c>
      <c r="C151" s="520"/>
      <c r="D151" s="520"/>
      <c r="E151" s="520"/>
      <c r="F151" s="520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0.11743256799160008</v>
      </c>
    </row>
    <row r="152" spans="1:20">
      <c r="A152" s="138" t="str">
        <f>+CONCATENATE(A58,"p")</f>
        <v>4611p</v>
      </c>
      <c r="B152" s="509" t="str">
        <f>+VLOOKUP(LEFT($A152,LEN(A152)-1)*1,Master!$D$27:$G$225,4,FALSE)</f>
        <v>Otplata hartija od vrijednosti i kredita rezidentima</v>
      </c>
      <c r="C152" s="510"/>
      <c r="D152" s="510"/>
      <c r="E152" s="510"/>
      <c r="F152" s="510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1.0973626855881014E-2</v>
      </c>
    </row>
    <row r="153" spans="1:20">
      <c r="A153" s="138" t="str">
        <f>+CONCATENATE(A59,"p")</f>
        <v>4612p</v>
      </c>
      <c r="B153" s="507" t="str">
        <f>+VLOOKUP(LEFT($A153,LEN(A153)-1)*1,Master!$D$27:$G$225,4,FALSE)</f>
        <v>Otplata hartija od vrijednosti i kredita nerezidentima</v>
      </c>
      <c r="C153" s="508"/>
      <c r="D153" s="508"/>
      <c r="E153" s="508"/>
      <c r="F153" s="508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9.9911238119980081E-2</v>
      </c>
    </row>
    <row r="154" spans="1:20">
      <c r="A154" s="138" t="str">
        <f>+CONCATENATE(A53,"p")</f>
        <v>4630p</v>
      </c>
      <c r="B154" s="507" t="str">
        <f>+VLOOKUP(LEFT($A154,LEN(A154)-1)*1,Master!$D$27:$G$225,4,FALSE)</f>
        <v>Otplata obaveza iz prethodnih godina</v>
      </c>
      <c r="C154" s="508"/>
      <c r="D154" s="508"/>
      <c r="E154" s="508"/>
      <c r="F154" s="508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6.5477030157389997E-3</v>
      </c>
    </row>
    <row r="155" spans="1:20" ht="13.5" thickBot="1">
      <c r="A155" s="138"/>
      <c r="B155" s="422" t="s">
        <v>790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1.5154467320473685E-2</v>
      </c>
    </row>
    <row r="156" spans="1:20" ht="13.5" thickBot="1">
      <c r="A156" s="138" t="str">
        <f t="shared" ref="A156:A161" si="30">+CONCATENATE(A61,"p")</f>
        <v>1002p</v>
      </c>
      <c r="B156" s="511" t="str">
        <f>+VLOOKUP(LEFT($A156,LEN(A156)-1)*1,Master!$D$27:$G$225,4,FALSE)</f>
        <v>Nedostajuća sredstva</v>
      </c>
      <c r="C156" s="512"/>
      <c r="D156" s="512"/>
      <c r="E156" s="512"/>
      <c r="F156" s="512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-0.16351077663883748</v>
      </c>
    </row>
    <row r="157" spans="1:20" ht="13.5" thickBot="1">
      <c r="A157" s="138" t="str">
        <f t="shared" si="30"/>
        <v>1003p</v>
      </c>
      <c r="B157" s="513" t="str">
        <f>+VLOOKUP(LEFT($A157,LEN(A157)-1)*1,Master!$D$27:$G$225,4,FALSE)</f>
        <v>Finansiranje</v>
      </c>
      <c r="C157" s="514"/>
      <c r="D157" s="514"/>
      <c r="E157" s="514"/>
      <c r="F157" s="514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0.16351077663883748</v>
      </c>
    </row>
    <row r="158" spans="1:20">
      <c r="A158" s="138" t="str">
        <f t="shared" si="30"/>
        <v>7511p</v>
      </c>
      <c r="B158" s="509" t="str">
        <f>+VLOOKUP(LEFT($A158,LEN(A158)-1)*1,Master!$D$27:$G$225,4,FALSE)</f>
        <v>Pozajmice i krediti od domaćih izvora</v>
      </c>
      <c r="C158" s="510"/>
      <c r="D158" s="510"/>
      <c r="E158" s="510"/>
      <c r="F158" s="510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7" t="str">
        <f>+VLOOKUP(LEFT($A159,LEN(A159)-1)*1,Master!$D$27:$G$225,4,FALSE)</f>
        <v>Pozajmice i krediti od inostranih izvora</v>
      </c>
      <c r="C159" s="508"/>
      <c r="D159" s="508"/>
      <c r="E159" s="508"/>
      <c r="F159" s="508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0.16004510587902129</v>
      </c>
    </row>
    <row r="160" spans="1:20">
      <c r="A160" s="138" t="str">
        <f t="shared" si="30"/>
        <v>72p</v>
      </c>
      <c r="B160" s="507" t="str">
        <f>+VLOOKUP(LEFT($A160,LEN(A160)-1)*1,Master!$D$27:$G$225,4,FALSE)</f>
        <v>Primici od prodaje imovine</v>
      </c>
      <c r="C160" s="508"/>
      <c r="D160" s="508"/>
      <c r="E160" s="508"/>
      <c r="F160" s="508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3.4638782446796993E-3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1.7925151364758822E-6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B12" sqref="B12:F1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">
        <v>792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737</v>
      </c>
      <c r="H6" s="259" t="s">
        <v>738</v>
      </c>
      <c r="I6" s="259" t="s">
        <v>739</v>
      </c>
      <c r="J6" s="259" t="s">
        <v>740</v>
      </c>
      <c r="K6" s="259" t="s">
        <v>741</v>
      </c>
      <c r="L6" s="259" t="s">
        <v>742</v>
      </c>
      <c r="M6" s="259" t="s">
        <v>743</v>
      </c>
      <c r="N6" s="259" t="s">
        <v>744</v>
      </c>
      <c r="O6" s="259" t="s">
        <v>745</v>
      </c>
      <c r="P6" s="259" t="s">
        <v>746</v>
      </c>
      <c r="Q6" s="259" t="s">
        <v>747</v>
      </c>
      <c r="R6" s="259" t="s">
        <v>748</v>
      </c>
      <c r="S6" s="258"/>
      <c r="T6" s="258"/>
    </row>
    <row r="7" spans="1:20" ht="15" customHeight="1" thickBot="1">
      <c r="A7" s="169"/>
      <c r="B7" s="562" t="s">
        <v>560</v>
      </c>
      <c r="C7" s="460"/>
      <c r="D7" s="460"/>
      <c r="E7" s="460"/>
      <c r="F7" s="460"/>
      <c r="G7" s="468">
        <v>2017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0" t="str">
        <f>+[1]Master!G246</f>
        <v>BDP</v>
      </c>
      <c r="T7" s="261">
        <v>4299000000</v>
      </c>
    </row>
    <row r="8" spans="1:20" ht="16.5" customHeight="1">
      <c r="A8" s="169"/>
      <c r="B8" s="461"/>
      <c r="C8" s="462"/>
      <c r="D8" s="462"/>
      <c r="E8" s="462"/>
      <c r="F8" s="463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8" t="str">
        <f>+[1]Master!G243</f>
        <v>Jan - Dec</v>
      </c>
      <c r="T8" s="472"/>
    </row>
    <row r="9" spans="1:20" ht="13.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+[1]Master!G247</f>
        <v>% BDP</v>
      </c>
    </row>
    <row r="10" spans="1:20" ht="13.5" thickBot="1">
      <c r="A10" s="175">
        <v>7</v>
      </c>
      <c r="B10" s="501" t="s">
        <v>20</v>
      </c>
      <c r="C10" s="502"/>
      <c r="D10" s="502"/>
      <c r="E10" s="502"/>
      <c r="F10" s="502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503" t="s">
        <v>24</v>
      </c>
      <c r="C11" s="504"/>
      <c r="D11" s="504"/>
      <c r="E11" s="504"/>
      <c r="F11" s="504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9" t="s">
        <v>26</v>
      </c>
      <c r="C12" s="490"/>
      <c r="D12" s="490"/>
      <c r="E12" s="490"/>
      <c r="F12" s="490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9" t="s">
        <v>28</v>
      </c>
      <c r="C13" s="490"/>
      <c r="D13" s="490"/>
      <c r="E13" s="490"/>
      <c r="F13" s="490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9" t="s">
        <v>30</v>
      </c>
      <c r="C14" s="490"/>
      <c r="D14" s="490"/>
      <c r="E14" s="490"/>
      <c r="F14" s="490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9" t="s">
        <v>32</v>
      </c>
      <c r="C15" s="490"/>
      <c r="D15" s="490"/>
      <c r="E15" s="490"/>
      <c r="F15" s="490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9" t="s">
        <v>34</v>
      </c>
      <c r="C16" s="490"/>
      <c r="D16" s="490"/>
      <c r="E16" s="490"/>
      <c r="F16" s="490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9" t="s">
        <v>36</v>
      </c>
      <c r="C17" s="490"/>
      <c r="D17" s="490"/>
      <c r="E17" s="490"/>
      <c r="F17" s="490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9" t="s">
        <v>38</v>
      </c>
      <c r="C18" s="490"/>
      <c r="D18" s="490"/>
      <c r="E18" s="490"/>
      <c r="F18" s="490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9" t="s">
        <v>40</v>
      </c>
      <c r="C19" s="500"/>
      <c r="D19" s="500"/>
      <c r="E19" s="500"/>
      <c r="F19" s="500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9" t="s">
        <v>42</v>
      </c>
      <c r="C20" s="490"/>
      <c r="D20" s="490"/>
      <c r="E20" s="490"/>
      <c r="F20" s="490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9" t="s">
        <v>44</v>
      </c>
      <c r="C21" s="490"/>
      <c r="D21" s="490"/>
      <c r="E21" s="490"/>
      <c r="F21" s="490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9" t="s">
        <v>46</v>
      </c>
      <c r="C22" s="490"/>
      <c r="D22" s="490"/>
      <c r="E22" s="490"/>
      <c r="F22" s="490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9" t="s">
        <v>48</v>
      </c>
      <c r="C23" s="490"/>
      <c r="D23" s="490"/>
      <c r="E23" s="490"/>
      <c r="F23" s="490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91" t="s">
        <v>50</v>
      </c>
      <c r="C24" s="492"/>
      <c r="D24" s="492"/>
      <c r="E24" s="492"/>
      <c r="F24" s="492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91" t="s">
        <v>64</v>
      </c>
      <c r="C25" s="492"/>
      <c r="D25" s="492"/>
      <c r="E25" s="492"/>
      <c r="F25" s="492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91" t="s">
        <v>84</v>
      </c>
      <c r="C26" s="492"/>
      <c r="D26" s="492"/>
      <c r="E26" s="492"/>
      <c r="F26" s="492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91" t="s">
        <v>102</v>
      </c>
      <c r="C27" s="492"/>
      <c r="D27" s="492"/>
      <c r="E27" s="492"/>
      <c r="F27" s="492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93" t="s">
        <v>108</v>
      </c>
      <c r="C28" s="494"/>
      <c r="D28" s="494"/>
      <c r="E28" s="494"/>
      <c r="F28" s="494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9" t="s">
        <v>121</v>
      </c>
      <c r="C29" s="480"/>
      <c r="D29" s="480"/>
      <c r="E29" s="480"/>
      <c r="F29" s="480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40</v>
      </c>
      <c r="B30" s="495" t="s">
        <v>123</v>
      </c>
      <c r="C30" s="496"/>
      <c r="D30" s="496"/>
      <c r="E30" s="496"/>
      <c r="F30" s="496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41</v>
      </c>
      <c r="B31" s="497" t="s">
        <v>419</v>
      </c>
      <c r="C31" s="498"/>
      <c r="D31" s="498"/>
      <c r="E31" s="498"/>
      <c r="F31" s="498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9" t="s">
        <v>125</v>
      </c>
      <c r="C32" s="490"/>
      <c r="D32" s="490"/>
      <c r="E32" s="490"/>
      <c r="F32" s="490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9" t="s">
        <v>136</v>
      </c>
      <c r="C33" s="490"/>
      <c r="D33" s="490"/>
      <c r="E33" s="490"/>
      <c r="F33" s="490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9" t="s">
        <v>151</v>
      </c>
      <c r="C34" s="490"/>
      <c r="D34" s="490"/>
      <c r="E34" s="490"/>
      <c r="F34" s="490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9" t="s">
        <v>165</v>
      </c>
      <c r="C35" s="490"/>
      <c r="D35" s="490"/>
      <c r="E35" s="490"/>
      <c r="F35" s="490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9" t="s">
        <v>185</v>
      </c>
      <c r="C36" s="490"/>
      <c r="D36" s="490"/>
      <c r="E36" s="490"/>
      <c r="F36" s="490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9" t="s">
        <v>193</v>
      </c>
      <c r="C37" s="490"/>
      <c r="D37" s="490"/>
      <c r="E37" s="490"/>
      <c r="F37" s="490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9" t="s">
        <v>199</v>
      </c>
      <c r="C38" s="490"/>
      <c r="D38" s="490"/>
      <c r="E38" s="490"/>
      <c r="F38" s="490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9" t="s">
        <v>207</v>
      </c>
      <c r="C39" s="490"/>
      <c r="D39" s="490"/>
      <c r="E39" s="490"/>
      <c r="F39" s="490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9" t="s">
        <v>215</v>
      </c>
      <c r="C40" s="490"/>
      <c r="D40" s="490"/>
      <c r="E40" s="490"/>
      <c r="F40" s="490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9" t="s">
        <v>421</v>
      </c>
      <c r="C41" s="490"/>
      <c r="D41" s="490"/>
      <c r="E41" s="490"/>
      <c r="F41" s="490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5" t="s">
        <v>233</v>
      </c>
      <c r="C42" s="486"/>
      <c r="D42" s="486"/>
      <c r="E42" s="486"/>
      <c r="F42" s="486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9" t="s">
        <v>235</v>
      </c>
      <c r="C43" s="490"/>
      <c r="D43" s="490"/>
      <c r="E43" s="490"/>
      <c r="F43" s="490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9" t="s">
        <v>251</v>
      </c>
      <c r="C44" s="490"/>
      <c r="D44" s="490"/>
      <c r="E44" s="490"/>
      <c r="F44" s="490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9" t="s">
        <v>262</v>
      </c>
      <c r="C45" s="490"/>
      <c r="D45" s="490"/>
      <c r="E45" s="490"/>
      <c r="F45" s="490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9" t="s">
        <v>277</v>
      </c>
      <c r="C46" s="490"/>
      <c r="D46" s="490"/>
      <c r="E46" s="490"/>
      <c r="F46" s="490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9" t="s">
        <v>281</v>
      </c>
      <c r="C47" s="490"/>
      <c r="D47" s="490"/>
      <c r="E47" s="490"/>
      <c r="F47" s="490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7" t="s">
        <v>289</v>
      </c>
      <c r="C48" s="488"/>
      <c r="D48" s="488"/>
      <c r="E48" s="488"/>
      <c r="F48" s="488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7" t="s">
        <v>323</v>
      </c>
      <c r="C49" s="488"/>
      <c r="D49" s="488"/>
      <c r="E49" s="488"/>
      <c r="F49" s="488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7" t="s">
        <v>343</v>
      </c>
      <c r="C50" s="458"/>
      <c r="D50" s="458"/>
      <c r="E50" s="458"/>
      <c r="F50" s="458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7" t="s">
        <v>370</v>
      </c>
      <c r="C51" s="458"/>
      <c r="D51" s="458"/>
      <c r="E51" s="458"/>
      <c r="F51" s="458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5" t="s">
        <v>362</v>
      </c>
      <c r="C52" s="476"/>
      <c r="D52" s="476"/>
      <c r="E52" s="476"/>
      <c r="F52" s="476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5" t="s">
        <v>368</v>
      </c>
      <c r="C53" s="476"/>
      <c r="D53" s="476"/>
      <c r="E53" s="476"/>
      <c r="F53" s="476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21" t="s">
        <v>695</v>
      </c>
      <c r="C54" s="522"/>
      <c r="D54" s="522"/>
      <c r="E54" s="522"/>
      <c r="F54" s="522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81" t="s">
        <v>553</v>
      </c>
      <c r="C55" s="482"/>
      <c r="D55" s="482"/>
      <c r="E55" s="482"/>
      <c r="F55" s="482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791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83" t="s">
        <v>555</v>
      </c>
      <c r="C57" s="484"/>
      <c r="D57" s="484"/>
      <c r="E57" s="484"/>
      <c r="F57" s="484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5" t="s">
        <v>355</v>
      </c>
      <c r="C58" s="486"/>
      <c r="D58" s="486"/>
      <c r="E58" s="486"/>
      <c r="F58" s="486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73" t="s">
        <v>358</v>
      </c>
      <c r="C59" s="474"/>
      <c r="D59" s="474"/>
      <c r="E59" s="474"/>
      <c r="F59" s="474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7" t="s">
        <v>360</v>
      </c>
      <c r="C60" s="458"/>
      <c r="D60" s="458"/>
      <c r="E60" s="458"/>
      <c r="F60" s="458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7" t="str">
        <f>+VLOOKUP($A61,Master!$D$27:$G$225,4,FALSE)</f>
        <v>Nedostajuća sredstva</v>
      </c>
      <c r="C61" s="478"/>
      <c r="D61" s="478"/>
      <c r="E61" s="478"/>
      <c r="F61" s="478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9" t="str">
        <f>+VLOOKUP($A62,Master!$D$27:$G$225,4,FALSE)</f>
        <v>Finansiranje</v>
      </c>
      <c r="C62" s="480"/>
      <c r="D62" s="480"/>
      <c r="E62" s="480"/>
      <c r="F62" s="480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73" t="str">
        <f>+VLOOKUP($A63,Master!$D$27:$G$225,4,FALSE)</f>
        <v>Pozajmice i krediti od domaćih izvora</v>
      </c>
      <c r="C63" s="474"/>
      <c r="D63" s="474"/>
      <c r="E63" s="474"/>
      <c r="F63" s="474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7" t="str">
        <f>+VLOOKUP($A64,Master!$D$27:$G$225,4,FALSE)</f>
        <v>Pozajmice i krediti od inostranih izvora</v>
      </c>
      <c r="C64" s="458"/>
      <c r="D64" s="458"/>
      <c r="E64" s="458"/>
      <c r="F64" s="458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7" t="str">
        <f>+VLOOKUP($A65,Master!$D$27:$G$225,4,FALSE)</f>
        <v>Primici od prodaje imovine</v>
      </c>
      <c r="C65" s="458"/>
      <c r="D65" s="458"/>
      <c r="E65" s="458"/>
      <c r="F65" s="458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44" t="str">
        <f>+[1]Master!G250</f>
        <v>Plan ostvarenja budžeta</v>
      </c>
      <c r="C102" s="545"/>
      <c r="D102" s="545"/>
      <c r="E102" s="545"/>
      <c r="F102" s="545"/>
      <c r="G102" s="537">
        <v>2017</v>
      </c>
      <c r="H102" s="538"/>
      <c r="I102" s="538"/>
      <c r="J102" s="538"/>
      <c r="K102" s="538"/>
      <c r="L102" s="538"/>
      <c r="M102" s="538"/>
      <c r="N102" s="538"/>
      <c r="O102" s="538"/>
      <c r="P102" s="538"/>
      <c r="Q102" s="538"/>
      <c r="R102" s="539"/>
      <c r="S102" s="115" t="str">
        <f>+S7</f>
        <v>BDP</v>
      </c>
      <c r="T102" s="116">
        <f>+T7</f>
        <v>4299000000</v>
      </c>
    </row>
    <row r="103" spans="1:21" ht="15.75" customHeight="1">
      <c r="B103" s="546"/>
      <c r="C103" s="547"/>
      <c r="D103" s="547"/>
      <c r="E103" s="547"/>
      <c r="F103" s="548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7" t="str">
        <f>+[1]Master!G244</f>
        <v>Jan - Dec</v>
      </c>
      <c r="T103" s="539">
        <f>+T8</f>
        <v>0</v>
      </c>
    </row>
    <row r="104" spans="1:21" ht="13.5" thickBot="1">
      <c r="B104" s="549"/>
      <c r="C104" s="550"/>
      <c r="D104" s="550"/>
      <c r="E104" s="550"/>
      <c r="F104" s="55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0" t="str">
        <f>+VLOOKUP(LEFT($A105,LEN(A105)-1)*1,[1]Master!$D$25:$G$223,4,FALSE)</f>
        <v>Prihodi budžeta</v>
      </c>
      <c r="C105" s="541"/>
      <c r="D105" s="541"/>
      <c r="E105" s="541"/>
      <c r="F105" s="541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42" t="str">
        <f>+VLOOKUP(LEFT($A106,LEN(A106)-1)*1,[1]Master!$D$25:$G$223,4,FALSE)</f>
        <v>Porezi</v>
      </c>
      <c r="C106" s="543"/>
      <c r="D106" s="543"/>
      <c r="E106" s="543"/>
      <c r="F106" s="543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23" t="str">
        <f>+VLOOKUP(LEFT($A107,LEN(A107)-1)*1,[1]Master!$D$25:$G$223,4,FALSE)</f>
        <v>Porez na dohodak fizičkih lica</v>
      </c>
      <c r="C107" s="524"/>
      <c r="D107" s="524"/>
      <c r="E107" s="524"/>
      <c r="F107" s="524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23" t="str">
        <f>+VLOOKUP(LEFT($A108,LEN(A108)-1)*1,[1]Master!$D$25:$G$223,4,FALSE)</f>
        <v>Porez na dobit pravnih lica</v>
      </c>
      <c r="C108" s="524"/>
      <c r="D108" s="524"/>
      <c r="E108" s="524"/>
      <c r="F108" s="524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23" t="str">
        <f>+VLOOKUP(LEFT($A109,LEN(A109)-1)*1,[1]Master!$D$25:$G$223,4,FALSE)</f>
        <v>Porez na promet nepokretnosti</v>
      </c>
      <c r="C109" s="524"/>
      <c r="D109" s="524"/>
      <c r="E109" s="524"/>
      <c r="F109" s="524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23" t="str">
        <f>+VLOOKUP(LEFT($A110,LEN(A110)-1)*1,[1]Master!$D$25:$G$223,4,FALSE)</f>
        <v>Porez na dodatu vrijednost</v>
      </c>
      <c r="C110" s="524"/>
      <c r="D110" s="524"/>
      <c r="E110" s="524"/>
      <c r="F110" s="524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23" t="str">
        <f>+VLOOKUP(LEFT($A111,LEN(A111)-1)*1,[1]Master!$D$25:$G$223,4,FALSE)</f>
        <v>Akcize</v>
      </c>
      <c r="C111" s="524"/>
      <c r="D111" s="524"/>
      <c r="E111" s="524"/>
      <c r="F111" s="524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23" t="str">
        <f>+VLOOKUP(LEFT($A112,LEN(A112)-1)*1,[1]Master!$D$25:$G$223,4,FALSE)</f>
        <v>Porez na međunarodnu trgovinu i transakcije</v>
      </c>
      <c r="C112" s="524"/>
      <c r="D112" s="524"/>
      <c r="E112" s="524"/>
      <c r="F112" s="524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23" t="str">
        <f>+VLOOKUP(LEFT($A113,LEN(A113)-1)*1,[1]Master!$D$25:$G$223,4,FALSE)</f>
        <v>Ostali državni porezi</v>
      </c>
      <c r="C113" s="524"/>
      <c r="D113" s="524"/>
      <c r="E113" s="524"/>
      <c r="F113" s="524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35" t="str">
        <f>+VLOOKUP(LEFT($A114,LEN(A114)-1)*1,[1]Master!$D$25:$G$223,4,FALSE)</f>
        <v>Doprinosi</v>
      </c>
      <c r="C114" s="536"/>
      <c r="D114" s="536"/>
      <c r="E114" s="536"/>
      <c r="F114" s="536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23" t="str">
        <f>+VLOOKUP(LEFT($A115,LEN(A115)-1)*1,[1]Master!$D$25:$G$223,4,FALSE)</f>
        <v>Doprinosi za penzijsko i invalidsko osiguranje</v>
      </c>
      <c r="C115" s="524"/>
      <c r="D115" s="524"/>
      <c r="E115" s="524"/>
      <c r="F115" s="524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23" t="str">
        <f>+VLOOKUP(LEFT($A116,LEN(A116)-1)*1,[1]Master!$D$25:$G$223,4,FALSE)</f>
        <v>Doprinosi za zdravstveno osiguranje</v>
      </c>
      <c r="C116" s="524"/>
      <c r="D116" s="524"/>
      <c r="E116" s="524"/>
      <c r="F116" s="524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23" t="str">
        <f>+VLOOKUP(LEFT($A117,LEN(A117)-1)*1,[1]Master!$D$25:$G$223,4,FALSE)</f>
        <v>Doprinosi za osiguranje od nezaposlenosti</v>
      </c>
      <c r="C117" s="524"/>
      <c r="D117" s="524"/>
      <c r="E117" s="524"/>
      <c r="F117" s="524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23" t="str">
        <f>+VLOOKUP(LEFT($A118,LEN(A118)-1)*1,[1]Master!$D$25:$G$223,4,FALSE)</f>
        <v>Ostali doprinosi</v>
      </c>
      <c r="C118" s="524"/>
      <c r="D118" s="524"/>
      <c r="E118" s="524"/>
      <c r="F118" s="524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7" t="str">
        <f>+VLOOKUP(LEFT($A119,LEN(A119)-1)*1,[1]Master!$D$25:$G$223,4,FALSE)</f>
        <v>Takse</v>
      </c>
      <c r="C119" s="528"/>
      <c r="D119" s="528"/>
      <c r="E119" s="528"/>
      <c r="F119" s="528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7" t="str">
        <f>+VLOOKUP(LEFT($A120,LEN(A120)-1)*1,[1]Master!$D$25:$G$223,4,FALSE)</f>
        <v>Naknade</v>
      </c>
      <c r="C120" s="528"/>
      <c r="D120" s="528"/>
      <c r="E120" s="528"/>
      <c r="F120" s="528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7" t="str">
        <f>+VLOOKUP(LEFT($A121,LEN(A121)-1)*1,[1]Master!$D$25:$G$223,4,FALSE)</f>
        <v>Ostali prihodi</v>
      </c>
      <c r="C121" s="528"/>
      <c r="D121" s="528"/>
      <c r="E121" s="528"/>
      <c r="F121" s="528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7" t="str">
        <f>+VLOOKUP(LEFT($A122,LEN(A122)-1)*1,[1]Master!$D$25:$G$223,4,FALSE)</f>
        <v>Primici od otplate kredita i sredstva prenesena iz prethodne godine</v>
      </c>
      <c r="C122" s="528"/>
      <c r="D122" s="528"/>
      <c r="E122" s="528"/>
      <c r="F122" s="528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9" t="str">
        <f>+VLOOKUP(LEFT($A123,LEN(A123)-1)*1,[1]Master!$D$25:$G$223,4,FALSE)</f>
        <v>Donacije i transferi</v>
      </c>
      <c r="C123" s="530"/>
      <c r="D123" s="530"/>
      <c r="E123" s="530"/>
      <c r="F123" s="530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13" t="str">
        <f>+VLOOKUP(LEFT($A124,LEN(A124)-1)*1,[1]Master!$D$25:$G$223,4,FALSE)</f>
        <v>Budžetki izdaci</v>
      </c>
      <c r="C124" s="514"/>
      <c r="D124" s="514"/>
      <c r="E124" s="514"/>
      <c r="F124" s="514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40p</v>
      </c>
      <c r="B125" s="531" t="str">
        <f>+VLOOKUP(LEFT($A125,LEN(A125)-1)*1,[1]Master!$D$25:$G$223,4,FALSE)</f>
        <v>Tekući budžetski izdaci</v>
      </c>
      <c r="C125" s="532"/>
      <c r="D125" s="532"/>
      <c r="E125" s="532"/>
      <c r="F125" s="532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41p</v>
      </c>
      <c r="B126" s="533" t="str">
        <f>+VLOOKUP(LEFT($A126,LEN(A126)-1)*1,[1]Master!$D$25:$G$223,4,FALSE)</f>
        <v>Tekući izdaci</v>
      </c>
      <c r="C126" s="534"/>
      <c r="D126" s="534"/>
      <c r="E126" s="534"/>
      <c r="F126" s="534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23" t="str">
        <f>+VLOOKUP(LEFT($A127,LEN(A127)-1)*1,[1]Master!$D$25:$G$223,4,FALSE)</f>
        <v>Bruto zarade i doprinosi na teret poslodavca</v>
      </c>
      <c r="C127" s="524"/>
      <c r="D127" s="524"/>
      <c r="E127" s="524"/>
      <c r="F127" s="524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23" t="str">
        <f>+VLOOKUP(LEFT($A128,LEN(A128)-1)*1,[1]Master!$D$25:$G$223,4,FALSE)</f>
        <v>Ostala lična primanja</v>
      </c>
      <c r="C128" s="524"/>
      <c r="D128" s="524"/>
      <c r="E128" s="524"/>
      <c r="F128" s="524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23" t="str">
        <f>+VLOOKUP(LEFT($A129,LEN(A129)-1)*1,[1]Master!$D$25:$G$223,4,FALSE)</f>
        <v>Rashodi za materijal</v>
      </c>
      <c r="C129" s="524"/>
      <c r="D129" s="524"/>
      <c r="E129" s="524"/>
      <c r="F129" s="524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23" t="str">
        <f>+VLOOKUP(LEFT($A130,LEN(A130)-1)*1,[1]Master!$D$25:$G$223,4,FALSE)</f>
        <v>Rashodi za usluge</v>
      </c>
      <c r="C130" s="524"/>
      <c r="D130" s="524"/>
      <c r="E130" s="524"/>
      <c r="F130" s="524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23" t="str">
        <f>+VLOOKUP(LEFT($A131,LEN(A131)-1)*1,[1]Master!$D$25:$G$223,4,FALSE)</f>
        <v>Rashodi za tekuće održavanje</v>
      </c>
      <c r="C131" s="524"/>
      <c r="D131" s="524"/>
      <c r="E131" s="524"/>
      <c r="F131" s="524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23" t="str">
        <f>+VLOOKUP(LEFT($A132,LEN(A132)-1)*1,[1]Master!$D$25:$G$223,4,FALSE)</f>
        <v>Kamate</v>
      </c>
      <c r="C132" s="524"/>
      <c r="D132" s="524"/>
      <c r="E132" s="524"/>
      <c r="F132" s="524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23" t="str">
        <f>+VLOOKUP(LEFT($A133,LEN(A133)-1)*1,[1]Master!$D$25:$G$223,4,FALSE)</f>
        <v>Renta</v>
      </c>
      <c r="C133" s="524"/>
      <c r="D133" s="524"/>
      <c r="E133" s="524"/>
      <c r="F133" s="524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23" t="str">
        <f>+VLOOKUP(LEFT($A134,LEN(A134)-1)*1,[1]Master!$D$25:$G$223,4,FALSE)</f>
        <v>Subvencije</v>
      </c>
      <c r="C134" s="524"/>
      <c r="D134" s="524"/>
      <c r="E134" s="524"/>
      <c r="F134" s="524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23" t="str">
        <f>+VLOOKUP(LEFT($A135,LEN(A135)-1)*1,[1]Master!$D$25:$G$223,4,FALSE)</f>
        <v>Ostali izdaci</v>
      </c>
      <c r="C135" s="524"/>
      <c r="D135" s="524"/>
      <c r="E135" s="524"/>
      <c r="F135" s="524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23" t="str">
        <f>+VLOOKUP(LEFT($A136,LEN(A136)-1)*1,[1]Master!$D$25:$G$223,4,FALSE)</f>
        <v>Kapitalni izdaci u tekućem budžetu</v>
      </c>
      <c r="C136" s="524"/>
      <c r="D136" s="524"/>
      <c r="E136" s="524"/>
      <c r="F136" s="524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9" t="str">
        <f>+VLOOKUP(LEFT($A137,LEN(A137)-1)*1,[1]Master!$D$25:$G$223,4,FALSE)</f>
        <v>Transferi za socijalnu zaštitu</v>
      </c>
      <c r="C137" s="520"/>
      <c r="D137" s="520"/>
      <c r="E137" s="520"/>
      <c r="F137" s="520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23" t="str">
        <f>+VLOOKUP(LEFT($A138,LEN(A138)-1)*1,[1]Master!$D$25:$G$223,4,FALSE)</f>
        <v>Prava iz oblasti socijalne zaštite</v>
      </c>
      <c r="C138" s="524"/>
      <c r="D138" s="524"/>
      <c r="E138" s="524"/>
      <c r="F138" s="524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23" t="str">
        <f>+VLOOKUP(LEFT($A139,LEN(A139)-1)*1,[1]Master!$D$25:$G$223,4,FALSE)</f>
        <v>Sredstva za tehnološke viškove</v>
      </c>
      <c r="C139" s="524"/>
      <c r="D139" s="524"/>
      <c r="E139" s="524"/>
      <c r="F139" s="524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23" t="str">
        <f>+VLOOKUP(LEFT($A140,LEN(A140)-1)*1,[1]Master!$D$25:$G$223,4,FALSE)</f>
        <v>Prava iz oblasti penzijskog i invalidskog osiguranja</v>
      </c>
      <c r="C140" s="524"/>
      <c r="D140" s="524"/>
      <c r="E140" s="524"/>
      <c r="F140" s="524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23" t="str">
        <f>+VLOOKUP(LEFT($A141,LEN(A141)-1)*1,[1]Master!$D$25:$G$223,4,FALSE)</f>
        <v>Ostala prava iz oblasti zdravstvene zaštite</v>
      </c>
      <c r="C141" s="524"/>
      <c r="D141" s="524"/>
      <c r="E141" s="524"/>
      <c r="F141" s="524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23" t="str">
        <f>+VLOOKUP(LEFT($A142,LEN(A142)-1)*1,[1]Master!$D$25:$G$223,4,FALSE)</f>
        <v>Ostala prava iz zdravstvenog osiguranja</v>
      </c>
      <c r="C142" s="524"/>
      <c r="D142" s="524"/>
      <c r="E142" s="524"/>
      <c r="F142" s="524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25" t="str">
        <f>+VLOOKUP(LEFT($A143,LEN(A143)-1)*1,[1]Master!$D$25:$G$223,4,FALSE)</f>
        <v xml:space="preserve">Transferi institucijama, pojedincima, nevladinom i javnom sektoru </v>
      </c>
      <c r="C143" s="526"/>
      <c r="D143" s="526"/>
      <c r="E143" s="526"/>
      <c r="F143" s="526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25" t="str">
        <f>+VLOOKUP(LEFT($A144,LEN(A144)-1)*1,[1]Master!$D$25:$G$223,4,FALSE)</f>
        <v>Kapitalni budžet</v>
      </c>
      <c r="C144" s="526"/>
      <c r="D144" s="526"/>
      <c r="E144" s="526"/>
      <c r="F144" s="526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7" t="str">
        <f>+VLOOKUP(LEFT($A145,LEN(A145)-1)*1,[1]Master!$D$25:$G$223,4,FALSE)</f>
        <v>Pozajmice i krediti</v>
      </c>
      <c r="C145" s="508"/>
      <c r="D145" s="508"/>
      <c r="E145" s="508"/>
      <c r="F145" s="508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7" t="str">
        <f>+VLOOKUP(LEFT($A146,LEN(A146)-1)*1,[1]Master!$D$25:$G$223,4,FALSE)</f>
        <v>Rezerve</v>
      </c>
      <c r="C146" s="508"/>
      <c r="D146" s="508"/>
      <c r="E146" s="508"/>
      <c r="F146" s="508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7" t="str">
        <f>+VLOOKUP(LEFT($A147,LEN(A147)-1)*1,[1]Master!$D$25:$G$223,4,FALSE)</f>
        <v>Otplata garancija</v>
      </c>
      <c r="C147" s="508"/>
      <c r="D147" s="508"/>
      <c r="E147" s="508"/>
      <c r="F147" s="508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694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5" t="str">
        <f>+VLOOKUP(LEFT($A149,LEN(A149)-1)*1,[1]Master!$D$25:$G$223,4,FALSE)</f>
        <v>Suficit / deficit</v>
      </c>
      <c r="C149" s="516"/>
      <c r="D149" s="516"/>
      <c r="E149" s="516"/>
      <c r="F149" s="516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7" t="str">
        <f>+VLOOKUP(LEFT($A150,LEN(A150)-1)*1,[1]Master!$D$25:$G$223,4,FALSE)</f>
        <v>Primarni bilans</v>
      </c>
      <c r="C150" s="518"/>
      <c r="D150" s="518"/>
      <c r="E150" s="518"/>
      <c r="F150" s="518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9" t="str">
        <f>+VLOOKUP(LEFT($A151,LEN(A151)-1)*1,[1]Master!$D$25:$G$223,4,FALSE)</f>
        <v>Otplata dugova</v>
      </c>
      <c r="C151" s="520"/>
      <c r="D151" s="520"/>
      <c r="E151" s="520"/>
      <c r="F151" s="520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9" t="str">
        <f>+VLOOKUP(LEFT($A152,LEN(A152)-1)*1,[1]Master!$D$25:$G$223,4,FALSE)</f>
        <v>Otplata hartija od vrijednosti i kredita rezidentima</v>
      </c>
      <c r="C152" s="510"/>
      <c r="D152" s="510"/>
      <c r="E152" s="510"/>
      <c r="F152" s="510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7" t="str">
        <f>+VLOOKUP(LEFT($A153,LEN(A153)-1)*1,[1]Master!$D$25:$G$223,4,FALSE)</f>
        <v>Otplata hartija od vrijednosti i kredita nerezidentima</v>
      </c>
      <c r="C153" s="508"/>
      <c r="D153" s="508"/>
      <c r="E153" s="508"/>
      <c r="F153" s="508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21" t="str">
        <f>+VLOOKUP(LEFT($A154,LEN(A154)-1)*1,[1]Master!$D$25:$G$223,4,FALSE)</f>
        <v>Otplata obaveza iz prethodnih godina</v>
      </c>
      <c r="C154" s="522"/>
      <c r="D154" s="522"/>
      <c r="E154" s="522"/>
      <c r="F154" s="522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11" t="str">
        <f>+VLOOKUP(LEFT($A155,LEN(A155)-1)*1,[1]Master!$D$25:$G$223,4,FALSE)</f>
        <v>Nedostajuća sredstva</v>
      </c>
      <c r="C155" s="512"/>
      <c r="D155" s="512"/>
      <c r="E155" s="512"/>
      <c r="F155" s="512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13" t="str">
        <f>+VLOOKUP(LEFT($A156,LEN(A156)-1)*1,[1]Master!$D$25:$G$223,4,FALSE)</f>
        <v>Finansiranje</v>
      </c>
      <c r="C156" s="514"/>
      <c r="D156" s="514"/>
      <c r="E156" s="514"/>
      <c r="F156" s="514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9" t="str">
        <f>+VLOOKUP(LEFT($A157,LEN(A157)-1)*1,[1]Master!$D$25:$G$223,4,FALSE)</f>
        <v>Pozajmice i krediti od domaćih izvora</v>
      </c>
      <c r="C157" s="510"/>
      <c r="D157" s="510"/>
      <c r="E157" s="510"/>
      <c r="F157" s="510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7" t="str">
        <f>+VLOOKUP(LEFT($A158,LEN(A158)-1)*1,[1]Master!$D$25:$G$223,4,FALSE)</f>
        <v>Pozajmice i krediti od inostranih izvora</v>
      </c>
      <c r="C158" s="508"/>
      <c r="D158" s="508"/>
      <c r="E158" s="508"/>
      <c r="F158" s="508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7" t="str">
        <f>+VLOOKUP(LEFT($A159,LEN(A159)-1)*1,[1]Master!$D$25:$G$223,4,FALSE)</f>
        <v>Primici od prodaje imovine</v>
      </c>
      <c r="C159" s="508"/>
      <c r="D159" s="508"/>
      <c r="E159" s="508"/>
      <c r="F159" s="508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A32" sqref="A3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703</v>
      </c>
      <c r="H6" s="259" t="s">
        <v>704</v>
      </c>
      <c r="I6" s="259" t="s">
        <v>705</v>
      </c>
      <c r="J6" s="259" t="s">
        <v>706</v>
      </c>
      <c r="K6" s="259" t="s">
        <v>707</v>
      </c>
      <c r="L6" s="259" t="s">
        <v>708</v>
      </c>
      <c r="M6" s="259" t="s">
        <v>709</v>
      </c>
      <c r="N6" s="259" t="s">
        <v>710</v>
      </c>
      <c r="O6" s="259" t="s">
        <v>711</v>
      </c>
      <c r="P6" s="259" t="s">
        <v>712</v>
      </c>
      <c r="Q6" s="259" t="s">
        <v>713</v>
      </c>
      <c r="R6" s="259" t="s">
        <v>714</v>
      </c>
      <c r="S6" s="258"/>
      <c r="T6" s="258"/>
    </row>
    <row r="7" spans="1:20" ht="15" customHeight="1" thickBot="1">
      <c r="A7" s="169"/>
      <c r="B7" s="562" t="str">
        <f>+Master!G251</f>
        <v>Ostvarenje budžeta</v>
      </c>
      <c r="C7" s="460"/>
      <c r="D7" s="460"/>
      <c r="E7" s="460"/>
      <c r="F7" s="460"/>
      <c r="G7" s="468">
        <v>2016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0" t="str">
        <f>+Master!G248</f>
        <v>BDP</v>
      </c>
      <c r="T7" s="261">
        <v>3954200000</v>
      </c>
    </row>
    <row r="8" spans="1:20" ht="16.5" customHeight="1">
      <c r="A8" s="169"/>
      <c r="B8" s="461"/>
      <c r="C8" s="462"/>
      <c r="D8" s="462"/>
      <c r="E8" s="462"/>
      <c r="F8" s="463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8" t="str">
        <f>+Master!G245</f>
        <v>Jan - Avg</v>
      </c>
      <c r="T8" s="472"/>
    </row>
    <row r="9" spans="1:20" ht="13.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1" t="str">
        <f>+VLOOKUP($A10,Master!$D$27:$G$225,4,FALSE)</f>
        <v>Prihodi budžeta</v>
      </c>
      <c r="C10" s="502"/>
      <c r="D10" s="502"/>
      <c r="E10" s="502"/>
      <c r="F10" s="502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503" t="str">
        <f>+VLOOKUP($A11,Master!$D$27:$G$225,4,FALSE)</f>
        <v>Porezi</v>
      </c>
      <c r="C11" s="504"/>
      <c r="D11" s="504"/>
      <c r="E11" s="504"/>
      <c r="F11" s="504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9" t="str">
        <f>+VLOOKUP($A12,Master!$D$27:$G$225,4,FALSE)</f>
        <v>Porez na dohodak fizičkih lica</v>
      </c>
      <c r="C12" s="490"/>
      <c r="D12" s="490"/>
      <c r="E12" s="490"/>
      <c r="F12" s="490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9" t="str">
        <f>+VLOOKUP($A13,Master!$D$27:$G$225,4,FALSE)</f>
        <v>Porez na dobit pravnih lica</v>
      </c>
      <c r="C13" s="490"/>
      <c r="D13" s="490"/>
      <c r="E13" s="490"/>
      <c r="F13" s="490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9" t="str">
        <f>+VLOOKUP($A14,Master!$D$27:$G$225,4,FALSE)</f>
        <v>Porez na promet nepokretnosti</v>
      </c>
      <c r="C14" s="490"/>
      <c r="D14" s="490"/>
      <c r="E14" s="490"/>
      <c r="F14" s="490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9" t="str">
        <f>+VLOOKUP($A15,Master!$D$27:$G$225,4,FALSE)</f>
        <v>Porez na dodatu vrijednost</v>
      </c>
      <c r="C15" s="490"/>
      <c r="D15" s="490"/>
      <c r="E15" s="490"/>
      <c r="F15" s="490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9" t="str">
        <f>+VLOOKUP($A16,Master!$D$27:$G$225,4,FALSE)</f>
        <v>Akcize</v>
      </c>
      <c r="C16" s="490"/>
      <c r="D16" s="490"/>
      <c r="E16" s="490"/>
      <c r="F16" s="490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9" t="str">
        <f>+VLOOKUP($A17,Master!$D$27:$G$225,4,FALSE)</f>
        <v>Porez na međunarodnu trgovinu i transakcije</v>
      </c>
      <c r="C17" s="490"/>
      <c r="D17" s="490"/>
      <c r="E17" s="490"/>
      <c r="F17" s="490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9" t="str">
        <f>+VLOOKUP($A18,Master!$D$27:$G$225,4,FALSE)</f>
        <v>Ostali državni porezi</v>
      </c>
      <c r="C18" s="490"/>
      <c r="D18" s="490"/>
      <c r="E18" s="490"/>
      <c r="F18" s="490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9" t="str">
        <f>+VLOOKUP($A19,Master!$D$27:$G$225,4,FALSE)</f>
        <v>Doprinosi</v>
      </c>
      <c r="C19" s="500"/>
      <c r="D19" s="500"/>
      <c r="E19" s="500"/>
      <c r="F19" s="500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9" t="str">
        <f>+VLOOKUP($A20,Master!$D$27:$G$225,4,FALSE)</f>
        <v>Doprinosi za penzijsko i invalidsko osiguranje</v>
      </c>
      <c r="C20" s="490"/>
      <c r="D20" s="490"/>
      <c r="E20" s="490"/>
      <c r="F20" s="490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9" t="str">
        <f>+VLOOKUP($A21,Master!$D$27:$G$225,4,FALSE)</f>
        <v>Doprinosi za zdravstveno osiguranje</v>
      </c>
      <c r="C21" s="490"/>
      <c r="D21" s="490"/>
      <c r="E21" s="490"/>
      <c r="F21" s="490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9" t="str">
        <f>+VLOOKUP($A22,Master!$D$27:$G$225,4,FALSE)</f>
        <v>Doprinosi za osiguranje od nezaposlenosti</v>
      </c>
      <c r="C22" s="490"/>
      <c r="D22" s="490"/>
      <c r="E22" s="490"/>
      <c r="F22" s="490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9" t="str">
        <f>+VLOOKUP($A23,Master!$D$27:$G$225,4,FALSE)</f>
        <v>Ostali doprinosi</v>
      </c>
      <c r="C23" s="490"/>
      <c r="D23" s="490"/>
      <c r="E23" s="490"/>
      <c r="F23" s="490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91" t="str">
        <f>+VLOOKUP($A24,Master!$D$27:$G$225,4,FALSE)</f>
        <v>Takse</v>
      </c>
      <c r="C24" s="492"/>
      <c r="D24" s="492"/>
      <c r="E24" s="492"/>
      <c r="F24" s="492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91" t="str">
        <f>+VLOOKUP($A25,Master!$D$27:$G$225,4,FALSE)</f>
        <v>Naknade</v>
      </c>
      <c r="C25" s="492"/>
      <c r="D25" s="492"/>
      <c r="E25" s="492"/>
      <c r="F25" s="492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91" t="str">
        <f>+VLOOKUP($A26,Master!$D$27:$G$225,4,FALSE)</f>
        <v>Ostali prihodi</v>
      </c>
      <c r="C26" s="492"/>
      <c r="D26" s="492"/>
      <c r="E26" s="492"/>
      <c r="F26" s="492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91" t="str">
        <f>+VLOOKUP($A27,Master!$D$27:$G$225,4,FALSE)</f>
        <v>Primici od otplate kredita i sredstva prenesena iz prethodne godine</v>
      </c>
      <c r="C27" s="492"/>
      <c r="D27" s="492"/>
      <c r="E27" s="492"/>
      <c r="F27" s="492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93" t="str">
        <f>+VLOOKUP($A28,Master!$D$27:$G$225,4,FALSE)</f>
        <v>Donacije i transferi</v>
      </c>
      <c r="C28" s="494"/>
      <c r="D28" s="494"/>
      <c r="E28" s="494"/>
      <c r="F28" s="494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9" t="str">
        <f>+VLOOKUP($A29,Master!$D$27:$G$225,4,FALSE)</f>
        <v>Budžetski izdaci</v>
      </c>
      <c r="C29" s="480"/>
      <c r="D29" s="480"/>
      <c r="E29" s="480"/>
      <c r="F29" s="480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40</v>
      </c>
      <c r="B30" s="495" t="str">
        <f>+VLOOKUP($A30,Master!$D$27:$G$225,4,FALSE)</f>
        <v>Tekuća budžetska potrošnja</v>
      </c>
      <c r="C30" s="496"/>
      <c r="D30" s="496"/>
      <c r="E30" s="496"/>
      <c r="F30" s="496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41</v>
      </c>
      <c r="B31" s="497" t="str">
        <f>+VLOOKUP($A31,Master!$D$27:$G$225,4,FALSE)</f>
        <v>Tekući izdaci</v>
      </c>
      <c r="C31" s="498"/>
      <c r="D31" s="498"/>
      <c r="E31" s="498"/>
      <c r="F31" s="498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9" t="str">
        <f>+VLOOKUP($A32,Master!$D$27:$G$225,4,FALSE)</f>
        <v>Bruto zarade i doprinosi na teret poslodavca</v>
      </c>
      <c r="C32" s="490"/>
      <c r="D32" s="490"/>
      <c r="E32" s="490"/>
      <c r="F32" s="490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9" t="str">
        <f>+VLOOKUP($A33,Master!$D$27:$G$225,4,FALSE)</f>
        <v>Ostala lična primanja</v>
      </c>
      <c r="C33" s="490"/>
      <c r="D33" s="490"/>
      <c r="E33" s="490"/>
      <c r="F33" s="490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9" t="str">
        <f>+VLOOKUP($A34,Master!$D$27:$G$225,4,FALSE)</f>
        <v>Rashodi za materijal</v>
      </c>
      <c r="C34" s="490"/>
      <c r="D34" s="490"/>
      <c r="E34" s="490"/>
      <c r="F34" s="490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9" t="str">
        <f>+VLOOKUP($A35,Master!$D$27:$G$225,4,FALSE)</f>
        <v>Rashodi za usluge</v>
      </c>
      <c r="C35" s="490"/>
      <c r="D35" s="490"/>
      <c r="E35" s="490"/>
      <c r="F35" s="490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9" t="str">
        <f>+VLOOKUP($A36,Master!$D$27:$G$225,4,FALSE)</f>
        <v>Rashodi za tekuće održavanje</v>
      </c>
      <c r="C36" s="490"/>
      <c r="D36" s="490"/>
      <c r="E36" s="490"/>
      <c r="F36" s="490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9" t="str">
        <f>+VLOOKUP($A37,Master!$D$27:$G$225,4,FALSE)</f>
        <v>Kamate</v>
      </c>
      <c r="C37" s="490"/>
      <c r="D37" s="490"/>
      <c r="E37" s="490"/>
      <c r="F37" s="490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9" t="str">
        <f>+VLOOKUP($A38,Master!$D$27:$G$225,4,FALSE)</f>
        <v>Renta</v>
      </c>
      <c r="C38" s="490"/>
      <c r="D38" s="490"/>
      <c r="E38" s="490"/>
      <c r="F38" s="490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9" t="str">
        <f>+VLOOKUP($A39,Master!$D$27:$G$225,4,FALSE)</f>
        <v>Subvencije</v>
      </c>
      <c r="C39" s="490"/>
      <c r="D39" s="490"/>
      <c r="E39" s="490"/>
      <c r="F39" s="490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9" t="str">
        <f>+VLOOKUP($A40,Master!$D$27:$G$225,4,FALSE)</f>
        <v>Ostali izdaci</v>
      </c>
      <c r="C40" s="490"/>
      <c r="D40" s="490"/>
      <c r="E40" s="490"/>
      <c r="F40" s="490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9" t="str">
        <f>+VLOOKUP($A41,Master!$D$27:$G$225,4,FALSE)</f>
        <v>Kapitalni izdaci u tekućem budžetu</v>
      </c>
      <c r="C41" s="490"/>
      <c r="D41" s="490"/>
      <c r="E41" s="490"/>
      <c r="F41" s="490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5" t="str">
        <f>+VLOOKUP($A42,Master!$D$27:$G$225,4,FALSE)</f>
        <v>Transferi za socijalnu zaštitu</v>
      </c>
      <c r="C42" s="486"/>
      <c r="D42" s="486"/>
      <c r="E42" s="486"/>
      <c r="F42" s="486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9" t="str">
        <f>+VLOOKUP($A43,Master!$D$27:$G$225,4,FALSE)</f>
        <v>Prava iz oblasti socijalne zaštite</v>
      </c>
      <c r="C43" s="490"/>
      <c r="D43" s="490"/>
      <c r="E43" s="490"/>
      <c r="F43" s="490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9" t="str">
        <f>+VLOOKUP($A44,Master!$D$27:$G$225,4,FALSE)</f>
        <v>Sredstva za tehnološke viškove</v>
      </c>
      <c r="C44" s="490"/>
      <c r="D44" s="490"/>
      <c r="E44" s="490"/>
      <c r="F44" s="490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9" t="str">
        <f>+VLOOKUP($A45,Master!$D$27:$G$225,4,FALSE)</f>
        <v>Prava iz oblasti penzijskog i invalidskog osiguranja</v>
      </c>
      <c r="C45" s="490"/>
      <c r="D45" s="490"/>
      <c r="E45" s="490"/>
      <c r="F45" s="490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9" t="str">
        <f>+VLOOKUP($A46,Master!$D$27:$G$225,4,FALSE)</f>
        <v>Ostala prava iz oblasti zdravstvene zaštite</v>
      </c>
      <c r="C46" s="490"/>
      <c r="D46" s="490"/>
      <c r="E46" s="490"/>
      <c r="F46" s="490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9" t="str">
        <f>+VLOOKUP($A47,Master!$D$27:$G$225,4,FALSE)</f>
        <v>Ostala prava iz zdravstvenog osiguranja</v>
      </c>
      <c r="C47" s="490"/>
      <c r="D47" s="490"/>
      <c r="E47" s="490"/>
      <c r="F47" s="490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7" t="str">
        <f>+VLOOKUP($A48,Master!$D$27:$G$225,4,FALSE)</f>
        <v xml:space="preserve">Transferi institucijama, pojedincima, nevladinom i javnom sektoru </v>
      </c>
      <c r="C48" s="488"/>
      <c r="D48" s="488"/>
      <c r="E48" s="488"/>
      <c r="F48" s="488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7" t="str">
        <f>+VLOOKUP($A49,Master!$D$27:$G$225,4,FALSE)</f>
        <v>Kapitalni budžet</v>
      </c>
      <c r="C49" s="488"/>
      <c r="D49" s="488"/>
      <c r="E49" s="488"/>
      <c r="F49" s="488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7" t="str">
        <f>+VLOOKUP($A50,Master!$D$27:$G$225,4,FALSE)</f>
        <v>Pozajmice i krediti</v>
      </c>
      <c r="C50" s="458"/>
      <c r="D50" s="458"/>
      <c r="E50" s="458"/>
      <c r="F50" s="458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7" t="str">
        <f>+VLOOKUP($A51,Master!$D$27:$G$225,4,FALSE)</f>
        <v>Rezerve</v>
      </c>
      <c r="C51" s="458"/>
      <c r="D51" s="458"/>
      <c r="E51" s="458"/>
      <c r="F51" s="458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5" t="str">
        <f>+VLOOKUP($A52,Master!$D$27:$G$225,4,FALSE)</f>
        <v>Otplata garancija</v>
      </c>
      <c r="C52" s="476"/>
      <c r="D52" s="476"/>
      <c r="E52" s="476"/>
      <c r="F52" s="476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5" t="str">
        <f>+VLOOKUP($A53,Master!$D$27:$G$225,4,TRUE)</f>
        <v>Otplata obaveza iz prethodnih godina</v>
      </c>
      <c r="C53" s="476"/>
      <c r="D53" s="476"/>
      <c r="E53" s="476"/>
      <c r="F53" s="476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21" t="str">
        <f>+VLOOKUP($A54,Master!$D$27:$G$227,4,FALSE)</f>
        <v>Neto povećanje obaveza</v>
      </c>
      <c r="C54" s="522"/>
      <c r="D54" s="522"/>
      <c r="E54" s="522"/>
      <c r="F54" s="522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81" t="str">
        <f>+VLOOKUP($A55,Master!$D$27:$G$225,4,FALSE)</f>
        <v>Suficit / deficit</v>
      </c>
      <c r="C55" s="482"/>
      <c r="D55" s="482"/>
      <c r="E55" s="482"/>
      <c r="F55" s="482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8" t="s">
        <v>791</v>
      </c>
      <c r="C56" s="449"/>
      <c r="D56" s="449"/>
      <c r="E56" s="449"/>
      <c r="F56" s="449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81" t="str">
        <f>+VLOOKUP($A57,Master!$D$27:$G$225,4,FALSE)</f>
        <v>Primarni bilans</v>
      </c>
      <c r="C57" s="482"/>
      <c r="D57" s="482"/>
      <c r="E57" s="482"/>
      <c r="F57" s="482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5" t="str">
        <f>+VLOOKUP($A58,Master!$D$27:$G$225,4,FALSE)</f>
        <v>Otplata dugova</v>
      </c>
      <c r="C58" s="486"/>
      <c r="D58" s="486"/>
      <c r="E58" s="486"/>
      <c r="F58" s="486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73" t="str">
        <f>+VLOOKUP($A59,Master!$D$27:$G$225,4,FALSE)</f>
        <v>Otplata hartija od vrijednosti i kredita rezidentima</v>
      </c>
      <c r="C59" s="474"/>
      <c r="D59" s="474"/>
      <c r="E59" s="474"/>
      <c r="F59" s="474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7" t="str">
        <f>+VLOOKUP($A60,Master!$D$27:$G$225,4,FALSE)</f>
        <v>Otplata hartija od vrijednosti i kredita nerezidentima</v>
      </c>
      <c r="C60" s="458"/>
      <c r="D60" s="458"/>
      <c r="E60" s="458"/>
      <c r="F60" s="458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7" t="str">
        <f>+VLOOKUP($A61,Master!$D$27:$G$225,4,FALSE)</f>
        <v>Nedostajuća sredstva</v>
      </c>
      <c r="C61" s="478"/>
      <c r="D61" s="478"/>
      <c r="E61" s="478"/>
      <c r="F61" s="478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9" t="str">
        <f>+VLOOKUP($A62,Master!$D$27:$G$225,4,FALSE)</f>
        <v>Finansiranje</v>
      </c>
      <c r="C62" s="480"/>
      <c r="D62" s="480"/>
      <c r="E62" s="480"/>
      <c r="F62" s="480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73" t="str">
        <f>+VLOOKUP($A63,Master!$D$27:$G$225,4,FALSE)</f>
        <v>Pozajmice i krediti od domaćih izvora</v>
      </c>
      <c r="C63" s="474"/>
      <c r="D63" s="474"/>
      <c r="E63" s="474"/>
      <c r="F63" s="474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7" t="str">
        <f>+VLOOKUP($A64,Master!$D$27:$G$225,4,FALSE)</f>
        <v>Pozajmice i krediti od inostranih izvora</v>
      </c>
      <c r="C64" s="458"/>
      <c r="D64" s="458"/>
      <c r="E64" s="458"/>
      <c r="F64" s="458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7" t="str">
        <f>+VLOOKUP($A65,Master!$D$27:$G$225,4,FALSE)</f>
        <v>Primici od prodaje imovine</v>
      </c>
      <c r="C65" s="458"/>
      <c r="D65" s="458"/>
      <c r="E65" s="458"/>
      <c r="F65" s="458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44" t="str">
        <f>+Master!G252</f>
        <v>Plan ostvarenja budžeta</v>
      </c>
      <c r="C102" s="545"/>
      <c r="D102" s="545"/>
      <c r="E102" s="545"/>
      <c r="F102" s="545"/>
      <c r="G102" s="537">
        <v>2016</v>
      </c>
      <c r="H102" s="538"/>
      <c r="I102" s="538"/>
      <c r="J102" s="538"/>
      <c r="K102" s="538"/>
      <c r="L102" s="538"/>
      <c r="M102" s="538"/>
      <c r="N102" s="538"/>
      <c r="O102" s="538"/>
      <c r="P102" s="538"/>
      <c r="Q102" s="538"/>
      <c r="R102" s="539"/>
      <c r="S102" s="115" t="str">
        <f>+S7</f>
        <v>BDP</v>
      </c>
      <c r="T102" s="116">
        <f>+T7</f>
        <v>3954200000</v>
      </c>
    </row>
    <row r="103" spans="1:21" ht="15.75" customHeight="1">
      <c r="B103" s="546"/>
      <c r="C103" s="547"/>
      <c r="D103" s="547"/>
      <c r="E103" s="547"/>
      <c r="F103" s="548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7" t="str">
        <f>+Master!G246</f>
        <v>Jan - Dec</v>
      </c>
      <c r="T103" s="539">
        <f>+T8</f>
        <v>0</v>
      </c>
    </row>
    <row r="104" spans="1:21" ht="13.5" thickBot="1">
      <c r="B104" s="549"/>
      <c r="C104" s="550"/>
      <c r="D104" s="550"/>
      <c r="E104" s="550"/>
      <c r="F104" s="55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0" t="str">
        <f>+VLOOKUP(LEFT($A105,LEN(A105)-1)*1,Master!$D$27:$G$225,4,FALSE)</f>
        <v>Prihodi budžeta</v>
      </c>
      <c r="C105" s="541"/>
      <c r="D105" s="541"/>
      <c r="E105" s="541"/>
      <c r="F105" s="541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42" t="str">
        <f>+VLOOKUP(LEFT($A106,LEN(A106)-1)*1,Master!$D$27:$G$225,4,FALSE)</f>
        <v>Porezi</v>
      </c>
      <c r="C106" s="543"/>
      <c r="D106" s="543"/>
      <c r="E106" s="543"/>
      <c r="F106" s="543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23" t="str">
        <f>+VLOOKUP(LEFT($A107,LEN(A107)-1)*1,Master!$D$27:$G$225,4,FALSE)</f>
        <v>Porez na dohodak fizičkih lica</v>
      </c>
      <c r="C107" s="524"/>
      <c r="D107" s="524"/>
      <c r="E107" s="524"/>
      <c r="F107" s="524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23" t="str">
        <f>+VLOOKUP(LEFT($A108,LEN(A108)-1)*1,Master!$D$27:$G$225,4,FALSE)</f>
        <v>Porez na dobit pravnih lica</v>
      </c>
      <c r="C108" s="524"/>
      <c r="D108" s="524"/>
      <c r="E108" s="524"/>
      <c r="F108" s="524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23" t="str">
        <f>+VLOOKUP(LEFT($A109,LEN(A109)-1)*1,Master!$D$27:$G$225,4,FALSE)</f>
        <v>Porez na promet nepokretnosti</v>
      </c>
      <c r="C109" s="524"/>
      <c r="D109" s="524"/>
      <c r="E109" s="524"/>
      <c r="F109" s="524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23" t="str">
        <f>+VLOOKUP(LEFT($A110,LEN(A110)-1)*1,Master!$D$27:$G$225,4,FALSE)</f>
        <v>Porez na dodatu vrijednost</v>
      </c>
      <c r="C110" s="524"/>
      <c r="D110" s="524"/>
      <c r="E110" s="524"/>
      <c r="F110" s="524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23" t="str">
        <f>+VLOOKUP(LEFT($A111,LEN(A111)-1)*1,Master!$D$27:$G$225,4,FALSE)</f>
        <v>Akcize</v>
      </c>
      <c r="C111" s="524"/>
      <c r="D111" s="524"/>
      <c r="E111" s="524"/>
      <c r="F111" s="524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23" t="str">
        <f>+VLOOKUP(LEFT($A112,LEN(A112)-1)*1,Master!$D$27:$G$225,4,FALSE)</f>
        <v>Porez na međunarodnu trgovinu i transakcije</v>
      </c>
      <c r="C112" s="524"/>
      <c r="D112" s="524"/>
      <c r="E112" s="524"/>
      <c r="F112" s="524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23" t="str">
        <f>+VLOOKUP(LEFT($A113,LEN(A113)-1)*1,Master!$D$27:$G$225,4,FALSE)</f>
        <v>Ostali državni porezi</v>
      </c>
      <c r="C113" s="524"/>
      <c r="D113" s="524"/>
      <c r="E113" s="524"/>
      <c r="F113" s="524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35" t="str">
        <f>+VLOOKUP(LEFT($A114,LEN(A114)-1)*1,Master!$D$27:$G$225,4,FALSE)</f>
        <v>Doprinosi</v>
      </c>
      <c r="C114" s="536"/>
      <c r="D114" s="536"/>
      <c r="E114" s="536"/>
      <c r="F114" s="536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23" t="str">
        <f>+VLOOKUP(LEFT($A115,LEN(A115)-1)*1,Master!$D$27:$G$225,4,FALSE)</f>
        <v>Doprinosi za penzijsko i invalidsko osiguranje</v>
      </c>
      <c r="C115" s="524"/>
      <c r="D115" s="524"/>
      <c r="E115" s="524"/>
      <c r="F115" s="524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23" t="str">
        <f>+VLOOKUP(LEFT($A116,LEN(A116)-1)*1,Master!$D$27:$G$225,4,FALSE)</f>
        <v>Doprinosi za zdravstveno osiguranje</v>
      </c>
      <c r="C116" s="524"/>
      <c r="D116" s="524"/>
      <c r="E116" s="524"/>
      <c r="F116" s="524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23" t="str">
        <f>+VLOOKUP(LEFT($A117,LEN(A117)-1)*1,Master!$D$27:$G$225,4,FALSE)</f>
        <v>Doprinosi za osiguranje od nezaposlenosti</v>
      </c>
      <c r="C117" s="524"/>
      <c r="D117" s="524"/>
      <c r="E117" s="524"/>
      <c r="F117" s="524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23" t="str">
        <f>+VLOOKUP(LEFT($A118,LEN(A118)-1)*1,Master!$D$27:$G$225,4,FALSE)</f>
        <v>Ostali doprinosi</v>
      </c>
      <c r="C118" s="524"/>
      <c r="D118" s="524"/>
      <c r="E118" s="524"/>
      <c r="F118" s="524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7" t="str">
        <f>+VLOOKUP(LEFT($A119,LEN(A119)-1)*1,Master!$D$27:$G$225,4,FALSE)</f>
        <v>Takse</v>
      </c>
      <c r="C119" s="528"/>
      <c r="D119" s="528"/>
      <c r="E119" s="528"/>
      <c r="F119" s="528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7" t="str">
        <f>+VLOOKUP(LEFT($A120,LEN(A120)-1)*1,Master!$D$27:$G$225,4,FALSE)</f>
        <v>Naknade</v>
      </c>
      <c r="C120" s="528"/>
      <c r="D120" s="528"/>
      <c r="E120" s="528"/>
      <c r="F120" s="528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7" t="str">
        <f>+VLOOKUP(LEFT($A121,LEN(A121)-1)*1,Master!$D$27:$G$225,4,FALSE)</f>
        <v>Ostali prihodi</v>
      </c>
      <c r="C121" s="528"/>
      <c r="D121" s="528"/>
      <c r="E121" s="528"/>
      <c r="F121" s="528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7" t="str">
        <f>+VLOOKUP(LEFT($A122,LEN(A122)-1)*1,Master!$D$27:$G$225,4,FALSE)</f>
        <v>Primici od otplate kredita i sredstva prenesena iz prethodne godine</v>
      </c>
      <c r="C122" s="528"/>
      <c r="D122" s="528"/>
      <c r="E122" s="528"/>
      <c r="F122" s="528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9" t="str">
        <f>+VLOOKUP(LEFT($A123,LEN(A123)-1)*1,Master!$D$27:$G$225,4,FALSE)</f>
        <v>Donacije i transferi</v>
      </c>
      <c r="C123" s="530"/>
      <c r="D123" s="530"/>
      <c r="E123" s="530"/>
      <c r="F123" s="530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13" t="str">
        <f>+VLOOKUP(LEFT($A124,LEN(A124)-1)*1,Master!$D$27:$G$225,4,FALSE)</f>
        <v>Budžetski izdaci</v>
      </c>
      <c r="C124" s="514"/>
      <c r="D124" s="514"/>
      <c r="E124" s="514"/>
      <c r="F124" s="514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40p</v>
      </c>
      <c r="B125" s="531" t="str">
        <f>+VLOOKUP(LEFT($A125,LEN(A125)-1)*1,Master!$D$27:$G$225,4,FALSE)</f>
        <v>Tekuća budžetska potrošnja</v>
      </c>
      <c r="C125" s="532"/>
      <c r="D125" s="532"/>
      <c r="E125" s="532"/>
      <c r="F125" s="532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41p</v>
      </c>
      <c r="B126" s="533" t="str">
        <f>+VLOOKUP(LEFT($A126,LEN(A126)-1)*1,Master!$D$27:$G$225,4,FALSE)</f>
        <v>Tekući izdaci</v>
      </c>
      <c r="C126" s="534"/>
      <c r="D126" s="534"/>
      <c r="E126" s="534"/>
      <c r="F126" s="534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23" t="str">
        <f>+VLOOKUP(LEFT($A127,LEN(A127)-1)*1,Master!$D$27:$G$225,4,FALSE)</f>
        <v>Bruto zarade i doprinosi na teret poslodavca</v>
      </c>
      <c r="C127" s="524"/>
      <c r="D127" s="524"/>
      <c r="E127" s="524"/>
      <c r="F127" s="524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23" t="str">
        <f>+VLOOKUP(LEFT($A128,LEN(A128)-1)*1,Master!$D$27:$G$225,4,FALSE)</f>
        <v>Ostala lična primanja</v>
      </c>
      <c r="C128" s="524"/>
      <c r="D128" s="524"/>
      <c r="E128" s="524"/>
      <c r="F128" s="524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23" t="str">
        <f>+VLOOKUP(LEFT($A129,LEN(A129)-1)*1,Master!$D$27:$G$225,4,FALSE)</f>
        <v>Rashodi za materijal</v>
      </c>
      <c r="C129" s="524"/>
      <c r="D129" s="524"/>
      <c r="E129" s="524"/>
      <c r="F129" s="524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23" t="str">
        <f>+VLOOKUP(LEFT($A130,LEN(A130)-1)*1,Master!$D$27:$G$225,4,FALSE)</f>
        <v>Rashodi za usluge</v>
      </c>
      <c r="C130" s="524"/>
      <c r="D130" s="524"/>
      <c r="E130" s="524"/>
      <c r="F130" s="524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23" t="str">
        <f>+VLOOKUP(LEFT($A131,LEN(A131)-1)*1,Master!$D$27:$G$225,4,FALSE)</f>
        <v>Rashodi za tekuće održavanje</v>
      </c>
      <c r="C131" s="524"/>
      <c r="D131" s="524"/>
      <c r="E131" s="524"/>
      <c r="F131" s="524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23" t="str">
        <f>+VLOOKUP(LEFT($A132,LEN(A132)-1)*1,Master!$D$27:$G$225,4,FALSE)</f>
        <v>Kamate</v>
      </c>
      <c r="C132" s="524"/>
      <c r="D132" s="524"/>
      <c r="E132" s="524"/>
      <c r="F132" s="524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23" t="str">
        <f>+VLOOKUP(LEFT($A133,LEN(A133)-1)*1,Master!$D$27:$G$225,4,FALSE)</f>
        <v>Renta</v>
      </c>
      <c r="C133" s="524"/>
      <c r="D133" s="524"/>
      <c r="E133" s="524"/>
      <c r="F133" s="524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23" t="str">
        <f>+VLOOKUP(LEFT($A134,LEN(A134)-1)*1,Master!$D$27:$G$225,4,FALSE)</f>
        <v>Subvencije</v>
      </c>
      <c r="C134" s="524"/>
      <c r="D134" s="524"/>
      <c r="E134" s="524"/>
      <c r="F134" s="524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23" t="str">
        <f>+VLOOKUP(LEFT($A135,LEN(A135)-1)*1,Master!$D$27:$G$225,4,FALSE)</f>
        <v>Ostali izdaci</v>
      </c>
      <c r="C135" s="524"/>
      <c r="D135" s="524"/>
      <c r="E135" s="524"/>
      <c r="F135" s="524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23" t="str">
        <f>+VLOOKUP(LEFT($A136,LEN(A136)-1)*1,Master!$D$27:$G$225,4,FALSE)</f>
        <v>Kapitalni izdaci u tekućem budžetu</v>
      </c>
      <c r="C136" s="524"/>
      <c r="D136" s="524"/>
      <c r="E136" s="524"/>
      <c r="F136" s="524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9" t="str">
        <f>+VLOOKUP(LEFT($A137,LEN(A137)-1)*1,Master!$D$27:$G$225,4,FALSE)</f>
        <v>Transferi za socijalnu zaštitu</v>
      </c>
      <c r="C137" s="520"/>
      <c r="D137" s="520"/>
      <c r="E137" s="520"/>
      <c r="F137" s="520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23" t="str">
        <f>+VLOOKUP(LEFT($A138,LEN(A138)-1)*1,Master!$D$27:$G$225,4,FALSE)</f>
        <v>Prava iz oblasti socijalne zaštite</v>
      </c>
      <c r="C138" s="524"/>
      <c r="D138" s="524"/>
      <c r="E138" s="524"/>
      <c r="F138" s="524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23" t="str">
        <f>+VLOOKUP(LEFT($A139,LEN(A139)-1)*1,Master!$D$27:$G$225,4,FALSE)</f>
        <v>Sredstva za tehnološke viškove</v>
      </c>
      <c r="C139" s="524"/>
      <c r="D139" s="524"/>
      <c r="E139" s="524"/>
      <c r="F139" s="524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23" t="str">
        <f>+VLOOKUP(LEFT($A140,LEN(A140)-1)*1,Master!$D$27:$G$225,4,FALSE)</f>
        <v>Prava iz oblasti penzijskog i invalidskog osiguranja</v>
      </c>
      <c r="C140" s="524"/>
      <c r="D140" s="524"/>
      <c r="E140" s="524"/>
      <c r="F140" s="524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23" t="str">
        <f>+VLOOKUP(LEFT($A141,LEN(A141)-1)*1,Master!$D$27:$G$225,4,FALSE)</f>
        <v>Ostala prava iz oblasti zdravstvene zaštite</v>
      </c>
      <c r="C141" s="524"/>
      <c r="D141" s="524"/>
      <c r="E141" s="524"/>
      <c r="F141" s="524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23" t="str">
        <f>+VLOOKUP(LEFT($A142,LEN(A142)-1)*1,Master!$D$27:$G$225,4,FALSE)</f>
        <v>Ostala prava iz zdravstvenog osiguranja</v>
      </c>
      <c r="C142" s="524"/>
      <c r="D142" s="524"/>
      <c r="E142" s="524"/>
      <c r="F142" s="524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25" t="str">
        <f>+VLOOKUP(LEFT($A143,LEN(A143)-1)*1,Master!$D$27:$G$225,4,FALSE)</f>
        <v xml:space="preserve">Transferi institucijama, pojedincima, nevladinom i javnom sektoru </v>
      </c>
      <c r="C143" s="526"/>
      <c r="D143" s="526"/>
      <c r="E143" s="526"/>
      <c r="F143" s="526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25" t="str">
        <f>+VLOOKUP(LEFT($A144,LEN(A144)-1)*1,Master!$D$27:$G$225,4,FALSE)</f>
        <v>Kapitalni budžet</v>
      </c>
      <c r="C144" s="526"/>
      <c r="D144" s="526"/>
      <c r="E144" s="526"/>
      <c r="F144" s="526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7" t="str">
        <f>+VLOOKUP(LEFT($A145,LEN(A145)-1)*1,Master!$D$27:$G$225,4,FALSE)</f>
        <v>Pozajmice i krediti</v>
      </c>
      <c r="C145" s="508"/>
      <c r="D145" s="508"/>
      <c r="E145" s="508"/>
      <c r="F145" s="508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7" t="str">
        <f>+VLOOKUP(LEFT($A146,LEN(A146)-1)*1,Master!$D$27:$G$225,4,FALSE)</f>
        <v>Rezerve</v>
      </c>
      <c r="C146" s="508"/>
      <c r="D146" s="508"/>
      <c r="E146" s="508"/>
      <c r="F146" s="508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7" t="str">
        <f>+VLOOKUP(LEFT($A147,LEN(A147)-1)*1,Master!$D$27:$G$225,4,FALSE)</f>
        <v>Otplata garancija</v>
      </c>
      <c r="C147" s="508"/>
      <c r="D147" s="508"/>
      <c r="E147" s="508"/>
      <c r="F147" s="508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695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5" t="str">
        <f>+VLOOKUP(LEFT($A149,LEN(A149)-1)*1,Master!$D$27:$G$225,4,FALSE)</f>
        <v>Suficit / deficit</v>
      </c>
      <c r="C149" s="516"/>
      <c r="D149" s="516"/>
      <c r="E149" s="516"/>
      <c r="F149" s="516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7" t="str">
        <f>+VLOOKUP(LEFT($A150,LEN(A150)-1)*1,Master!$D$27:$G$225,4,FALSE)</f>
        <v>Primarni bilans</v>
      </c>
      <c r="C150" s="518"/>
      <c r="D150" s="518"/>
      <c r="E150" s="518"/>
      <c r="F150" s="518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9" t="str">
        <f>+VLOOKUP(LEFT($A151,LEN(A151)-1)*1,Master!$D$27:$G$225,4,FALSE)</f>
        <v>Otplata dugova</v>
      </c>
      <c r="C151" s="520"/>
      <c r="D151" s="520"/>
      <c r="E151" s="520"/>
      <c r="F151" s="520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9" t="str">
        <f>+VLOOKUP(LEFT($A152,LEN(A152)-1)*1,Master!$D$27:$G$225,4,FALSE)</f>
        <v>Otplata hartija od vrijednosti i kredita rezidentima</v>
      </c>
      <c r="C152" s="510"/>
      <c r="D152" s="510"/>
      <c r="E152" s="510"/>
      <c r="F152" s="510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7" t="str">
        <f>+VLOOKUP(LEFT($A153,LEN(A153)-1)*1,Master!$D$27:$G$225,4,FALSE)</f>
        <v>Otplata hartija od vrijednosti i kredita nerezidentima</v>
      </c>
      <c r="C153" s="508"/>
      <c r="D153" s="508"/>
      <c r="E153" s="508"/>
      <c r="F153" s="508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21" t="str">
        <f>+VLOOKUP(LEFT($A154,LEN(A154)-1)*1,Master!$D$27:$G$225,4,FALSE)</f>
        <v>Otplata obaveza iz prethodnih godina</v>
      </c>
      <c r="C154" s="522"/>
      <c r="D154" s="522"/>
      <c r="E154" s="522"/>
      <c r="F154" s="522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11" t="str">
        <f>+VLOOKUP(LEFT($A155,LEN(A155)-1)*1,Master!$D$27:$G$225,4,FALSE)</f>
        <v>Nedostajuća sredstva</v>
      </c>
      <c r="C155" s="512"/>
      <c r="D155" s="512"/>
      <c r="E155" s="512"/>
      <c r="F155" s="512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13" t="str">
        <f>+VLOOKUP(LEFT($A156,LEN(A156)-1)*1,Master!$D$27:$G$225,4,FALSE)</f>
        <v>Finansiranje</v>
      </c>
      <c r="C156" s="514"/>
      <c r="D156" s="514"/>
      <c r="E156" s="514"/>
      <c r="F156" s="514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9" t="str">
        <f>+VLOOKUP(LEFT($A157,LEN(A157)-1)*1,Master!$D$27:$G$225,4,FALSE)</f>
        <v>Pozajmice i krediti od domaćih izvora</v>
      </c>
      <c r="C157" s="510"/>
      <c r="D157" s="510"/>
      <c r="E157" s="510"/>
      <c r="F157" s="510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7" t="str">
        <f>+VLOOKUP(LEFT($A158,LEN(A158)-1)*1,Master!$D$27:$G$225,4,FALSE)</f>
        <v>Pozajmice i krediti od inostranih izvora</v>
      </c>
      <c r="C158" s="508"/>
      <c r="D158" s="508"/>
      <c r="E158" s="508"/>
      <c r="F158" s="508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7" t="str">
        <f>+VLOOKUP(LEFT($A159,LEN(A159)-1)*1,Master!$D$27:$G$225,4,FALSE)</f>
        <v>Primici od prodaje imovine</v>
      </c>
      <c r="C159" s="508"/>
      <c r="D159" s="508"/>
      <c r="E159" s="508"/>
      <c r="F159" s="508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537</v>
      </c>
      <c r="H6" s="259" t="s">
        <v>538</v>
      </c>
      <c r="I6" s="259" t="s">
        <v>539</v>
      </c>
      <c r="J6" s="259" t="s">
        <v>540</v>
      </c>
      <c r="K6" s="259" t="s">
        <v>541</v>
      </c>
      <c r="L6" s="259" t="s">
        <v>542</v>
      </c>
      <c r="M6" s="259" t="s">
        <v>543</v>
      </c>
      <c r="N6" s="259" t="s">
        <v>544</v>
      </c>
      <c r="O6" s="259" t="s">
        <v>545</v>
      </c>
      <c r="P6" s="259" t="s">
        <v>546</v>
      </c>
      <c r="Q6" s="259" t="s">
        <v>547</v>
      </c>
      <c r="R6" s="259" t="s">
        <v>548</v>
      </c>
      <c r="S6" s="258"/>
      <c r="T6" s="258"/>
    </row>
    <row r="7" spans="1:20" ht="15" customHeight="1" thickBot="1">
      <c r="A7" s="169"/>
      <c r="B7" s="562" t="str">
        <f>+Master!G251</f>
        <v>Ostvarenje budžeta</v>
      </c>
      <c r="C7" s="460"/>
      <c r="D7" s="460"/>
      <c r="E7" s="460"/>
      <c r="F7" s="460"/>
      <c r="G7" s="468">
        <v>2015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0" t="str">
        <f>+Master!G248</f>
        <v>BDP</v>
      </c>
      <c r="T7" s="261">
        <v>3655000000</v>
      </c>
    </row>
    <row r="8" spans="1:20" ht="16.5" customHeight="1">
      <c r="A8" s="169"/>
      <c r="B8" s="461"/>
      <c r="C8" s="462"/>
      <c r="D8" s="462"/>
      <c r="E8" s="462"/>
      <c r="F8" s="463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8" t="s">
        <v>735</v>
      </c>
      <c r="T8" s="472"/>
    </row>
    <row r="9" spans="1:20" ht="13.5" thickBot="1">
      <c r="A9" s="169"/>
      <c r="B9" s="464"/>
      <c r="C9" s="465"/>
      <c r="D9" s="465"/>
      <c r="E9" s="465"/>
      <c r="F9" s="466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1" t="str">
        <f>+VLOOKUP($A10,Master!$D$27:$G$225,4,FALSE)</f>
        <v>Prihodi budžeta</v>
      </c>
      <c r="C10" s="502"/>
      <c r="D10" s="502"/>
      <c r="E10" s="502"/>
      <c r="F10" s="502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503" t="str">
        <f>+VLOOKUP($A11,Master!$D$27:$G$225,4,FALSE)</f>
        <v>Porezi</v>
      </c>
      <c r="C11" s="504"/>
      <c r="D11" s="504"/>
      <c r="E11" s="504"/>
      <c r="F11" s="504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9" t="str">
        <f>+VLOOKUP($A12,Master!$D$27:$G$225,4,FALSE)</f>
        <v>Porez na dohodak fizičkih lica</v>
      </c>
      <c r="C12" s="490"/>
      <c r="D12" s="490"/>
      <c r="E12" s="490"/>
      <c r="F12" s="490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9" t="str">
        <f>+VLOOKUP($A13,Master!$D$27:$G$225,4,FALSE)</f>
        <v>Porez na dobit pravnih lica</v>
      </c>
      <c r="C13" s="490"/>
      <c r="D13" s="490"/>
      <c r="E13" s="490"/>
      <c r="F13" s="490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9" t="str">
        <f>+VLOOKUP($A14,Master!$D$27:$G$225,4,FALSE)</f>
        <v>Porez na promet nepokretnosti</v>
      </c>
      <c r="C14" s="490"/>
      <c r="D14" s="490"/>
      <c r="E14" s="490"/>
      <c r="F14" s="490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9" t="str">
        <f>+VLOOKUP($A15,Master!$D$27:$G$225,4,FALSE)</f>
        <v>Porez na dodatu vrijednost</v>
      </c>
      <c r="C15" s="490"/>
      <c r="D15" s="490"/>
      <c r="E15" s="490"/>
      <c r="F15" s="490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9" t="str">
        <f>+VLOOKUP($A16,Master!$D$27:$G$225,4,FALSE)</f>
        <v>Akcize</v>
      </c>
      <c r="C16" s="490"/>
      <c r="D16" s="490"/>
      <c r="E16" s="490"/>
      <c r="F16" s="490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9" t="str">
        <f>+VLOOKUP($A17,Master!$D$27:$G$225,4,FALSE)</f>
        <v>Porez na međunarodnu trgovinu i transakcije</v>
      </c>
      <c r="C17" s="490"/>
      <c r="D17" s="490"/>
      <c r="E17" s="490"/>
      <c r="F17" s="490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9" t="str">
        <f>+VLOOKUP($A18,Master!$D$27:$G$225,4,FALSE)</f>
        <v>Ostali državni porezi</v>
      </c>
      <c r="C18" s="490"/>
      <c r="D18" s="490"/>
      <c r="E18" s="490"/>
      <c r="F18" s="490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9" t="str">
        <f>+VLOOKUP($A19,Master!$D$27:$G$225,4,FALSE)</f>
        <v>Doprinosi</v>
      </c>
      <c r="C19" s="500"/>
      <c r="D19" s="500"/>
      <c r="E19" s="500"/>
      <c r="F19" s="500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9" t="str">
        <f>+VLOOKUP($A20,Master!$D$27:$G$225,4,FALSE)</f>
        <v>Doprinosi za penzijsko i invalidsko osiguranje</v>
      </c>
      <c r="C20" s="490"/>
      <c r="D20" s="490"/>
      <c r="E20" s="490"/>
      <c r="F20" s="490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9" t="str">
        <f>+VLOOKUP($A21,Master!$D$27:$G$225,4,FALSE)</f>
        <v>Doprinosi za zdravstveno osiguranje</v>
      </c>
      <c r="C21" s="490"/>
      <c r="D21" s="490"/>
      <c r="E21" s="490"/>
      <c r="F21" s="490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9" t="str">
        <f>+VLOOKUP($A22,Master!$D$27:$G$225,4,FALSE)</f>
        <v>Doprinosi za osiguranje od nezaposlenosti</v>
      </c>
      <c r="C22" s="490"/>
      <c r="D22" s="490"/>
      <c r="E22" s="490"/>
      <c r="F22" s="490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9" t="str">
        <f>+VLOOKUP($A23,Master!$D$27:$G$225,4,FALSE)</f>
        <v>Ostali doprinosi</v>
      </c>
      <c r="C23" s="490"/>
      <c r="D23" s="490"/>
      <c r="E23" s="490"/>
      <c r="F23" s="490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91" t="str">
        <f>+VLOOKUP($A24,Master!$D$27:$G$225,4,FALSE)</f>
        <v>Takse</v>
      </c>
      <c r="C24" s="492"/>
      <c r="D24" s="492"/>
      <c r="E24" s="492"/>
      <c r="F24" s="492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91" t="str">
        <f>+VLOOKUP($A25,Master!$D$27:$G$225,4,FALSE)</f>
        <v>Naknade</v>
      </c>
      <c r="C25" s="492"/>
      <c r="D25" s="492"/>
      <c r="E25" s="492"/>
      <c r="F25" s="492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91" t="str">
        <f>+VLOOKUP($A26,Master!$D$27:$G$225,4,FALSE)</f>
        <v>Ostali prihodi</v>
      </c>
      <c r="C26" s="492"/>
      <c r="D26" s="492"/>
      <c r="E26" s="492"/>
      <c r="F26" s="492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91" t="str">
        <f>+VLOOKUP($A27,Master!$D$27:$G$225,4,FALSE)</f>
        <v>Primici od otplate kredita i sredstva prenesena iz prethodne godine</v>
      </c>
      <c r="C27" s="492"/>
      <c r="D27" s="492"/>
      <c r="E27" s="492"/>
      <c r="F27" s="492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93" t="str">
        <f>+VLOOKUP($A28,Master!$D$27:$G$225,4,FALSE)</f>
        <v>Donacije i transferi</v>
      </c>
      <c r="C28" s="494"/>
      <c r="D28" s="494"/>
      <c r="E28" s="494"/>
      <c r="F28" s="494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9" t="str">
        <f>+VLOOKUP($A29,Master!$D$27:$G$225,4,FALSE)</f>
        <v>Budžetski izdaci</v>
      </c>
      <c r="C29" s="480"/>
      <c r="D29" s="480"/>
      <c r="E29" s="480"/>
      <c r="F29" s="480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5" t="str">
        <f>+VLOOKUP($A30,Master!$D$27:$G$225,4,FALSE)</f>
        <v>Tekući izdaci</v>
      </c>
      <c r="C30" s="496"/>
      <c r="D30" s="496"/>
      <c r="E30" s="496"/>
      <c r="F30" s="496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7" t="str">
        <f>+VLOOKUP($A31,Master!$D$27:$G$225,4,FALSE)</f>
        <v>Tekuća budžetska potrošnja</v>
      </c>
      <c r="C31" s="498"/>
      <c r="D31" s="498"/>
      <c r="E31" s="498"/>
      <c r="F31" s="498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9" t="str">
        <f>+VLOOKUP($A32,Master!$D$27:$G$225,4,FALSE)</f>
        <v>Bruto zarade i doprinosi na teret poslodavca</v>
      </c>
      <c r="C32" s="490"/>
      <c r="D32" s="490"/>
      <c r="E32" s="490"/>
      <c r="F32" s="490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9" t="str">
        <f>+VLOOKUP($A33,Master!$D$27:$G$225,4,FALSE)</f>
        <v>Ostala lična primanja</v>
      </c>
      <c r="C33" s="490"/>
      <c r="D33" s="490"/>
      <c r="E33" s="490"/>
      <c r="F33" s="490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9" t="str">
        <f>+VLOOKUP($A34,Master!$D$27:$G$225,4,FALSE)</f>
        <v>Rashodi za materijal</v>
      </c>
      <c r="C34" s="490"/>
      <c r="D34" s="490"/>
      <c r="E34" s="490"/>
      <c r="F34" s="490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9" t="str">
        <f>+VLOOKUP($A35,Master!$D$27:$G$225,4,FALSE)</f>
        <v>Rashodi za usluge</v>
      </c>
      <c r="C35" s="490"/>
      <c r="D35" s="490"/>
      <c r="E35" s="490"/>
      <c r="F35" s="490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9" t="str">
        <f>+VLOOKUP($A36,Master!$D$27:$G$225,4,FALSE)</f>
        <v>Rashodi za tekuće održavanje</v>
      </c>
      <c r="C36" s="490"/>
      <c r="D36" s="490"/>
      <c r="E36" s="490"/>
      <c r="F36" s="490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9" t="str">
        <f>+VLOOKUP($A37,Master!$D$27:$G$225,4,FALSE)</f>
        <v>Kamate</v>
      </c>
      <c r="C37" s="490"/>
      <c r="D37" s="490"/>
      <c r="E37" s="490"/>
      <c r="F37" s="490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9" t="str">
        <f>+VLOOKUP($A38,Master!$D$27:$G$225,4,FALSE)</f>
        <v>Renta</v>
      </c>
      <c r="C38" s="490"/>
      <c r="D38" s="490"/>
      <c r="E38" s="490"/>
      <c r="F38" s="490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9" t="str">
        <f>+VLOOKUP($A39,Master!$D$27:$G$225,4,FALSE)</f>
        <v>Subvencije</v>
      </c>
      <c r="C39" s="490"/>
      <c r="D39" s="490"/>
      <c r="E39" s="490"/>
      <c r="F39" s="490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9" t="str">
        <f>+VLOOKUP($A40,Master!$D$27:$G$225,4,FALSE)</f>
        <v>Ostali izdaci</v>
      </c>
      <c r="C40" s="490"/>
      <c r="D40" s="490"/>
      <c r="E40" s="490"/>
      <c r="F40" s="490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9" t="str">
        <f>+VLOOKUP($A41,Master!$D$27:$G$225,4,FALSE)</f>
        <v>Kapitalni izdaci u tekućem budžetu</v>
      </c>
      <c r="C41" s="490"/>
      <c r="D41" s="490"/>
      <c r="E41" s="490"/>
      <c r="F41" s="490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5" t="str">
        <f>+VLOOKUP($A42,Master!$D$27:$G$225,4,FALSE)</f>
        <v>Transferi za socijalnu zaštitu</v>
      </c>
      <c r="C42" s="486"/>
      <c r="D42" s="486"/>
      <c r="E42" s="486"/>
      <c r="F42" s="486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9" t="str">
        <f>+VLOOKUP($A43,Master!$D$27:$G$225,4,FALSE)</f>
        <v>Prava iz oblasti socijalne zaštite</v>
      </c>
      <c r="C43" s="490"/>
      <c r="D43" s="490"/>
      <c r="E43" s="490"/>
      <c r="F43" s="490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9" t="str">
        <f>+VLOOKUP($A44,Master!$D$27:$G$225,4,FALSE)</f>
        <v>Sredstva za tehnološke viškove</v>
      </c>
      <c r="C44" s="490"/>
      <c r="D44" s="490"/>
      <c r="E44" s="490"/>
      <c r="F44" s="490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9" t="str">
        <f>+VLOOKUP($A45,Master!$D$27:$G$225,4,FALSE)</f>
        <v>Prava iz oblasti penzijskog i invalidskog osiguranja</v>
      </c>
      <c r="C45" s="490"/>
      <c r="D45" s="490"/>
      <c r="E45" s="490"/>
      <c r="F45" s="490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9" t="str">
        <f>+VLOOKUP($A46,Master!$D$27:$G$225,4,FALSE)</f>
        <v>Ostala prava iz oblasti zdravstvene zaštite</v>
      </c>
      <c r="C46" s="490"/>
      <c r="D46" s="490"/>
      <c r="E46" s="490"/>
      <c r="F46" s="490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9" t="str">
        <f>+VLOOKUP($A47,Master!$D$27:$G$225,4,FALSE)</f>
        <v>Ostala prava iz zdravstvenog osiguranja</v>
      </c>
      <c r="C47" s="490"/>
      <c r="D47" s="490"/>
      <c r="E47" s="490"/>
      <c r="F47" s="490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7" t="str">
        <f>+VLOOKUP($A48,Master!$D$27:$G$225,4,FALSE)</f>
        <v xml:space="preserve">Transferi institucijama, pojedincima, nevladinom i javnom sektoru </v>
      </c>
      <c r="C48" s="488"/>
      <c r="D48" s="488"/>
      <c r="E48" s="488"/>
      <c r="F48" s="488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7" t="str">
        <f>+VLOOKUP($A49,Master!$D$27:$G$225,4,FALSE)</f>
        <v>Kapitalni budžet</v>
      </c>
      <c r="C49" s="488"/>
      <c r="D49" s="488"/>
      <c r="E49" s="488"/>
      <c r="F49" s="488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7" t="str">
        <f>+VLOOKUP($A50,Master!$D$27:$G$225,4,FALSE)</f>
        <v>Pozajmice i krediti</v>
      </c>
      <c r="C50" s="458"/>
      <c r="D50" s="458"/>
      <c r="E50" s="458"/>
      <c r="F50" s="458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7" t="str">
        <f>+VLOOKUP($A51,Master!$D$27:$G$225,4,FALSE)</f>
        <v>Rezerve</v>
      </c>
      <c r="C51" s="458"/>
      <c r="D51" s="458"/>
      <c r="E51" s="458"/>
      <c r="F51" s="458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5" t="str">
        <f>+VLOOKUP($A52,Master!$D$27:$G$225,4,FALSE)</f>
        <v>Otplata garancija</v>
      </c>
      <c r="C52" s="476"/>
      <c r="D52" s="476"/>
      <c r="E52" s="476"/>
      <c r="F52" s="476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5" t="str">
        <f>+VLOOKUP($A53,Master!$D$27:$G$225,4,TRUE)</f>
        <v>Otplata obaveza iz prethodnih godina</v>
      </c>
      <c r="C53" s="476"/>
      <c r="D53" s="476"/>
      <c r="E53" s="476"/>
      <c r="F53" s="476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21" t="str">
        <f>+VLOOKUP($A54,Master!$D$27:$G$227,4,FALSE)</f>
        <v>Neto povećanje obaveza</v>
      </c>
      <c r="C54" s="522"/>
      <c r="D54" s="522"/>
      <c r="E54" s="522"/>
      <c r="F54" s="522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81" t="str">
        <f>+VLOOKUP($A55,Master!$D$27:$G$225,4,FALSE)</f>
        <v>Suficit / deficit</v>
      </c>
      <c r="C55" s="482"/>
      <c r="D55" s="482"/>
      <c r="E55" s="482"/>
      <c r="F55" s="482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772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83" t="str">
        <f>+VLOOKUP($A57,Master!$D$27:$G$225,4,FALSE)</f>
        <v>Primarni bilans</v>
      </c>
      <c r="C57" s="484"/>
      <c r="D57" s="484"/>
      <c r="E57" s="484"/>
      <c r="F57" s="484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5" t="str">
        <f>+VLOOKUP($A58,Master!$D$27:$G$225,4,FALSE)</f>
        <v>Otplata dugova</v>
      </c>
      <c r="C58" s="486"/>
      <c r="D58" s="486"/>
      <c r="E58" s="486"/>
      <c r="F58" s="486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73" t="str">
        <f>+VLOOKUP($A59,Master!$D$27:$G$225,4,FALSE)</f>
        <v>Otplata hartija od vrijednosti i kredita rezidentima</v>
      </c>
      <c r="C59" s="474"/>
      <c r="D59" s="474"/>
      <c r="E59" s="474"/>
      <c r="F59" s="474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7" t="str">
        <f>+VLOOKUP($A60,Master!$D$27:$G$225,4,FALSE)</f>
        <v>Otplata hartija od vrijednosti i kredita nerezidentima</v>
      </c>
      <c r="C60" s="458"/>
      <c r="D60" s="458"/>
      <c r="E60" s="458"/>
      <c r="F60" s="458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7" t="str">
        <f>+VLOOKUP($A61,Master!$D$27:$G$225,4,FALSE)</f>
        <v>Nedostajuća sredstva</v>
      </c>
      <c r="C61" s="478"/>
      <c r="D61" s="478"/>
      <c r="E61" s="478"/>
      <c r="F61" s="478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9" t="str">
        <f>+VLOOKUP($A62,Master!$D$27:$G$225,4,FALSE)</f>
        <v>Finansiranje</v>
      </c>
      <c r="C62" s="480"/>
      <c r="D62" s="480"/>
      <c r="E62" s="480"/>
      <c r="F62" s="480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73" t="str">
        <f>+VLOOKUP($A63,Master!$D$27:$G$225,4,FALSE)</f>
        <v>Pozajmice i krediti od domaćih izvora</v>
      </c>
      <c r="C63" s="474"/>
      <c r="D63" s="474"/>
      <c r="E63" s="474"/>
      <c r="F63" s="474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7" t="str">
        <f>+VLOOKUP($A64,Master!$D$27:$G$225,4,FALSE)</f>
        <v>Pozajmice i krediti od inostranih izvora</v>
      </c>
      <c r="C64" s="458"/>
      <c r="D64" s="458"/>
      <c r="E64" s="458"/>
      <c r="F64" s="458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7" t="str">
        <f>+VLOOKUP($A65,Master!$D$27:$G$225,4,FALSE)</f>
        <v>Primici od prodaje imovine</v>
      </c>
      <c r="C65" s="458"/>
      <c r="D65" s="458"/>
      <c r="E65" s="458"/>
      <c r="F65" s="458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44" t="str">
        <f>+Master!G252</f>
        <v>Plan ostvarenja budžeta</v>
      </c>
      <c r="C102" s="545"/>
      <c r="D102" s="545"/>
      <c r="E102" s="545"/>
      <c r="F102" s="545"/>
      <c r="G102" s="537">
        <v>2015</v>
      </c>
      <c r="H102" s="538"/>
      <c r="I102" s="538"/>
      <c r="J102" s="538"/>
      <c r="K102" s="538"/>
      <c r="L102" s="538"/>
      <c r="M102" s="538"/>
      <c r="N102" s="538"/>
      <c r="O102" s="538"/>
      <c r="P102" s="538"/>
      <c r="Q102" s="538"/>
      <c r="R102" s="539"/>
      <c r="S102" s="115" t="str">
        <f>+S7</f>
        <v>BDP</v>
      </c>
      <c r="T102" s="116">
        <f>+T7</f>
        <v>3655000000</v>
      </c>
    </row>
    <row r="103" spans="1:21" ht="15.75" customHeight="1">
      <c r="B103" s="546"/>
      <c r="C103" s="547"/>
      <c r="D103" s="547"/>
      <c r="E103" s="547"/>
      <c r="F103" s="548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7" t="str">
        <f>+Master!G246</f>
        <v>Jan - Dec</v>
      </c>
      <c r="T103" s="539">
        <f>+T8</f>
        <v>0</v>
      </c>
    </row>
    <row r="104" spans="1:21" ht="13.5" thickBot="1">
      <c r="B104" s="549"/>
      <c r="C104" s="550"/>
      <c r="D104" s="550"/>
      <c r="E104" s="550"/>
      <c r="F104" s="55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0" t="str">
        <f>+VLOOKUP(LEFT($A105,LEN(A105)-1)*1,Master!$D$27:$G$225,4,FALSE)</f>
        <v>Prihodi budžeta</v>
      </c>
      <c r="C105" s="541"/>
      <c r="D105" s="541"/>
      <c r="E105" s="541"/>
      <c r="F105" s="541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42" t="str">
        <f>+VLOOKUP(LEFT($A106,LEN(A106)-1)*1,Master!$D$27:$G$225,4,FALSE)</f>
        <v>Porezi</v>
      </c>
      <c r="C106" s="543"/>
      <c r="D106" s="543"/>
      <c r="E106" s="543"/>
      <c r="F106" s="543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23" t="str">
        <f>+VLOOKUP(LEFT($A107,LEN(A107)-1)*1,Master!$D$27:$G$225,4,FALSE)</f>
        <v>Porez na dohodak fizičkih lica</v>
      </c>
      <c r="C107" s="524"/>
      <c r="D107" s="524"/>
      <c r="E107" s="524"/>
      <c r="F107" s="524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23" t="str">
        <f>+VLOOKUP(LEFT($A108,LEN(A108)-1)*1,Master!$D$27:$G$225,4,FALSE)</f>
        <v>Porez na dobit pravnih lica</v>
      </c>
      <c r="C108" s="524"/>
      <c r="D108" s="524"/>
      <c r="E108" s="524"/>
      <c r="F108" s="524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23" t="str">
        <f>+VLOOKUP(LEFT($A109,LEN(A109)-1)*1,Master!$D$27:$G$225,4,FALSE)</f>
        <v>Porez na promet nepokretnosti</v>
      </c>
      <c r="C109" s="524"/>
      <c r="D109" s="524"/>
      <c r="E109" s="524"/>
      <c r="F109" s="524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23" t="str">
        <f>+VLOOKUP(LEFT($A110,LEN(A110)-1)*1,Master!$D$27:$G$225,4,FALSE)</f>
        <v>Porez na dodatu vrijednost</v>
      </c>
      <c r="C110" s="524"/>
      <c r="D110" s="524"/>
      <c r="E110" s="524"/>
      <c r="F110" s="524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23" t="str">
        <f>+VLOOKUP(LEFT($A111,LEN(A111)-1)*1,Master!$D$27:$G$225,4,FALSE)</f>
        <v>Akcize</v>
      </c>
      <c r="C111" s="524"/>
      <c r="D111" s="524"/>
      <c r="E111" s="524"/>
      <c r="F111" s="524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23" t="str">
        <f>+VLOOKUP(LEFT($A112,LEN(A112)-1)*1,Master!$D$27:$G$225,4,FALSE)</f>
        <v>Porez na međunarodnu trgovinu i transakcije</v>
      </c>
      <c r="C112" s="524"/>
      <c r="D112" s="524"/>
      <c r="E112" s="524"/>
      <c r="F112" s="524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23" t="str">
        <f>+VLOOKUP(LEFT($A113,LEN(A113)-1)*1,Master!$D$27:$G$225,4,FALSE)</f>
        <v>Ostali državni porezi</v>
      </c>
      <c r="C113" s="524"/>
      <c r="D113" s="524"/>
      <c r="E113" s="524"/>
      <c r="F113" s="524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35" t="str">
        <f>+VLOOKUP(LEFT($A114,LEN(A114)-1)*1,Master!$D$27:$G$225,4,FALSE)</f>
        <v>Doprinosi</v>
      </c>
      <c r="C114" s="536"/>
      <c r="D114" s="536"/>
      <c r="E114" s="536"/>
      <c r="F114" s="536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23" t="str">
        <f>+VLOOKUP(LEFT($A115,LEN(A115)-1)*1,Master!$D$27:$G$225,4,FALSE)</f>
        <v>Doprinosi za penzijsko i invalidsko osiguranje</v>
      </c>
      <c r="C115" s="524"/>
      <c r="D115" s="524"/>
      <c r="E115" s="524"/>
      <c r="F115" s="524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23" t="str">
        <f>+VLOOKUP(LEFT($A116,LEN(A116)-1)*1,Master!$D$27:$G$225,4,FALSE)</f>
        <v>Doprinosi za zdravstveno osiguranje</v>
      </c>
      <c r="C116" s="524"/>
      <c r="D116" s="524"/>
      <c r="E116" s="524"/>
      <c r="F116" s="524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23" t="str">
        <f>+VLOOKUP(LEFT($A117,LEN(A117)-1)*1,Master!$D$27:$G$225,4,FALSE)</f>
        <v>Doprinosi za osiguranje od nezaposlenosti</v>
      </c>
      <c r="C117" s="524"/>
      <c r="D117" s="524"/>
      <c r="E117" s="524"/>
      <c r="F117" s="524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23" t="str">
        <f>+VLOOKUP(LEFT($A118,LEN(A118)-1)*1,Master!$D$27:$G$225,4,FALSE)</f>
        <v>Ostali doprinosi</v>
      </c>
      <c r="C118" s="524"/>
      <c r="D118" s="524"/>
      <c r="E118" s="524"/>
      <c r="F118" s="524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7" t="str">
        <f>+VLOOKUP(LEFT($A119,LEN(A119)-1)*1,Master!$D$27:$G$225,4,FALSE)</f>
        <v>Takse</v>
      </c>
      <c r="C119" s="528"/>
      <c r="D119" s="528"/>
      <c r="E119" s="528"/>
      <c r="F119" s="528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7" t="str">
        <f>+VLOOKUP(LEFT($A120,LEN(A120)-1)*1,Master!$D$27:$G$225,4,FALSE)</f>
        <v>Naknade</v>
      </c>
      <c r="C120" s="528"/>
      <c r="D120" s="528"/>
      <c r="E120" s="528"/>
      <c r="F120" s="528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7" t="str">
        <f>+VLOOKUP(LEFT($A121,LEN(A121)-1)*1,Master!$D$27:$G$225,4,FALSE)</f>
        <v>Ostali prihodi</v>
      </c>
      <c r="C121" s="528"/>
      <c r="D121" s="528"/>
      <c r="E121" s="528"/>
      <c r="F121" s="528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7" t="str">
        <f>+VLOOKUP(LEFT($A122,LEN(A122)-1)*1,Master!$D$27:$G$225,4,FALSE)</f>
        <v>Primici od otplate kredita i sredstva prenesena iz prethodne godine</v>
      </c>
      <c r="C122" s="528"/>
      <c r="D122" s="528"/>
      <c r="E122" s="528"/>
      <c r="F122" s="528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9" t="str">
        <f>+VLOOKUP(LEFT($A123,LEN(A123)-1)*1,Master!$D$27:$G$225,4,FALSE)</f>
        <v>Donacije i transferi</v>
      </c>
      <c r="C123" s="530"/>
      <c r="D123" s="530"/>
      <c r="E123" s="530"/>
      <c r="F123" s="530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13" t="str">
        <f>+VLOOKUP(LEFT($A124,LEN(A124)-1)*1,Master!$D$27:$G$225,4,FALSE)</f>
        <v>Budžetski izdaci</v>
      </c>
      <c r="C124" s="514"/>
      <c r="D124" s="514"/>
      <c r="E124" s="514"/>
      <c r="F124" s="514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31" t="str">
        <f>+VLOOKUP(LEFT($A125,LEN(A125)-1)*1,Master!$D$27:$G$225,4,FALSE)</f>
        <v>Tekući izdaci</v>
      </c>
      <c r="C125" s="532"/>
      <c r="D125" s="532"/>
      <c r="E125" s="532"/>
      <c r="F125" s="532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33" t="str">
        <f>+VLOOKUP(LEFT($A126,LEN(A126)-1)*1,Master!$D$27:$G$225,4,FALSE)</f>
        <v>Tekuća budžetska potrošnja</v>
      </c>
      <c r="C126" s="534"/>
      <c r="D126" s="534"/>
      <c r="E126" s="534"/>
      <c r="F126" s="534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23" t="str">
        <f>+VLOOKUP(LEFT($A127,LEN(A127)-1)*1,Master!$D$27:$G$225,4,FALSE)</f>
        <v>Bruto zarade i doprinosi na teret poslodavca</v>
      </c>
      <c r="C127" s="524"/>
      <c r="D127" s="524"/>
      <c r="E127" s="524"/>
      <c r="F127" s="524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23" t="str">
        <f>+VLOOKUP(LEFT($A128,LEN(A128)-1)*1,Master!$D$27:$G$225,4,FALSE)</f>
        <v>Ostala lična primanja</v>
      </c>
      <c r="C128" s="524"/>
      <c r="D128" s="524"/>
      <c r="E128" s="524"/>
      <c r="F128" s="524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23" t="str">
        <f>+VLOOKUP(LEFT($A129,LEN(A129)-1)*1,Master!$D$27:$G$225,4,FALSE)</f>
        <v>Rashodi za materijal</v>
      </c>
      <c r="C129" s="524"/>
      <c r="D129" s="524"/>
      <c r="E129" s="524"/>
      <c r="F129" s="524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23" t="str">
        <f>+VLOOKUP(LEFT($A130,LEN(A130)-1)*1,Master!$D$27:$G$225,4,FALSE)</f>
        <v>Rashodi za usluge</v>
      </c>
      <c r="C130" s="524"/>
      <c r="D130" s="524"/>
      <c r="E130" s="524"/>
      <c r="F130" s="524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23" t="str">
        <f>+VLOOKUP(LEFT($A131,LEN(A131)-1)*1,Master!$D$27:$G$225,4,FALSE)</f>
        <v>Rashodi za tekuće održavanje</v>
      </c>
      <c r="C131" s="524"/>
      <c r="D131" s="524"/>
      <c r="E131" s="524"/>
      <c r="F131" s="524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23" t="str">
        <f>+VLOOKUP(LEFT($A132,LEN(A132)-1)*1,Master!$D$27:$G$225,4,FALSE)</f>
        <v>Kamate</v>
      </c>
      <c r="C132" s="524"/>
      <c r="D132" s="524"/>
      <c r="E132" s="524"/>
      <c r="F132" s="524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23" t="str">
        <f>+VLOOKUP(LEFT($A133,LEN(A133)-1)*1,Master!$D$27:$G$225,4,FALSE)</f>
        <v>Renta</v>
      </c>
      <c r="C133" s="524"/>
      <c r="D133" s="524"/>
      <c r="E133" s="524"/>
      <c r="F133" s="524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23" t="str">
        <f>+VLOOKUP(LEFT($A134,LEN(A134)-1)*1,Master!$D$27:$G$225,4,FALSE)</f>
        <v>Subvencije</v>
      </c>
      <c r="C134" s="524"/>
      <c r="D134" s="524"/>
      <c r="E134" s="524"/>
      <c r="F134" s="524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23" t="str">
        <f>+VLOOKUP(LEFT($A135,LEN(A135)-1)*1,Master!$D$27:$G$225,4,FALSE)</f>
        <v>Ostali izdaci</v>
      </c>
      <c r="C135" s="524"/>
      <c r="D135" s="524"/>
      <c r="E135" s="524"/>
      <c r="F135" s="524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23" t="str">
        <f>+VLOOKUP(LEFT($A136,LEN(A136)-1)*1,Master!$D$27:$G$225,4,FALSE)</f>
        <v>Kapitalni izdaci u tekućem budžetu</v>
      </c>
      <c r="C136" s="524"/>
      <c r="D136" s="524"/>
      <c r="E136" s="524"/>
      <c r="F136" s="524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9" t="str">
        <f>+VLOOKUP(LEFT($A137,LEN(A137)-1)*1,Master!$D$27:$G$225,4,FALSE)</f>
        <v>Transferi za socijalnu zaštitu</v>
      </c>
      <c r="C137" s="520"/>
      <c r="D137" s="520"/>
      <c r="E137" s="520"/>
      <c r="F137" s="520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23" t="str">
        <f>+VLOOKUP(LEFT($A138,LEN(A138)-1)*1,Master!$D$27:$G$225,4,FALSE)</f>
        <v>Prava iz oblasti socijalne zaštite</v>
      </c>
      <c r="C138" s="524"/>
      <c r="D138" s="524"/>
      <c r="E138" s="524"/>
      <c r="F138" s="524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23" t="str">
        <f>+VLOOKUP(LEFT($A139,LEN(A139)-1)*1,Master!$D$27:$G$225,4,FALSE)</f>
        <v>Sredstva za tehnološke viškove</v>
      </c>
      <c r="C139" s="524"/>
      <c r="D139" s="524"/>
      <c r="E139" s="524"/>
      <c r="F139" s="524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23" t="str">
        <f>+VLOOKUP(LEFT($A140,LEN(A140)-1)*1,Master!$D$27:$G$225,4,FALSE)</f>
        <v>Prava iz oblasti penzijskog i invalidskog osiguranja</v>
      </c>
      <c r="C140" s="524"/>
      <c r="D140" s="524"/>
      <c r="E140" s="524"/>
      <c r="F140" s="524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23" t="str">
        <f>+VLOOKUP(LEFT($A141,LEN(A141)-1)*1,Master!$D$27:$G$225,4,FALSE)</f>
        <v>Ostala prava iz oblasti zdravstvene zaštite</v>
      </c>
      <c r="C141" s="524"/>
      <c r="D141" s="524"/>
      <c r="E141" s="524"/>
      <c r="F141" s="524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23" t="str">
        <f>+VLOOKUP(LEFT($A142,LEN(A142)-1)*1,Master!$D$27:$G$225,4,FALSE)</f>
        <v>Ostala prava iz zdravstvenog osiguranja</v>
      </c>
      <c r="C142" s="524"/>
      <c r="D142" s="524"/>
      <c r="E142" s="524"/>
      <c r="F142" s="524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25" t="str">
        <f>+VLOOKUP(LEFT($A143,LEN(A143)-1)*1,Master!$D$27:$G$225,4,FALSE)</f>
        <v xml:space="preserve">Transferi institucijama, pojedincima, nevladinom i javnom sektoru </v>
      </c>
      <c r="C143" s="526"/>
      <c r="D143" s="526"/>
      <c r="E143" s="526"/>
      <c r="F143" s="526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25" t="str">
        <f>+VLOOKUP(LEFT($A144,LEN(A144)-1)*1,Master!$D$27:$G$225,4,FALSE)</f>
        <v>Kapitalni budžet</v>
      </c>
      <c r="C144" s="526"/>
      <c r="D144" s="526"/>
      <c r="E144" s="526"/>
      <c r="F144" s="526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7" t="str">
        <f>+VLOOKUP(LEFT($A145,LEN(A145)-1)*1,Master!$D$27:$G$225,4,FALSE)</f>
        <v>Pozajmice i krediti</v>
      </c>
      <c r="C145" s="508"/>
      <c r="D145" s="508"/>
      <c r="E145" s="508"/>
      <c r="F145" s="508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7" t="str">
        <f>+VLOOKUP(LEFT($A146,LEN(A146)-1)*1,Master!$D$27:$G$225,4,FALSE)</f>
        <v>Rezerve</v>
      </c>
      <c r="C146" s="508"/>
      <c r="D146" s="508"/>
      <c r="E146" s="508"/>
      <c r="F146" s="508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21" t="str">
        <f>+VLOOKUP(LEFT($A147,LEN(A147)-1)*1,Master!$D$27:$G$225,4,FALSE)</f>
        <v>Otplata garancija</v>
      </c>
      <c r="C147" s="522"/>
      <c r="D147" s="522"/>
      <c r="E147" s="522"/>
      <c r="F147" s="522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5" t="str">
        <f>+VLOOKUP(LEFT($A148,LEN(A148)-1)*1,Master!$D$27:$G$225,4,FALSE)</f>
        <v>Suficit / deficit</v>
      </c>
      <c r="C148" s="516"/>
      <c r="D148" s="516"/>
      <c r="E148" s="516"/>
      <c r="F148" s="516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7" t="str">
        <f>+VLOOKUP(LEFT($A149,LEN(A149)-1)*1,Master!$D$27:$G$225,4,FALSE)</f>
        <v>Primarni bilans</v>
      </c>
      <c r="C149" s="518"/>
      <c r="D149" s="518"/>
      <c r="E149" s="518"/>
      <c r="F149" s="518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9" t="str">
        <f>+VLOOKUP(LEFT($A150,LEN(A150)-1)*1,Master!$D$27:$G$225,4,FALSE)</f>
        <v>Otplata dugova</v>
      </c>
      <c r="C150" s="520"/>
      <c r="D150" s="520"/>
      <c r="E150" s="520"/>
      <c r="F150" s="520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9" t="str">
        <f>+VLOOKUP(LEFT($A151,LEN(A151)-1)*1,Master!$D$27:$G$225,4,FALSE)</f>
        <v>Otplata hartija od vrijednosti i kredita rezidentima</v>
      </c>
      <c r="C151" s="510"/>
      <c r="D151" s="510"/>
      <c r="E151" s="510"/>
      <c r="F151" s="510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7" t="str">
        <f>+VLOOKUP(LEFT($A152,LEN(A152)-1)*1,Master!$D$27:$G$225,4,FALSE)</f>
        <v>Otplata hartija od vrijednosti i kredita nerezidentima</v>
      </c>
      <c r="C152" s="508"/>
      <c r="D152" s="508"/>
      <c r="E152" s="508"/>
      <c r="F152" s="508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21" t="str">
        <f>+VLOOKUP(LEFT($A153,LEN(A153)-1)*1,Master!$D$27:$G$225,4,FALSE)</f>
        <v>Otplata obaveza iz prethodnih godina</v>
      </c>
      <c r="C153" s="522"/>
      <c r="D153" s="522"/>
      <c r="E153" s="522"/>
      <c r="F153" s="522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11" t="str">
        <f>+VLOOKUP(LEFT($A154,LEN(A154)-1)*1,Master!$D$27:$G$225,4,FALSE)</f>
        <v>Nedostajuća sredstva</v>
      </c>
      <c r="C154" s="512"/>
      <c r="D154" s="512"/>
      <c r="E154" s="512"/>
      <c r="F154" s="512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13" t="str">
        <f>+VLOOKUP(LEFT($A155,LEN(A155)-1)*1,Master!$D$27:$G$225,4,FALSE)</f>
        <v>Finansiranje</v>
      </c>
      <c r="C155" s="514"/>
      <c r="D155" s="514"/>
      <c r="E155" s="514"/>
      <c r="F155" s="514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9" t="str">
        <f>+VLOOKUP(LEFT($A156,LEN(A156)-1)*1,Master!$D$27:$G$225,4,FALSE)</f>
        <v>Pozajmice i krediti od domaćih izvora</v>
      </c>
      <c r="C156" s="510"/>
      <c r="D156" s="510"/>
      <c r="E156" s="510"/>
      <c r="F156" s="510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7" t="str">
        <f>+VLOOKUP(LEFT($A157,LEN(A157)-1)*1,Master!$D$27:$G$225,4,FALSE)</f>
        <v>Pozajmice i krediti od inostranih izvora</v>
      </c>
      <c r="C157" s="508"/>
      <c r="D157" s="508"/>
      <c r="E157" s="508"/>
      <c r="F157" s="508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7" t="str">
        <f>+VLOOKUP(LEFT($A158,LEN(A158)-1)*1,Master!$D$27:$G$225,4,FALSE)</f>
        <v>Primici od prodaje imovine</v>
      </c>
      <c r="C158" s="508"/>
      <c r="D158" s="508"/>
      <c r="E158" s="508"/>
      <c r="F158" s="508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Sheet1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Nevena Cobeljic</cp:lastModifiedBy>
  <cp:lastPrinted>2017-03-01T13:10:49Z</cp:lastPrinted>
  <dcterms:created xsi:type="dcterms:W3CDTF">2014-09-15T13:41:17Z</dcterms:created>
  <dcterms:modified xsi:type="dcterms:W3CDTF">2019-10-31T08:21:39Z</dcterms:modified>
</cp:coreProperties>
</file>