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1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agana.nedic\Desktop\DRAGANA NEDIC BACKUP\Desktop\DRAGANA 2026\ANALIZA I IZVJEŠTAJI\SEPTEMBAR 2026\26102026\ZA OBJAVU\"/>
    </mc:Choice>
  </mc:AlternateContent>
  <xr:revisionPtr revIDLastSave="0" documentId="13_ncr:1_{97089F0E-725E-4405-8256-C033B95E81EC}" xr6:coauthVersionLast="36" xr6:coauthVersionMax="36" xr10:uidLastSave="{00000000-0000-0000-0000-000000000000}"/>
  <workbookProtection workbookAlgorithmName="SHA-512" workbookHashValue="U0IGZ/rWrrf5st4LhC3aOlKlljpwybnbMFy6Mj5fNgS5sYeIdU2TDzrXYgaZiSsTsfHNJVIx46geVj96/74N/w==" workbookSaltValue="xsIOA1t5neSzuQHCZBJ2zg==" workbookSpinCount="100000" lockStructure="1"/>
  <bookViews>
    <workbookView xWindow="0" yWindow="0" windowWidth="13800" windowHeight="8145" tabRatio="587" firstSheet="1" activeTab="1" xr2:uid="{00000000-000D-0000-FFFF-FFFF00000000}"/>
  </bookViews>
  <sheets>
    <sheet name="Analitika - 2014" sheetId="3" state="hidden" r:id="rId1"/>
    <sheet name="Pregled" sheetId="1" r:id="rId2"/>
    <sheet name="2024" sheetId="26" state="hidden" r:id="rId3"/>
    <sheet name="Analitika 2026" sheetId="11" r:id="rId4"/>
    <sheet name="2025" sheetId="29" state="hidden" r:id="rId5"/>
    <sheet name="2026" sheetId="28" r:id="rId6"/>
    <sheet name="2023" sheetId="27" state="hidden" r:id="rId7"/>
    <sheet name="2022" sheetId="25" state="hidden" r:id="rId8"/>
    <sheet name="2021" sheetId="22" state="hidden" r:id="rId9"/>
    <sheet name="2020" sheetId="19" state="hidden" r:id="rId10"/>
    <sheet name="2019" sheetId="20" state="hidden" r:id="rId11"/>
    <sheet name="2018" sheetId="21" state="hidden" r:id="rId12"/>
    <sheet name="DataEx" sheetId="6" state="hidden" r:id="rId13"/>
    <sheet name="Master" sheetId="2" state="hidden" r:id="rId14"/>
  </sheets>
  <externalReferences>
    <externalReference r:id="rId15"/>
  </externalReferences>
  <definedNames>
    <definedName name="_2015plan" localSheetId="11">'2018'!$A$103:$A$162</definedName>
    <definedName name="_2015plan" localSheetId="10">'2019'!$A$100:$A$159</definedName>
    <definedName name="_2015plan" localSheetId="9">'2020'!$A$100:$A$157</definedName>
    <definedName name="_2015plan" localSheetId="8">'2021'!$A$81:$A$138</definedName>
    <definedName name="_2015plan" localSheetId="7">'2022'!$A$83:$A$140</definedName>
    <definedName name="_2015plan" localSheetId="6">'2023'!$A$83:$A$142</definedName>
    <definedName name="_2015plan" localSheetId="2">'2024'!$A$83:$A$142</definedName>
    <definedName name="_2015plan" localSheetId="4">'2025'!$A$83:$A$142</definedName>
    <definedName name="_2015plan" localSheetId="5">'2026'!$A$83:$A$142</definedName>
  </definedNames>
  <calcPr calcId="191029"/>
</workbook>
</file>

<file path=xl/calcChain.xml><?xml version="1.0" encoding="utf-8"?>
<calcChain xmlns="http://schemas.openxmlformats.org/spreadsheetml/2006/main">
  <c r="R11" i="11" l="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66" i="11"/>
  <c r="R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N12" i="11"/>
  <c r="N13" i="11"/>
  <c r="N14" i="11"/>
  <c r="N15" i="11"/>
  <c r="N16" i="11"/>
  <c r="N17" i="11"/>
  <c r="N18" i="11"/>
  <c r="N20" i="11"/>
  <c r="N21" i="11"/>
  <c r="N22" i="11"/>
  <c r="N23" i="11"/>
  <c r="N24" i="11"/>
  <c r="N25" i="11"/>
  <c r="N26" i="11"/>
  <c r="N27" i="11"/>
  <c r="N28" i="11"/>
  <c r="N31" i="11"/>
  <c r="N32" i="11"/>
  <c r="N33" i="11"/>
  <c r="N34" i="11"/>
  <c r="N35" i="11"/>
  <c r="N36" i="11"/>
  <c r="N37" i="11"/>
  <c r="N38" i="11"/>
  <c r="N39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6" i="11"/>
  <c r="N57" i="11"/>
  <c r="N58" i="11"/>
  <c r="N59" i="11"/>
  <c r="N62" i="11"/>
  <c r="N63" i="11"/>
  <c r="N64" i="11"/>
  <c r="N65" i="11"/>
  <c r="O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10" i="11"/>
  <c r="G55" i="28" l="1"/>
  <c r="H55" i="28"/>
  <c r="I55" i="28"/>
  <c r="J55" i="28"/>
  <c r="K55" i="28"/>
  <c r="L55" i="28"/>
  <c r="M55" i="28"/>
  <c r="N55" i="28"/>
  <c r="O55" i="28" l="1"/>
  <c r="N55" i="11" s="1"/>
  <c r="P55" i="28"/>
  <c r="Q55" i="28"/>
  <c r="R55" i="28"/>
  <c r="S64" i="11" l="1"/>
  <c r="S20" i="11"/>
  <c r="T23" i="11"/>
  <c r="Q24" i="11"/>
  <c r="P28" i="11"/>
  <c r="Q31" i="11"/>
  <c r="Q39" i="11"/>
  <c r="S44" i="11"/>
  <c r="T46" i="11"/>
  <c r="Q47" i="11"/>
  <c r="S56" i="11"/>
  <c r="Q57" i="11"/>
  <c r="T59" i="11"/>
  <c r="T62" i="11"/>
  <c r="I19" i="28"/>
  <c r="S22" i="28"/>
  <c r="S39" i="28"/>
  <c r="S34" i="28"/>
  <c r="K30" i="28"/>
  <c r="S31" i="28"/>
  <c r="G282" i="2"/>
  <c r="G280" i="2"/>
  <c r="G278" i="2"/>
  <c r="G269" i="2"/>
  <c r="G268" i="2"/>
  <c r="G263" i="2"/>
  <c r="G261" i="2"/>
  <c r="G259" i="2"/>
  <c r="G258" i="2"/>
  <c r="G253" i="2"/>
  <c r="G252" i="2"/>
  <c r="G250" i="2"/>
  <c r="G249" i="2"/>
  <c r="G247" i="2"/>
  <c r="G245" i="2"/>
  <c r="G270" i="2" s="1"/>
  <c r="D11" i="1" s="1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8" i="2"/>
  <c r="G226" i="2"/>
  <c r="G225" i="2"/>
  <c r="G224" i="2"/>
  <c r="G223" i="2"/>
  <c r="G222" i="2"/>
  <c r="G221" i="2"/>
  <c r="G220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3" i="2"/>
  <c r="D396" i="6"/>
  <c r="D395" i="6"/>
  <c r="FQ394" i="6"/>
  <c r="FP394" i="6"/>
  <c r="FO394" i="6"/>
  <c r="FL394" i="6"/>
  <c r="D394" i="6"/>
  <c r="GE393" i="6"/>
  <c r="DU393" i="6"/>
  <c r="DT393" i="6"/>
  <c r="DS393" i="6"/>
  <c r="DR393" i="6"/>
  <c r="DQ393" i="6"/>
  <c r="DP393" i="6"/>
  <c r="DO393" i="6"/>
  <c r="DN393" i="6"/>
  <c r="DM393" i="6"/>
  <c r="DL393" i="6"/>
  <c r="DK393" i="6"/>
  <c r="DJ393" i="6"/>
  <c r="DI393" i="6"/>
  <c r="DH393" i="6"/>
  <c r="DG393" i="6"/>
  <c r="DF393" i="6"/>
  <c r="DE393" i="6"/>
  <c r="DD393" i="6"/>
  <c r="DC393" i="6"/>
  <c r="DB393" i="6"/>
  <c r="DA393" i="6"/>
  <c r="CZ393" i="6"/>
  <c r="CY393" i="6"/>
  <c r="CX393" i="6"/>
  <c r="CW393" i="6"/>
  <c r="CV393" i="6"/>
  <c r="CU393" i="6"/>
  <c r="CT393" i="6"/>
  <c r="CS393" i="6"/>
  <c r="CR393" i="6"/>
  <c r="CQ393" i="6"/>
  <c r="CP393" i="6"/>
  <c r="CO393" i="6"/>
  <c r="CN393" i="6"/>
  <c r="CM393" i="6"/>
  <c r="CL393" i="6"/>
  <c r="D393" i="6"/>
  <c r="GE392" i="6"/>
  <c r="D392" i="6"/>
  <c r="D391" i="6"/>
  <c r="D390" i="6"/>
  <c r="DU389" i="6"/>
  <c r="DT389" i="6"/>
  <c r="DS389" i="6"/>
  <c r="DR389" i="6"/>
  <c r="DQ389" i="6"/>
  <c r="DP389" i="6"/>
  <c r="DO389" i="6"/>
  <c r="DN389" i="6"/>
  <c r="DM389" i="6"/>
  <c r="DL389" i="6"/>
  <c r="DK389" i="6"/>
  <c r="DJ389" i="6"/>
  <c r="DI389" i="6"/>
  <c r="DH389" i="6"/>
  <c r="DG389" i="6"/>
  <c r="DF389" i="6"/>
  <c r="DE389" i="6"/>
  <c r="DD389" i="6"/>
  <c r="DC389" i="6"/>
  <c r="DB389" i="6"/>
  <c r="DA389" i="6"/>
  <c r="CZ389" i="6"/>
  <c r="CY389" i="6"/>
  <c r="CX389" i="6"/>
  <c r="CW389" i="6"/>
  <c r="CV389" i="6"/>
  <c r="CU389" i="6"/>
  <c r="CT389" i="6"/>
  <c r="CS389" i="6"/>
  <c r="CR389" i="6"/>
  <c r="CQ389" i="6"/>
  <c r="CP389" i="6"/>
  <c r="CO389" i="6"/>
  <c r="CN389" i="6"/>
  <c r="CM389" i="6"/>
  <c r="CL389" i="6"/>
  <c r="D389" i="6"/>
  <c r="GE388" i="6"/>
  <c r="D388" i="6"/>
  <c r="GE387" i="6"/>
  <c r="D387" i="6"/>
  <c r="GE386" i="6"/>
  <c r="ES386" i="6"/>
  <c r="ER386" i="6"/>
  <c r="EQ386" i="6"/>
  <c r="EP386" i="6"/>
  <c r="EO386" i="6"/>
  <c r="EN386" i="6"/>
  <c r="EM386" i="6"/>
  <c r="EL386" i="6"/>
  <c r="EK386" i="6"/>
  <c r="EJ386" i="6"/>
  <c r="EI386" i="6"/>
  <c r="EH386" i="6"/>
  <c r="EG386" i="6"/>
  <c r="EF386" i="6"/>
  <c r="EE386" i="6"/>
  <c r="ED386" i="6"/>
  <c r="EC386" i="6"/>
  <c r="EB386" i="6"/>
  <c r="EA386" i="6"/>
  <c r="DZ386" i="6"/>
  <c r="DY386" i="6"/>
  <c r="DX386" i="6"/>
  <c r="DW386" i="6"/>
  <c r="DV386" i="6"/>
  <c r="DU386" i="6"/>
  <c r="DT386" i="6"/>
  <c r="DS386" i="6"/>
  <c r="DR386" i="6"/>
  <c r="DQ386" i="6"/>
  <c r="DP386" i="6"/>
  <c r="DO386" i="6"/>
  <c r="DN386" i="6"/>
  <c r="DM386" i="6"/>
  <c r="DL386" i="6"/>
  <c r="DK386" i="6"/>
  <c r="DJ386" i="6"/>
  <c r="DI386" i="6"/>
  <c r="DH386" i="6"/>
  <c r="DG386" i="6"/>
  <c r="DF386" i="6"/>
  <c r="DE386" i="6"/>
  <c r="DD386" i="6"/>
  <c r="DC386" i="6"/>
  <c r="DB386" i="6"/>
  <c r="DA386" i="6"/>
  <c r="CZ386" i="6"/>
  <c r="CY386" i="6"/>
  <c r="CX386" i="6"/>
  <c r="CW386" i="6"/>
  <c r="CV386" i="6"/>
  <c r="CU386" i="6"/>
  <c r="CT386" i="6"/>
  <c r="CS386" i="6"/>
  <c r="CR386" i="6"/>
  <c r="CQ386" i="6"/>
  <c r="CP386" i="6"/>
  <c r="CO386" i="6"/>
  <c r="CN386" i="6"/>
  <c r="CM386" i="6"/>
  <c r="CL386" i="6"/>
  <c r="D386" i="6"/>
  <c r="GE385" i="6"/>
  <c r="ES385" i="6"/>
  <c r="ER385" i="6"/>
  <c r="EQ385" i="6"/>
  <c r="EP385" i="6"/>
  <c r="EO385" i="6"/>
  <c r="EN385" i="6"/>
  <c r="EM385" i="6"/>
  <c r="EL385" i="6"/>
  <c r="EK385" i="6"/>
  <c r="EJ385" i="6"/>
  <c r="EI385" i="6"/>
  <c r="EH385" i="6"/>
  <c r="EG385" i="6"/>
  <c r="EF385" i="6"/>
  <c r="EE385" i="6"/>
  <c r="ED385" i="6"/>
  <c r="EC385" i="6"/>
  <c r="EB385" i="6"/>
  <c r="EA385" i="6"/>
  <c r="DZ385" i="6"/>
  <c r="DY385" i="6"/>
  <c r="DX385" i="6"/>
  <c r="DW385" i="6"/>
  <c r="DV385" i="6"/>
  <c r="DU385" i="6"/>
  <c r="DT385" i="6"/>
  <c r="DS385" i="6"/>
  <c r="DR385" i="6"/>
  <c r="DQ385" i="6"/>
  <c r="DP385" i="6"/>
  <c r="DO385" i="6"/>
  <c r="DN385" i="6"/>
  <c r="DM385" i="6"/>
  <c r="DL385" i="6"/>
  <c r="DK385" i="6"/>
  <c r="DJ385" i="6"/>
  <c r="DI385" i="6"/>
  <c r="DH385" i="6"/>
  <c r="DG385" i="6"/>
  <c r="DF385" i="6"/>
  <c r="DE385" i="6"/>
  <c r="DD385" i="6"/>
  <c r="DC385" i="6"/>
  <c r="DB385" i="6"/>
  <c r="DA385" i="6"/>
  <c r="CZ385" i="6"/>
  <c r="CY385" i="6"/>
  <c r="CX385" i="6"/>
  <c r="CW385" i="6"/>
  <c r="CV385" i="6"/>
  <c r="CU385" i="6"/>
  <c r="CT385" i="6"/>
  <c r="CS385" i="6"/>
  <c r="CR385" i="6"/>
  <c r="CQ385" i="6"/>
  <c r="CP385" i="6"/>
  <c r="CO385" i="6"/>
  <c r="CN385" i="6"/>
  <c r="CM385" i="6"/>
  <c r="CL385" i="6"/>
  <c r="D385" i="6"/>
  <c r="D384" i="6"/>
  <c r="D383" i="6"/>
  <c r="D382" i="6"/>
  <c r="D381" i="6"/>
  <c r="D380" i="6"/>
  <c r="DU379" i="6"/>
  <c r="DT379" i="6"/>
  <c r="DS379" i="6"/>
  <c r="DR379" i="6"/>
  <c r="DQ379" i="6"/>
  <c r="DP379" i="6"/>
  <c r="DO379" i="6"/>
  <c r="DN379" i="6"/>
  <c r="DM379" i="6"/>
  <c r="DL379" i="6"/>
  <c r="DK379" i="6"/>
  <c r="DJ379" i="6"/>
  <c r="DI379" i="6"/>
  <c r="DH379" i="6"/>
  <c r="DG379" i="6"/>
  <c r="DF379" i="6"/>
  <c r="DE379" i="6"/>
  <c r="DD379" i="6"/>
  <c r="DC379" i="6"/>
  <c r="DB379" i="6"/>
  <c r="DA379" i="6"/>
  <c r="CZ379" i="6"/>
  <c r="CY379" i="6"/>
  <c r="CX379" i="6"/>
  <c r="CW379" i="6"/>
  <c r="CV379" i="6"/>
  <c r="CU379" i="6"/>
  <c r="CT379" i="6"/>
  <c r="CS379" i="6"/>
  <c r="CR379" i="6"/>
  <c r="CQ379" i="6"/>
  <c r="CP379" i="6"/>
  <c r="CO379" i="6"/>
  <c r="CN379" i="6"/>
  <c r="CM379" i="6"/>
  <c r="CL379" i="6"/>
  <c r="D379" i="6"/>
  <c r="GE378" i="6"/>
  <c r="DU378" i="6"/>
  <c r="DT378" i="6"/>
  <c r="DS378" i="6"/>
  <c r="DR378" i="6"/>
  <c r="DQ378" i="6"/>
  <c r="DP378" i="6"/>
  <c r="DO378" i="6"/>
  <c r="DN378" i="6"/>
  <c r="DM378" i="6"/>
  <c r="DL378" i="6"/>
  <c r="DK378" i="6"/>
  <c r="DJ378" i="6"/>
  <c r="DI378" i="6"/>
  <c r="DH378" i="6"/>
  <c r="DG378" i="6"/>
  <c r="DF378" i="6"/>
  <c r="DE378" i="6"/>
  <c r="DD378" i="6"/>
  <c r="DC378" i="6"/>
  <c r="DB378" i="6"/>
  <c r="DA378" i="6"/>
  <c r="CZ378" i="6"/>
  <c r="CY378" i="6"/>
  <c r="CX378" i="6"/>
  <c r="CW378" i="6"/>
  <c r="CV378" i="6"/>
  <c r="CU378" i="6"/>
  <c r="CT378" i="6"/>
  <c r="CS378" i="6"/>
  <c r="CR378" i="6"/>
  <c r="CQ378" i="6"/>
  <c r="CP378" i="6"/>
  <c r="CO378" i="6"/>
  <c r="CN378" i="6"/>
  <c r="CM378" i="6"/>
  <c r="CL378" i="6"/>
  <c r="D378" i="6"/>
  <c r="D377" i="6"/>
  <c r="GE376" i="6"/>
  <c r="D376" i="6"/>
  <c r="D375" i="6"/>
  <c r="D374" i="6"/>
  <c r="D373" i="6"/>
  <c r="D372" i="6"/>
  <c r="D371" i="6"/>
  <c r="D370" i="6"/>
  <c r="D369" i="6"/>
  <c r="GE368" i="6"/>
  <c r="D368" i="6"/>
  <c r="D367" i="6"/>
  <c r="D366" i="6"/>
  <c r="D365" i="6"/>
  <c r="D364" i="6"/>
  <c r="D363" i="6"/>
  <c r="D362" i="6"/>
  <c r="GE361" i="6"/>
  <c r="DU361" i="6"/>
  <c r="DT361" i="6"/>
  <c r="DS361" i="6"/>
  <c r="DR361" i="6"/>
  <c r="DQ361" i="6"/>
  <c r="DP361" i="6"/>
  <c r="DO361" i="6"/>
  <c r="DN361" i="6"/>
  <c r="DM361" i="6"/>
  <c r="DL361" i="6"/>
  <c r="DK361" i="6"/>
  <c r="DJ361" i="6"/>
  <c r="DI361" i="6"/>
  <c r="DH361" i="6"/>
  <c r="DG361" i="6"/>
  <c r="DF361" i="6"/>
  <c r="DE361" i="6"/>
  <c r="DD361" i="6"/>
  <c r="DC361" i="6"/>
  <c r="DB361" i="6"/>
  <c r="DA361" i="6"/>
  <c r="CZ361" i="6"/>
  <c r="CY361" i="6"/>
  <c r="CX361" i="6"/>
  <c r="CW361" i="6"/>
  <c r="CV361" i="6"/>
  <c r="CU361" i="6"/>
  <c r="CT361" i="6"/>
  <c r="CS361" i="6"/>
  <c r="CR361" i="6"/>
  <c r="CQ361" i="6"/>
  <c r="CP361" i="6"/>
  <c r="CO361" i="6"/>
  <c r="CN361" i="6"/>
  <c r="CM361" i="6"/>
  <c r="CL361" i="6"/>
  <c r="D361" i="6"/>
  <c r="D360" i="6"/>
  <c r="D359" i="6"/>
  <c r="D358" i="6"/>
  <c r="D357" i="6"/>
  <c r="D356" i="6"/>
  <c r="D355" i="6"/>
  <c r="D354" i="6"/>
  <c r="D353" i="6"/>
  <c r="D352" i="6"/>
  <c r="GE351" i="6"/>
  <c r="DU351" i="6"/>
  <c r="DT351" i="6"/>
  <c r="DS351" i="6"/>
  <c r="DR351" i="6"/>
  <c r="DQ351" i="6"/>
  <c r="DP351" i="6"/>
  <c r="DO351" i="6"/>
  <c r="DN351" i="6"/>
  <c r="DM351" i="6"/>
  <c r="DL351" i="6"/>
  <c r="DK351" i="6"/>
  <c r="DJ351" i="6"/>
  <c r="DI351" i="6"/>
  <c r="DH351" i="6"/>
  <c r="DG351" i="6"/>
  <c r="DF351" i="6"/>
  <c r="DE351" i="6"/>
  <c r="DD351" i="6"/>
  <c r="DC351" i="6"/>
  <c r="DB351" i="6"/>
  <c r="DA351" i="6"/>
  <c r="CZ351" i="6"/>
  <c r="CY351" i="6"/>
  <c r="CX351" i="6"/>
  <c r="CW351" i="6"/>
  <c r="CV351" i="6"/>
  <c r="CU351" i="6"/>
  <c r="CT351" i="6"/>
  <c r="CS351" i="6"/>
  <c r="CR351" i="6"/>
  <c r="CQ351" i="6"/>
  <c r="CP351" i="6"/>
  <c r="CO351" i="6"/>
  <c r="CN351" i="6"/>
  <c r="CM351" i="6"/>
  <c r="CL351" i="6"/>
  <c r="D351" i="6"/>
  <c r="GE350" i="6"/>
  <c r="DU350" i="6"/>
  <c r="DT350" i="6"/>
  <c r="DS350" i="6"/>
  <c r="DR350" i="6"/>
  <c r="DQ350" i="6"/>
  <c r="DP350" i="6"/>
  <c r="DO350" i="6"/>
  <c r="DN350" i="6"/>
  <c r="DM350" i="6"/>
  <c r="DL350" i="6"/>
  <c r="DK350" i="6"/>
  <c r="DJ350" i="6"/>
  <c r="DI350" i="6"/>
  <c r="DH350" i="6"/>
  <c r="DG350" i="6"/>
  <c r="DF350" i="6"/>
  <c r="DE350" i="6"/>
  <c r="DD350" i="6"/>
  <c r="DC350" i="6"/>
  <c r="DB350" i="6"/>
  <c r="DA350" i="6"/>
  <c r="CZ350" i="6"/>
  <c r="CY350" i="6"/>
  <c r="CX350" i="6"/>
  <c r="CW350" i="6"/>
  <c r="CV350" i="6"/>
  <c r="CU350" i="6"/>
  <c r="CT350" i="6"/>
  <c r="CS350" i="6"/>
  <c r="CR350" i="6"/>
  <c r="CQ350" i="6"/>
  <c r="CP350" i="6"/>
  <c r="CO350" i="6"/>
  <c r="CN350" i="6"/>
  <c r="CM350" i="6"/>
  <c r="CL350" i="6"/>
  <c r="D350" i="6"/>
  <c r="D349" i="6"/>
  <c r="D348" i="6"/>
  <c r="D347" i="6"/>
  <c r="GE346" i="6"/>
  <c r="DU346" i="6"/>
  <c r="DT346" i="6"/>
  <c r="DS346" i="6"/>
  <c r="DR346" i="6"/>
  <c r="DQ346" i="6"/>
  <c r="DP346" i="6"/>
  <c r="DO346" i="6"/>
  <c r="DN346" i="6"/>
  <c r="DM346" i="6"/>
  <c r="DL346" i="6"/>
  <c r="DK346" i="6"/>
  <c r="DJ346" i="6"/>
  <c r="DI346" i="6"/>
  <c r="DH346" i="6"/>
  <c r="DG346" i="6"/>
  <c r="DF346" i="6"/>
  <c r="DE346" i="6"/>
  <c r="DD346" i="6"/>
  <c r="DC346" i="6"/>
  <c r="DB346" i="6"/>
  <c r="DA346" i="6"/>
  <c r="CZ346" i="6"/>
  <c r="CY346" i="6"/>
  <c r="CX346" i="6"/>
  <c r="CW346" i="6"/>
  <c r="CV346" i="6"/>
  <c r="CU346" i="6"/>
  <c r="CT346" i="6"/>
  <c r="CS346" i="6"/>
  <c r="CR346" i="6"/>
  <c r="CQ346" i="6"/>
  <c r="CP346" i="6"/>
  <c r="CO346" i="6"/>
  <c r="CN346" i="6"/>
  <c r="CM346" i="6"/>
  <c r="CL346" i="6"/>
  <c r="D346" i="6"/>
  <c r="D345" i="6"/>
  <c r="GE344" i="6"/>
  <c r="DU344" i="6"/>
  <c r="DT344" i="6"/>
  <c r="DS344" i="6"/>
  <c r="DR344" i="6"/>
  <c r="DQ344" i="6"/>
  <c r="DP344" i="6"/>
  <c r="DO344" i="6"/>
  <c r="DN344" i="6"/>
  <c r="DM344" i="6"/>
  <c r="DL344" i="6"/>
  <c r="DK344" i="6"/>
  <c r="DJ344" i="6"/>
  <c r="DI344" i="6"/>
  <c r="DH344" i="6"/>
  <c r="DG344" i="6"/>
  <c r="DF344" i="6"/>
  <c r="DE344" i="6"/>
  <c r="DD344" i="6"/>
  <c r="DC344" i="6"/>
  <c r="DB344" i="6"/>
  <c r="DA344" i="6"/>
  <c r="CZ344" i="6"/>
  <c r="CY344" i="6"/>
  <c r="CX344" i="6"/>
  <c r="CW344" i="6"/>
  <c r="CV344" i="6"/>
  <c r="CU344" i="6"/>
  <c r="CT344" i="6"/>
  <c r="CS344" i="6"/>
  <c r="CR344" i="6"/>
  <c r="CQ344" i="6"/>
  <c r="CP344" i="6"/>
  <c r="CO344" i="6"/>
  <c r="CN344" i="6"/>
  <c r="CM344" i="6"/>
  <c r="CL344" i="6"/>
  <c r="D344" i="6"/>
  <c r="D343" i="6"/>
  <c r="D342" i="6"/>
  <c r="D341" i="6"/>
  <c r="D340" i="6"/>
  <c r="D339" i="6"/>
  <c r="D338" i="6"/>
  <c r="D337" i="6"/>
  <c r="GE336" i="6"/>
  <c r="DU336" i="6"/>
  <c r="DT336" i="6"/>
  <c r="DS336" i="6"/>
  <c r="DR336" i="6"/>
  <c r="DQ336" i="6"/>
  <c r="DP336" i="6"/>
  <c r="DO336" i="6"/>
  <c r="DN336" i="6"/>
  <c r="DM336" i="6"/>
  <c r="DL336" i="6"/>
  <c r="DK336" i="6"/>
  <c r="DJ336" i="6"/>
  <c r="DI336" i="6"/>
  <c r="DH336" i="6"/>
  <c r="DG336" i="6"/>
  <c r="DF336" i="6"/>
  <c r="DE336" i="6"/>
  <c r="DD336" i="6"/>
  <c r="DC336" i="6"/>
  <c r="DB336" i="6"/>
  <c r="DA336" i="6"/>
  <c r="CZ336" i="6"/>
  <c r="CY336" i="6"/>
  <c r="CX336" i="6"/>
  <c r="CW336" i="6"/>
  <c r="CV336" i="6"/>
  <c r="CU336" i="6"/>
  <c r="CT336" i="6"/>
  <c r="CS336" i="6"/>
  <c r="CR336" i="6"/>
  <c r="CQ336" i="6"/>
  <c r="CP336" i="6"/>
  <c r="CO336" i="6"/>
  <c r="CN336" i="6"/>
  <c r="CM336" i="6"/>
  <c r="CL336" i="6"/>
  <c r="D336" i="6"/>
  <c r="D335" i="6"/>
  <c r="D334" i="6"/>
  <c r="D333" i="6"/>
  <c r="D332" i="6"/>
  <c r="D331" i="6"/>
  <c r="GE330" i="6"/>
  <c r="DU330" i="6"/>
  <c r="DT330" i="6"/>
  <c r="DS330" i="6"/>
  <c r="DR330" i="6"/>
  <c r="DQ330" i="6"/>
  <c r="DP330" i="6"/>
  <c r="DO330" i="6"/>
  <c r="DN330" i="6"/>
  <c r="DM330" i="6"/>
  <c r="DL330" i="6"/>
  <c r="DK330" i="6"/>
  <c r="DJ330" i="6"/>
  <c r="DI330" i="6"/>
  <c r="DH330" i="6"/>
  <c r="DG330" i="6"/>
  <c r="DF330" i="6"/>
  <c r="DE330" i="6"/>
  <c r="DD330" i="6"/>
  <c r="DC330" i="6"/>
  <c r="DB330" i="6"/>
  <c r="DA330" i="6"/>
  <c r="CZ330" i="6"/>
  <c r="CY330" i="6"/>
  <c r="CX330" i="6"/>
  <c r="CW330" i="6"/>
  <c r="CV330" i="6"/>
  <c r="CU330" i="6"/>
  <c r="CT330" i="6"/>
  <c r="CS330" i="6"/>
  <c r="CR330" i="6"/>
  <c r="CQ330" i="6"/>
  <c r="CP330" i="6"/>
  <c r="CO330" i="6"/>
  <c r="CN330" i="6"/>
  <c r="CM330" i="6"/>
  <c r="CL330" i="6"/>
  <c r="D330" i="6"/>
  <c r="D328" i="6"/>
  <c r="D327" i="6"/>
  <c r="D326" i="6"/>
  <c r="D325" i="6"/>
  <c r="D324" i="6"/>
  <c r="D323" i="6"/>
  <c r="D322" i="6"/>
  <c r="GE321" i="6"/>
  <c r="DU321" i="6"/>
  <c r="DT321" i="6"/>
  <c r="DS321" i="6"/>
  <c r="DR321" i="6"/>
  <c r="DQ321" i="6"/>
  <c r="DP321" i="6"/>
  <c r="DO321" i="6"/>
  <c r="DN321" i="6"/>
  <c r="DM321" i="6"/>
  <c r="DL321" i="6"/>
  <c r="DK321" i="6"/>
  <c r="DJ321" i="6"/>
  <c r="DI321" i="6"/>
  <c r="DH321" i="6"/>
  <c r="DG321" i="6"/>
  <c r="DF321" i="6"/>
  <c r="DE321" i="6"/>
  <c r="DD321" i="6"/>
  <c r="DC321" i="6"/>
  <c r="DB321" i="6"/>
  <c r="DA321" i="6"/>
  <c r="CZ321" i="6"/>
  <c r="CY321" i="6"/>
  <c r="CX321" i="6"/>
  <c r="CW321" i="6"/>
  <c r="CV321" i="6"/>
  <c r="CU321" i="6"/>
  <c r="CT321" i="6"/>
  <c r="CS321" i="6"/>
  <c r="CR321" i="6"/>
  <c r="CQ321" i="6"/>
  <c r="CP321" i="6"/>
  <c r="CO321" i="6"/>
  <c r="CN321" i="6"/>
  <c r="CM321" i="6"/>
  <c r="CL321" i="6"/>
  <c r="D321" i="6"/>
  <c r="GE320" i="6"/>
  <c r="GC320" i="6"/>
  <c r="GB320" i="6"/>
  <c r="GA320" i="6"/>
  <c r="FZ320" i="6"/>
  <c r="FY320" i="6"/>
  <c r="FX320" i="6"/>
  <c r="FW320" i="6"/>
  <c r="FV320" i="6"/>
  <c r="FU320" i="6"/>
  <c r="FT320" i="6"/>
  <c r="FS320" i="6"/>
  <c r="FR320" i="6"/>
  <c r="DU320" i="6"/>
  <c r="DT320" i="6"/>
  <c r="DS320" i="6"/>
  <c r="DR320" i="6"/>
  <c r="DQ320" i="6"/>
  <c r="DP320" i="6"/>
  <c r="DO320" i="6"/>
  <c r="DN320" i="6"/>
  <c r="DM320" i="6"/>
  <c r="DL320" i="6"/>
  <c r="DK320" i="6"/>
  <c r="DJ320" i="6"/>
  <c r="DI320" i="6"/>
  <c r="DH320" i="6"/>
  <c r="DG320" i="6"/>
  <c r="DF320" i="6"/>
  <c r="DE320" i="6"/>
  <c r="DD320" i="6"/>
  <c r="DC320" i="6"/>
  <c r="DB320" i="6"/>
  <c r="DA320" i="6"/>
  <c r="CZ320" i="6"/>
  <c r="CY320" i="6"/>
  <c r="CX320" i="6"/>
  <c r="CW320" i="6"/>
  <c r="CV320" i="6"/>
  <c r="CU320" i="6"/>
  <c r="CT320" i="6"/>
  <c r="CS320" i="6"/>
  <c r="CR320" i="6"/>
  <c r="CQ320" i="6"/>
  <c r="CP320" i="6"/>
  <c r="CO320" i="6"/>
  <c r="CN320" i="6"/>
  <c r="CM320" i="6"/>
  <c r="CL320" i="6"/>
  <c r="D320" i="6"/>
  <c r="D319" i="6"/>
  <c r="D318" i="6"/>
  <c r="D317" i="6"/>
  <c r="D316" i="6"/>
  <c r="D315" i="6"/>
  <c r="D314" i="6"/>
  <c r="D313" i="6"/>
  <c r="D312" i="6"/>
  <c r="D311" i="6"/>
  <c r="GE310" i="6"/>
  <c r="DU310" i="6"/>
  <c r="DT310" i="6"/>
  <c r="DS310" i="6"/>
  <c r="DR310" i="6"/>
  <c r="DQ310" i="6"/>
  <c r="DP310" i="6"/>
  <c r="DO310" i="6"/>
  <c r="DN310" i="6"/>
  <c r="DM310" i="6"/>
  <c r="DL310" i="6"/>
  <c r="DK310" i="6"/>
  <c r="DJ310" i="6"/>
  <c r="DI310" i="6"/>
  <c r="DH310" i="6"/>
  <c r="DG310" i="6"/>
  <c r="DF310" i="6"/>
  <c r="DE310" i="6"/>
  <c r="DD310" i="6"/>
  <c r="DC310" i="6"/>
  <c r="DB310" i="6"/>
  <c r="DA310" i="6"/>
  <c r="CZ310" i="6"/>
  <c r="CY310" i="6"/>
  <c r="CX310" i="6"/>
  <c r="CW310" i="6"/>
  <c r="CV310" i="6"/>
  <c r="CU310" i="6"/>
  <c r="CT310" i="6"/>
  <c r="CS310" i="6"/>
  <c r="CR310" i="6"/>
  <c r="CQ310" i="6"/>
  <c r="CP310" i="6"/>
  <c r="CO310" i="6"/>
  <c r="CN310" i="6"/>
  <c r="CM310" i="6"/>
  <c r="CL310" i="6"/>
  <c r="D310" i="6"/>
  <c r="D309" i="6"/>
  <c r="D308" i="6"/>
  <c r="D307" i="6"/>
  <c r="GE306" i="6"/>
  <c r="DU306" i="6"/>
  <c r="DT306" i="6"/>
  <c r="DS306" i="6"/>
  <c r="DR306" i="6"/>
  <c r="DQ306" i="6"/>
  <c r="DP306" i="6"/>
  <c r="DO306" i="6"/>
  <c r="DN306" i="6"/>
  <c r="DM306" i="6"/>
  <c r="DL306" i="6"/>
  <c r="DK306" i="6"/>
  <c r="DJ306" i="6"/>
  <c r="DI306" i="6"/>
  <c r="DH306" i="6"/>
  <c r="DG306" i="6"/>
  <c r="DF306" i="6"/>
  <c r="DE306" i="6"/>
  <c r="DD306" i="6"/>
  <c r="DC306" i="6"/>
  <c r="DB306" i="6"/>
  <c r="DA306" i="6"/>
  <c r="CZ306" i="6"/>
  <c r="CY306" i="6"/>
  <c r="CX306" i="6"/>
  <c r="CW306" i="6"/>
  <c r="CV306" i="6"/>
  <c r="CU306" i="6"/>
  <c r="CT306" i="6"/>
  <c r="CS306" i="6"/>
  <c r="CR306" i="6"/>
  <c r="CQ306" i="6"/>
  <c r="CP306" i="6"/>
  <c r="CO306" i="6"/>
  <c r="CN306" i="6"/>
  <c r="CM306" i="6"/>
  <c r="CL306" i="6"/>
  <c r="D306" i="6"/>
  <c r="D305" i="6"/>
  <c r="D304" i="6"/>
  <c r="D303" i="6"/>
  <c r="GE302" i="6"/>
  <c r="DU302" i="6"/>
  <c r="DT302" i="6"/>
  <c r="DS302" i="6"/>
  <c r="DR302" i="6"/>
  <c r="DQ302" i="6"/>
  <c r="DP302" i="6"/>
  <c r="DO302" i="6"/>
  <c r="DN302" i="6"/>
  <c r="DM302" i="6"/>
  <c r="DL302" i="6"/>
  <c r="DK302" i="6"/>
  <c r="DJ302" i="6"/>
  <c r="DI302" i="6"/>
  <c r="DH302" i="6"/>
  <c r="DG302" i="6"/>
  <c r="DF302" i="6"/>
  <c r="DE302" i="6"/>
  <c r="DD302" i="6"/>
  <c r="DC302" i="6"/>
  <c r="DB302" i="6"/>
  <c r="DA302" i="6"/>
  <c r="CZ302" i="6"/>
  <c r="CY302" i="6"/>
  <c r="CX302" i="6"/>
  <c r="CW302" i="6"/>
  <c r="CV302" i="6"/>
  <c r="CU302" i="6"/>
  <c r="CT302" i="6"/>
  <c r="CS302" i="6"/>
  <c r="CR302" i="6"/>
  <c r="CQ302" i="6"/>
  <c r="CP302" i="6"/>
  <c r="CO302" i="6"/>
  <c r="CN302" i="6"/>
  <c r="CM302" i="6"/>
  <c r="CL302" i="6"/>
  <c r="D302" i="6"/>
  <c r="D301" i="6"/>
  <c r="D300" i="6"/>
  <c r="GE299" i="6"/>
  <c r="DU299" i="6"/>
  <c r="DT299" i="6"/>
  <c r="DS299" i="6"/>
  <c r="DR299" i="6"/>
  <c r="DQ299" i="6"/>
  <c r="DP299" i="6"/>
  <c r="DO299" i="6"/>
  <c r="DN299" i="6"/>
  <c r="DM299" i="6"/>
  <c r="DL299" i="6"/>
  <c r="DK299" i="6"/>
  <c r="DJ299" i="6"/>
  <c r="DI299" i="6"/>
  <c r="DH299" i="6"/>
  <c r="DG299" i="6"/>
  <c r="DF299" i="6"/>
  <c r="DE299" i="6"/>
  <c r="DD299" i="6"/>
  <c r="DC299" i="6"/>
  <c r="DB299" i="6"/>
  <c r="DA299" i="6"/>
  <c r="CZ299" i="6"/>
  <c r="CY299" i="6"/>
  <c r="CX299" i="6"/>
  <c r="CW299" i="6"/>
  <c r="CV299" i="6"/>
  <c r="CU299" i="6"/>
  <c r="CT299" i="6"/>
  <c r="CS299" i="6"/>
  <c r="CR299" i="6"/>
  <c r="CQ299" i="6"/>
  <c r="CP299" i="6"/>
  <c r="CO299" i="6"/>
  <c r="CN299" i="6"/>
  <c r="CM299" i="6"/>
  <c r="CL299" i="6"/>
  <c r="D299" i="6"/>
  <c r="D298" i="6"/>
  <c r="D297" i="6"/>
  <c r="DI296" i="6"/>
  <c r="D296" i="6"/>
  <c r="GE295" i="6"/>
  <c r="DU295" i="6"/>
  <c r="DT295" i="6"/>
  <c r="DS295" i="6"/>
  <c r="DR295" i="6"/>
  <c r="DQ295" i="6"/>
  <c r="DP295" i="6"/>
  <c r="DO295" i="6"/>
  <c r="DN295" i="6"/>
  <c r="DM295" i="6"/>
  <c r="DL295" i="6"/>
  <c r="DK295" i="6"/>
  <c r="DJ295" i="6"/>
  <c r="DI295" i="6"/>
  <c r="DH295" i="6"/>
  <c r="DG295" i="6"/>
  <c r="DF295" i="6"/>
  <c r="DE295" i="6"/>
  <c r="DD295" i="6"/>
  <c r="DC295" i="6"/>
  <c r="DB295" i="6"/>
  <c r="DA295" i="6"/>
  <c r="CZ295" i="6"/>
  <c r="CY295" i="6"/>
  <c r="CX295" i="6"/>
  <c r="CW295" i="6"/>
  <c r="CV295" i="6"/>
  <c r="CU295" i="6"/>
  <c r="CT295" i="6"/>
  <c r="CS295" i="6"/>
  <c r="CR295" i="6"/>
  <c r="CQ295" i="6"/>
  <c r="CP295" i="6"/>
  <c r="CO295" i="6"/>
  <c r="CN295" i="6"/>
  <c r="CM295" i="6"/>
  <c r="CL295" i="6"/>
  <c r="D295" i="6"/>
  <c r="D294" i="6"/>
  <c r="D293" i="6"/>
  <c r="D292" i="6"/>
  <c r="D291" i="6"/>
  <c r="D290" i="6"/>
  <c r="D289" i="6"/>
  <c r="D288" i="6"/>
  <c r="D287" i="6"/>
  <c r="D286" i="6"/>
  <c r="GE285" i="6"/>
  <c r="DU285" i="6"/>
  <c r="DT285" i="6"/>
  <c r="DS285" i="6"/>
  <c r="DR285" i="6"/>
  <c r="DQ285" i="6"/>
  <c r="DP285" i="6"/>
  <c r="DO285" i="6"/>
  <c r="DN285" i="6"/>
  <c r="DM285" i="6"/>
  <c r="DL285" i="6"/>
  <c r="DK285" i="6"/>
  <c r="DJ285" i="6"/>
  <c r="DI285" i="6"/>
  <c r="DH285" i="6"/>
  <c r="DG285" i="6"/>
  <c r="DF285" i="6"/>
  <c r="DE285" i="6"/>
  <c r="DD285" i="6"/>
  <c r="DC285" i="6"/>
  <c r="DB285" i="6"/>
  <c r="DA285" i="6"/>
  <c r="CZ285" i="6"/>
  <c r="CY285" i="6"/>
  <c r="CX285" i="6"/>
  <c r="CW285" i="6"/>
  <c r="CV285" i="6"/>
  <c r="CU285" i="6"/>
  <c r="CT285" i="6"/>
  <c r="CS285" i="6"/>
  <c r="CR285" i="6"/>
  <c r="CQ285" i="6"/>
  <c r="CP285" i="6"/>
  <c r="CO285" i="6"/>
  <c r="CN285" i="6"/>
  <c r="CM285" i="6"/>
  <c r="CL285" i="6"/>
  <c r="D285" i="6"/>
  <c r="D284" i="6"/>
  <c r="D283" i="6"/>
  <c r="D282" i="6"/>
  <c r="D281" i="6"/>
  <c r="D280" i="6"/>
  <c r="D279" i="6"/>
  <c r="GE278" i="6"/>
  <c r="DU278" i="6"/>
  <c r="DT278" i="6"/>
  <c r="DS278" i="6"/>
  <c r="DR278" i="6"/>
  <c r="DQ278" i="6"/>
  <c r="DP278" i="6"/>
  <c r="DO278" i="6"/>
  <c r="DN278" i="6"/>
  <c r="DM278" i="6"/>
  <c r="DL278" i="6"/>
  <c r="DK278" i="6"/>
  <c r="DJ278" i="6"/>
  <c r="DI278" i="6"/>
  <c r="DH278" i="6"/>
  <c r="DG278" i="6"/>
  <c r="DF278" i="6"/>
  <c r="DE278" i="6"/>
  <c r="DD278" i="6"/>
  <c r="DC278" i="6"/>
  <c r="DB278" i="6"/>
  <c r="DA278" i="6"/>
  <c r="CZ278" i="6"/>
  <c r="CY278" i="6"/>
  <c r="CX278" i="6"/>
  <c r="CW278" i="6"/>
  <c r="CV278" i="6"/>
  <c r="CU278" i="6"/>
  <c r="CT278" i="6"/>
  <c r="CS278" i="6"/>
  <c r="CR278" i="6"/>
  <c r="CQ278" i="6"/>
  <c r="CP278" i="6"/>
  <c r="CO278" i="6"/>
  <c r="CN278" i="6"/>
  <c r="CM278" i="6"/>
  <c r="CL278" i="6"/>
  <c r="D278" i="6"/>
  <c r="D277" i="6"/>
  <c r="D276" i="6"/>
  <c r="D275" i="6"/>
  <c r="D274" i="6"/>
  <c r="D273" i="6"/>
  <c r="D272" i="6"/>
  <c r="D271" i="6"/>
  <c r="GE270" i="6"/>
  <c r="DU270" i="6"/>
  <c r="DT270" i="6"/>
  <c r="DS270" i="6"/>
  <c r="DR270" i="6"/>
  <c r="DQ270" i="6"/>
  <c r="DP270" i="6"/>
  <c r="DO270" i="6"/>
  <c r="DN270" i="6"/>
  <c r="DM270" i="6"/>
  <c r="DL270" i="6"/>
  <c r="DK270" i="6"/>
  <c r="DJ270" i="6"/>
  <c r="DI270" i="6"/>
  <c r="DH270" i="6"/>
  <c r="DG270" i="6"/>
  <c r="DF270" i="6"/>
  <c r="DE270" i="6"/>
  <c r="DD270" i="6"/>
  <c r="DC270" i="6"/>
  <c r="DB270" i="6"/>
  <c r="DA270" i="6"/>
  <c r="CZ270" i="6"/>
  <c r="CY270" i="6"/>
  <c r="CX270" i="6"/>
  <c r="CW270" i="6"/>
  <c r="CV270" i="6"/>
  <c r="CU270" i="6"/>
  <c r="CT270" i="6"/>
  <c r="CS270" i="6"/>
  <c r="CR270" i="6"/>
  <c r="CQ270" i="6"/>
  <c r="CP270" i="6"/>
  <c r="CO270" i="6"/>
  <c r="CN270" i="6"/>
  <c r="CM270" i="6"/>
  <c r="CL270" i="6"/>
  <c r="D270" i="6"/>
  <c r="D269" i="6"/>
  <c r="D268" i="6"/>
  <c r="D267" i="6"/>
  <c r="D266" i="6"/>
  <c r="D265" i="6"/>
  <c r="GE264" i="6"/>
  <c r="DU264" i="6"/>
  <c r="DT264" i="6"/>
  <c r="DS264" i="6"/>
  <c r="DR264" i="6"/>
  <c r="DQ264" i="6"/>
  <c r="DP264" i="6"/>
  <c r="DO264" i="6"/>
  <c r="DN264" i="6"/>
  <c r="DM264" i="6"/>
  <c r="DL264" i="6"/>
  <c r="DK264" i="6"/>
  <c r="DJ264" i="6"/>
  <c r="DI264" i="6"/>
  <c r="DH264" i="6"/>
  <c r="DG264" i="6"/>
  <c r="DF264" i="6"/>
  <c r="DE264" i="6"/>
  <c r="DD264" i="6"/>
  <c r="DC264" i="6"/>
  <c r="DB264" i="6"/>
  <c r="DA264" i="6"/>
  <c r="CZ264" i="6"/>
  <c r="CY264" i="6"/>
  <c r="CX264" i="6"/>
  <c r="CW264" i="6"/>
  <c r="CV264" i="6"/>
  <c r="CU264" i="6"/>
  <c r="CT264" i="6"/>
  <c r="CS264" i="6"/>
  <c r="CR264" i="6"/>
  <c r="CQ264" i="6"/>
  <c r="CP264" i="6"/>
  <c r="CO264" i="6"/>
  <c r="CN264" i="6"/>
  <c r="CM264" i="6"/>
  <c r="CL264" i="6"/>
  <c r="D264" i="6"/>
  <c r="EG263" i="6"/>
  <c r="EF263" i="6"/>
  <c r="EE263" i="6"/>
  <c r="ED263" i="6"/>
  <c r="EC263" i="6"/>
  <c r="EB263" i="6"/>
  <c r="EA263" i="6"/>
  <c r="DZ263" i="6"/>
  <c r="DY263" i="6"/>
  <c r="DX263" i="6"/>
  <c r="DW263" i="6"/>
  <c r="DV263" i="6"/>
  <c r="DJ263" i="6"/>
  <c r="D263" i="6"/>
  <c r="EG262" i="6"/>
  <c r="EF262" i="6"/>
  <c r="EE262" i="6"/>
  <c r="ED262" i="6"/>
  <c r="EC262" i="6"/>
  <c r="EB262" i="6"/>
  <c r="EA262" i="6"/>
  <c r="DZ262" i="6"/>
  <c r="DY262" i="6"/>
  <c r="DX262" i="6"/>
  <c r="DW262" i="6"/>
  <c r="DV262" i="6"/>
  <c r="DJ262" i="6"/>
  <c r="D262" i="6"/>
  <c r="GE261" i="6"/>
  <c r="D261" i="6"/>
  <c r="D260" i="6"/>
  <c r="GE259" i="6"/>
  <c r="GC259" i="6"/>
  <c r="GB259" i="6"/>
  <c r="GA259" i="6"/>
  <c r="FZ259" i="6"/>
  <c r="FY259" i="6"/>
  <c r="FX259" i="6"/>
  <c r="FW259" i="6"/>
  <c r="FV259" i="6"/>
  <c r="FU259" i="6"/>
  <c r="FT259" i="6"/>
  <c r="FS259" i="6"/>
  <c r="FR259" i="6"/>
  <c r="ES259" i="6"/>
  <c r="ER259" i="6"/>
  <c r="EQ259" i="6"/>
  <c r="EP259" i="6"/>
  <c r="EO259" i="6"/>
  <c r="EN259" i="6"/>
  <c r="EM259" i="6"/>
  <c r="EL259" i="6"/>
  <c r="EK259" i="6"/>
  <c r="EJ259" i="6"/>
  <c r="EI259" i="6"/>
  <c r="EH259" i="6"/>
  <c r="EG259" i="6"/>
  <c r="EF259" i="6"/>
  <c r="EE259" i="6"/>
  <c r="ED259" i="6"/>
  <c r="EC259" i="6"/>
  <c r="EB259" i="6"/>
  <c r="EA259" i="6"/>
  <c r="DZ259" i="6"/>
  <c r="DY259" i="6"/>
  <c r="DX259" i="6"/>
  <c r="DW259" i="6"/>
  <c r="DV259" i="6"/>
  <c r="DU259" i="6"/>
  <c r="DT259" i="6"/>
  <c r="DS259" i="6"/>
  <c r="DR259" i="6"/>
  <c r="DQ259" i="6"/>
  <c r="DP259" i="6"/>
  <c r="DO259" i="6"/>
  <c r="DN259" i="6"/>
  <c r="DM259" i="6"/>
  <c r="DL259" i="6"/>
  <c r="DK259" i="6"/>
  <c r="DJ259" i="6"/>
  <c r="DI259" i="6"/>
  <c r="DH259" i="6"/>
  <c r="DG259" i="6"/>
  <c r="DF259" i="6"/>
  <c r="DE259" i="6"/>
  <c r="DD259" i="6"/>
  <c r="DC259" i="6"/>
  <c r="DB259" i="6"/>
  <c r="DA259" i="6"/>
  <c r="CZ259" i="6"/>
  <c r="CY259" i="6"/>
  <c r="CX259" i="6"/>
  <c r="CW259" i="6"/>
  <c r="CV259" i="6"/>
  <c r="CU259" i="6"/>
  <c r="CT259" i="6"/>
  <c r="CS259" i="6"/>
  <c r="CR259" i="6"/>
  <c r="CQ259" i="6"/>
  <c r="CP259" i="6"/>
  <c r="CO259" i="6"/>
  <c r="CN259" i="6"/>
  <c r="CM259" i="6"/>
  <c r="CL259" i="6"/>
  <c r="D259" i="6"/>
  <c r="D258" i="6"/>
  <c r="D257" i="6"/>
  <c r="D256" i="6"/>
  <c r="GE255" i="6"/>
  <c r="D255" i="6"/>
  <c r="D254" i="6"/>
  <c r="GE253" i="6"/>
  <c r="D253" i="6"/>
  <c r="GE252" i="6"/>
  <c r="D252" i="6"/>
  <c r="D251" i="6"/>
  <c r="D250" i="6"/>
  <c r="GE249" i="6"/>
  <c r="D249" i="6"/>
  <c r="GE248" i="6"/>
  <c r="D248" i="6"/>
  <c r="GE247" i="6"/>
  <c r="D247" i="6"/>
  <c r="GE246" i="6"/>
  <c r="D246" i="6"/>
  <c r="GE245" i="6"/>
  <c r="FO245" i="6"/>
  <c r="FN245" i="6"/>
  <c r="D245" i="6"/>
  <c r="GE244" i="6"/>
  <c r="GC244" i="6"/>
  <c r="GB244" i="6"/>
  <c r="GA244" i="6"/>
  <c r="FZ244" i="6"/>
  <c r="FY244" i="6"/>
  <c r="FX244" i="6"/>
  <c r="FW244" i="6"/>
  <c r="FV244" i="6"/>
  <c r="FU244" i="6"/>
  <c r="FT244" i="6"/>
  <c r="FS244" i="6"/>
  <c r="FR244" i="6"/>
  <c r="FO244" i="6"/>
  <c r="FN244" i="6"/>
  <c r="ES244" i="6"/>
  <c r="ER244" i="6"/>
  <c r="EQ244" i="6"/>
  <c r="EP244" i="6"/>
  <c r="EO244" i="6"/>
  <c r="EN244" i="6"/>
  <c r="EM244" i="6"/>
  <c r="EL244" i="6"/>
  <c r="EK244" i="6"/>
  <c r="EJ244" i="6"/>
  <c r="EI244" i="6"/>
  <c r="EH244" i="6"/>
  <c r="EG244" i="6"/>
  <c r="EF244" i="6"/>
  <c r="EE244" i="6"/>
  <c r="ED244" i="6"/>
  <c r="EC244" i="6"/>
  <c r="EB244" i="6"/>
  <c r="EA244" i="6"/>
  <c r="DZ244" i="6"/>
  <c r="DY244" i="6"/>
  <c r="DX244" i="6"/>
  <c r="DW244" i="6"/>
  <c r="DV244" i="6"/>
  <c r="DU244" i="6"/>
  <c r="DT244" i="6"/>
  <c r="DS244" i="6"/>
  <c r="DR244" i="6"/>
  <c r="DQ244" i="6"/>
  <c r="DP244" i="6"/>
  <c r="DO244" i="6"/>
  <c r="DN244" i="6"/>
  <c r="DM244" i="6"/>
  <c r="DL244" i="6"/>
  <c r="DK244" i="6"/>
  <c r="DJ244" i="6"/>
  <c r="DI244" i="6"/>
  <c r="DH244" i="6"/>
  <c r="DG244" i="6"/>
  <c r="DF244" i="6"/>
  <c r="DE244" i="6"/>
  <c r="DD244" i="6"/>
  <c r="DC244" i="6"/>
  <c r="DB244" i="6"/>
  <c r="DA244" i="6"/>
  <c r="CZ244" i="6"/>
  <c r="CY244" i="6"/>
  <c r="CX244" i="6"/>
  <c r="CW244" i="6"/>
  <c r="CV244" i="6"/>
  <c r="CU244" i="6"/>
  <c r="CT244" i="6"/>
  <c r="CS244" i="6"/>
  <c r="CR244" i="6"/>
  <c r="CQ244" i="6"/>
  <c r="CP244" i="6"/>
  <c r="CO244" i="6"/>
  <c r="CN244" i="6"/>
  <c r="CM244" i="6"/>
  <c r="CL244" i="6"/>
  <c r="D244" i="6"/>
  <c r="GE243" i="6"/>
  <c r="D243" i="6"/>
  <c r="GE242" i="6"/>
  <c r="D242" i="6"/>
  <c r="GE241" i="6"/>
  <c r="D241" i="6"/>
  <c r="GE240" i="6"/>
  <c r="D240" i="6"/>
  <c r="GE239" i="6"/>
  <c r="D239" i="6"/>
  <c r="GE238" i="6"/>
  <c r="D238" i="6"/>
  <c r="GE237" i="6"/>
  <c r="GC237" i="6"/>
  <c r="GB237" i="6"/>
  <c r="GA237" i="6"/>
  <c r="FZ237" i="6"/>
  <c r="FY237" i="6"/>
  <c r="FX237" i="6"/>
  <c r="FW237" i="6"/>
  <c r="FV237" i="6"/>
  <c r="FU237" i="6"/>
  <c r="FT237" i="6"/>
  <c r="FS237" i="6"/>
  <c r="FR237" i="6"/>
  <c r="ES237" i="6"/>
  <c r="ER237" i="6"/>
  <c r="EQ237" i="6"/>
  <c r="EP237" i="6"/>
  <c r="EO237" i="6"/>
  <c r="EN237" i="6"/>
  <c r="EM237" i="6"/>
  <c r="EL237" i="6"/>
  <c r="EK237" i="6"/>
  <c r="EJ237" i="6"/>
  <c r="EI237" i="6"/>
  <c r="EH237" i="6"/>
  <c r="EG237" i="6"/>
  <c r="EF237" i="6"/>
  <c r="EE237" i="6"/>
  <c r="ED237" i="6"/>
  <c r="EC237" i="6"/>
  <c r="EB237" i="6"/>
  <c r="EA237" i="6"/>
  <c r="DZ237" i="6"/>
  <c r="DY237" i="6"/>
  <c r="DX237" i="6"/>
  <c r="DW237" i="6"/>
  <c r="DV237" i="6"/>
  <c r="DU237" i="6"/>
  <c r="DT237" i="6"/>
  <c r="DS237" i="6"/>
  <c r="DR237" i="6"/>
  <c r="DQ237" i="6"/>
  <c r="DP237" i="6"/>
  <c r="DO237" i="6"/>
  <c r="DN237" i="6"/>
  <c r="DM237" i="6"/>
  <c r="DL237" i="6"/>
  <c r="DK237" i="6"/>
  <c r="DJ237" i="6"/>
  <c r="DI237" i="6"/>
  <c r="DH237" i="6"/>
  <c r="DG237" i="6"/>
  <c r="DF237" i="6"/>
  <c r="DE237" i="6"/>
  <c r="DD237" i="6"/>
  <c r="DC237" i="6"/>
  <c r="DB237" i="6"/>
  <c r="DA237" i="6"/>
  <c r="CZ237" i="6"/>
  <c r="CY237" i="6"/>
  <c r="CX237" i="6"/>
  <c r="CW237" i="6"/>
  <c r="CV237" i="6"/>
  <c r="CU237" i="6"/>
  <c r="CT237" i="6"/>
  <c r="CS237" i="6"/>
  <c r="CR237" i="6"/>
  <c r="CQ237" i="6"/>
  <c r="CP237" i="6"/>
  <c r="CO237" i="6"/>
  <c r="CN237" i="6"/>
  <c r="CM237" i="6"/>
  <c r="CL237" i="6"/>
  <c r="D237" i="6"/>
  <c r="GE236" i="6"/>
  <c r="D236" i="6"/>
  <c r="GE235" i="6"/>
  <c r="D235" i="6"/>
  <c r="GE234" i="6"/>
  <c r="D234" i="6"/>
  <c r="GE233" i="6"/>
  <c r="D233" i="6"/>
  <c r="GE232" i="6"/>
  <c r="GC232" i="6"/>
  <c r="GB232" i="6"/>
  <c r="GA232" i="6"/>
  <c r="FZ232" i="6"/>
  <c r="FY232" i="6"/>
  <c r="FX232" i="6"/>
  <c r="FW232" i="6"/>
  <c r="FV232" i="6"/>
  <c r="FU232" i="6"/>
  <c r="FT232" i="6"/>
  <c r="FS232" i="6"/>
  <c r="FR232" i="6"/>
  <c r="ES232" i="6"/>
  <c r="ER232" i="6"/>
  <c r="EQ232" i="6"/>
  <c r="EP232" i="6"/>
  <c r="EO232" i="6"/>
  <c r="EN232" i="6"/>
  <c r="EM232" i="6"/>
  <c r="EL232" i="6"/>
  <c r="EK232" i="6"/>
  <c r="EJ232" i="6"/>
  <c r="EI232" i="6"/>
  <c r="EH232" i="6"/>
  <c r="EG232" i="6"/>
  <c r="EF232" i="6"/>
  <c r="EE232" i="6"/>
  <c r="ED232" i="6"/>
  <c r="EC232" i="6"/>
  <c r="EB232" i="6"/>
  <c r="EA232" i="6"/>
  <c r="DZ232" i="6"/>
  <c r="DY232" i="6"/>
  <c r="DX232" i="6"/>
  <c r="DW232" i="6"/>
  <c r="DV232" i="6"/>
  <c r="DU232" i="6"/>
  <c r="DT232" i="6"/>
  <c r="DS232" i="6"/>
  <c r="DR232" i="6"/>
  <c r="DQ232" i="6"/>
  <c r="DP232" i="6"/>
  <c r="DO232" i="6"/>
  <c r="DN232" i="6"/>
  <c r="DM232" i="6"/>
  <c r="DL232" i="6"/>
  <c r="DK232" i="6"/>
  <c r="DJ232" i="6"/>
  <c r="DI232" i="6"/>
  <c r="DH232" i="6"/>
  <c r="DG232" i="6"/>
  <c r="DF232" i="6"/>
  <c r="DE232" i="6"/>
  <c r="DD232" i="6"/>
  <c r="DC232" i="6"/>
  <c r="DB232" i="6"/>
  <c r="DA232" i="6"/>
  <c r="CZ232" i="6"/>
  <c r="CY232" i="6"/>
  <c r="CX232" i="6"/>
  <c r="CW232" i="6"/>
  <c r="CV232" i="6"/>
  <c r="CU232" i="6"/>
  <c r="CT232" i="6"/>
  <c r="CS232" i="6"/>
  <c r="CR232" i="6"/>
  <c r="CQ232" i="6"/>
  <c r="CP232" i="6"/>
  <c r="CO232" i="6"/>
  <c r="CN232" i="6"/>
  <c r="CM232" i="6"/>
  <c r="CL232" i="6"/>
  <c r="D232" i="6"/>
  <c r="GE231" i="6"/>
  <c r="D231" i="6"/>
  <c r="GE230" i="6"/>
  <c r="D230" i="6"/>
  <c r="GE229" i="6"/>
  <c r="D229" i="6"/>
  <c r="GE228" i="6"/>
  <c r="D228" i="6"/>
  <c r="GE227" i="6"/>
  <c r="GC227" i="6"/>
  <c r="GB227" i="6"/>
  <c r="GA227" i="6"/>
  <c r="FZ227" i="6"/>
  <c r="FY227" i="6"/>
  <c r="FX227" i="6"/>
  <c r="FW227" i="6"/>
  <c r="FV227" i="6"/>
  <c r="FU227" i="6"/>
  <c r="FT227" i="6"/>
  <c r="FS227" i="6"/>
  <c r="FR227" i="6"/>
  <c r="ES227" i="6"/>
  <c r="ER227" i="6"/>
  <c r="EQ227" i="6"/>
  <c r="EP227" i="6"/>
  <c r="EO227" i="6"/>
  <c r="EN227" i="6"/>
  <c r="EM227" i="6"/>
  <c r="EL227" i="6"/>
  <c r="EK227" i="6"/>
  <c r="EJ227" i="6"/>
  <c r="EI227" i="6"/>
  <c r="EH227" i="6"/>
  <c r="EG227" i="6"/>
  <c r="EF227" i="6"/>
  <c r="EE227" i="6"/>
  <c r="ED227" i="6"/>
  <c r="EC227" i="6"/>
  <c r="EB227" i="6"/>
  <c r="EA227" i="6"/>
  <c r="DZ227" i="6"/>
  <c r="DY227" i="6"/>
  <c r="DX227" i="6"/>
  <c r="DW227" i="6"/>
  <c r="DV227" i="6"/>
  <c r="DU227" i="6"/>
  <c r="DT227" i="6"/>
  <c r="DS227" i="6"/>
  <c r="DR227" i="6"/>
  <c r="DQ227" i="6"/>
  <c r="DP227" i="6"/>
  <c r="DO227" i="6"/>
  <c r="DN227" i="6"/>
  <c r="DM227" i="6"/>
  <c r="DL227" i="6"/>
  <c r="DK227" i="6"/>
  <c r="DJ227" i="6"/>
  <c r="DI227" i="6"/>
  <c r="DH227" i="6"/>
  <c r="DG227" i="6"/>
  <c r="DF227" i="6"/>
  <c r="DE227" i="6"/>
  <c r="DD227" i="6"/>
  <c r="DC227" i="6"/>
  <c r="DB227" i="6"/>
  <c r="DA227" i="6"/>
  <c r="CZ227" i="6"/>
  <c r="CY227" i="6"/>
  <c r="CX227" i="6"/>
  <c r="CW227" i="6"/>
  <c r="CV227" i="6"/>
  <c r="CU227" i="6"/>
  <c r="CT227" i="6"/>
  <c r="CS227" i="6"/>
  <c r="CR227" i="6"/>
  <c r="CQ227" i="6"/>
  <c r="CP227" i="6"/>
  <c r="CO227" i="6"/>
  <c r="CN227" i="6"/>
  <c r="CM227" i="6"/>
  <c r="CL227" i="6"/>
  <c r="D227" i="6"/>
  <c r="GE226" i="6"/>
  <c r="D226" i="6"/>
  <c r="GE225" i="6"/>
  <c r="GE224" i="6"/>
  <c r="D224" i="6"/>
  <c r="GE223" i="6"/>
  <c r="D223" i="6"/>
  <c r="GE222" i="6"/>
  <c r="D222" i="6"/>
  <c r="GE221" i="6"/>
  <c r="D221" i="6"/>
  <c r="GE220" i="6"/>
  <c r="FO220" i="6"/>
  <c r="FN220" i="6"/>
  <c r="D220" i="6"/>
  <c r="GE219" i="6"/>
  <c r="D219" i="6"/>
  <c r="GE218" i="6"/>
  <c r="GC218" i="6"/>
  <c r="GB218" i="6"/>
  <c r="GA218" i="6"/>
  <c r="FZ218" i="6"/>
  <c r="FY218" i="6"/>
  <c r="FX218" i="6"/>
  <c r="FW218" i="6"/>
  <c r="FV218" i="6"/>
  <c r="FU218" i="6"/>
  <c r="FT218" i="6"/>
  <c r="FS218" i="6"/>
  <c r="FR218" i="6"/>
  <c r="FO218" i="6"/>
  <c r="FN218" i="6"/>
  <c r="ES218" i="6"/>
  <c r="ER218" i="6"/>
  <c r="EQ218" i="6"/>
  <c r="EP218" i="6"/>
  <c r="EO218" i="6"/>
  <c r="EN218" i="6"/>
  <c r="EM218" i="6"/>
  <c r="EL218" i="6"/>
  <c r="EK218" i="6"/>
  <c r="EJ218" i="6"/>
  <c r="EI218" i="6"/>
  <c r="EH218" i="6"/>
  <c r="EG218" i="6"/>
  <c r="EF218" i="6"/>
  <c r="EE218" i="6"/>
  <c r="ED218" i="6"/>
  <c r="EC218" i="6"/>
  <c r="EB218" i="6"/>
  <c r="EA218" i="6"/>
  <c r="DZ218" i="6"/>
  <c r="DY218" i="6"/>
  <c r="DX218" i="6"/>
  <c r="DW218" i="6"/>
  <c r="DV218" i="6"/>
  <c r="DU218" i="6"/>
  <c r="DT218" i="6"/>
  <c r="DS218" i="6"/>
  <c r="DR218" i="6"/>
  <c r="DQ218" i="6"/>
  <c r="DP218" i="6"/>
  <c r="DO218" i="6"/>
  <c r="DN218" i="6"/>
  <c r="DM218" i="6"/>
  <c r="DL218" i="6"/>
  <c r="DK218" i="6"/>
  <c r="DJ218" i="6"/>
  <c r="DI218" i="6"/>
  <c r="DH218" i="6"/>
  <c r="DG218" i="6"/>
  <c r="DF218" i="6"/>
  <c r="DE218" i="6"/>
  <c r="DD218" i="6"/>
  <c r="DC218" i="6"/>
  <c r="DB218" i="6"/>
  <c r="DA218" i="6"/>
  <c r="CZ218" i="6"/>
  <c r="CY218" i="6"/>
  <c r="CX218" i="6"/>
  <c r="CW218" i="6"/>
  <c r="CV218" i="6"/>
  <c r="CU218" i="6"/>
  <c r="CT218" i="6"/>
  <c r="CS218" i="6"/>
  <c r="CR218" i="6"/>
  <c r="CQ218" i="6"/>
  <c r="CP218" i="6"/>
  <c r="CO218" i="6"/>
  <c r="CN218" i="6"/>
  <c r="CM218" i="6"/>
  <c r="CL218" i="6"/>
  <c r="D218" i="6"/>
  <c r="ES217" i="6"/>
  <c r="ER217" i="6"/>
  <c r="EQ217" i="6"/>
  <c r="EP217" i="6"/>
  <c r="EO217" i="6"/>
  <c r="EN217" i="6"/>
  <c r="EM217" i="6"/>
  <c r="EL217" i="6"/>
  <c r="EK217" i="6"/>
  <c r="EJ217" i="6"/>
  <c r="EI217" i="6"/>
  <c r="EH217" i="6"/>
  <c r="EG217" i="6"/>
  <c r="EF217" i="6"/>
  <c r="EE217" i="6"/>
  <c r="ED217" i="6"/>
  <c r="EC217" i="6"/>
  <c r="EB217" i="6"/>
  <c r="EA217" i="6"/>
  <c r="DZ217" i="6"/>
  <c r="DY217" i="6"/>
  <c r="DX217" i="6"/>
  <c r="DW217" i="6"/>
  <c r="DV217" i="6"/>
  <c r="DJ217" i="6"/>
  <c r="D217" i="6"/>
  <c r="ES216" i="6"/>
  <c r="ER216" i="6"/>
  <c r="EQ216" i="6"/>
  <c r="EP216" i="6"/>
  <c r="EO216" i="6"/>
  <c r="EN216" i="6"/>
  <c r="EM216" i="6"/>
  <c r="EL216" i="6"/>
  <c r="EK216" i="6"/>
  <c r="EJ216" i="6"/>
  <c r="EI216" i="6"/>
  <c r="EH216" i="6"/>
  <c r="EG216" i="6"/>
  <c r="EF216" i="6"/>
  <c r="EE216" i="6"/>
  <c r="ED216" i="6"/>
  <c r="EC216" i="6"/>
  <c r="EB216" i="6"/>
  <c r="EA216" i="6"/>
  <c r="DZ216" i="6"/>
  <c r="DY216" i="6"/>
  <c r="DX216" i="6"/>
  <c r="DW216" i="6"/>
  <c r="DV216" i="6"/>
  <c r="DU216" i="6"/>
  <c r="DT216" i="6"/>
  <c r="DS216" i="6"/>
  <c r="DR216" i="6"/>
  <c r="DQ216" i="6"/>
  <c r="DP216" i="6"/>
  <c r="DO216" i="6"/>
  <c r="DN216" i="6"/>
  <c r="DM216" i="6"/>
  <c r="DL216" i="6"/>
  <c r="DK216" i="6"/>
  <c r="DJ216" i="6"/>
  <c r="D216" i="6"/>
  <c r="DI192" i="6"/>
  <c r="DH192" i="6"/>
  <c r="DG192" i="6"/>
  <c r="DF192" i="6"/>
  <c r="DE192" i="6"/>
  <c r="DD192" i="6"/>
  <c r="DC192" i="6"/>
  <c r="DB192" i="6"/>
  <c r="DA192" i="6"/>
  <c r="CZ192" i="6"/>
  <c r="CY192" i="6"/>
  <c r="CX192" i="6"/>
  <c r="CW192" i="6"/>
  <c r="CV192" i="6"/>
  <c r="CU192" i="6"/>
  <c r="CT192" i="6"/>
  <c r="CS192" i="6"/>
  <c r="CR192" i="6"/>
  <c r="CQ192" i="6"/>
  <c r="CP192" i="6"/>
  <c r="CO192" i="6"/>
  <c r="CN192" i="6"/>
  <c r="CM192" i="6"/>
  <c r="CL192" i="6"/>
  <c r="E192" i="6"/>
  <c r="DI191" i="6"/>
  <c r="DH191" i="6"/>
  <c r="DG191" i="6"/>
  <c r="DF191" i="6"/>
  <c r="DE191" i="6"/>
  <c r="DD191" i="6"/>
  <c r="DC191" i="6"/>
  <c r="DB191" i="6"/>
  <c r="DA191" i="6"/>
  <c r="CZ191" i="6"/>
  <c r="CY191" i="6"/>
  <c r="CX191" i="6"/>
  <c r="CW191" i="6"/>
  <c r="CV191" i="6"/>
  <c r="CU191" i="6"/>
  <c r="CT191" i="6"/>
  <c r="CS191" i="6"/>
  <c r="CR191" i="6"/>
  <c r="CQ191" i="6"/>
  <c r="CP191" i="6"/>
  <c r="CO191" i="6"/>
  <c r="CN191" i="6"/>
  <c r="CM191" i="6"/>
  <c r="CL191" i="6"/>
  <c r="E191" i="6"/>
  <c r="DI190" i="6"/>
  <c r="DH190" i="6"/>
  <c r="DG190" i="6"/>
  <c r="DF190" i="6"/>
  <c r="DE190" i="6"/>
  <c r="DD190" i="6"/>
  <c r="DC190" i="6"/>
  <c r="DB190" i="6"/>
  <c r="DA190" i="6"/>
  <c r="CZ190" i="6"/>
  <c r="CY190" i="6"/>
  <c r="CX190" i="6"/>
  <c r="CW190" i="6"/>
  <c r="CV190" i="6"/>
  <c r="CU190" i="6"/>
  <c r="CT190" i="6"/>
  <c r="CS190" i="6"/>
  <c r="CR190" i="6"/>
  <c r="CQ190" i="6"/>
  <c r="CP190" i="6"/>
  <c r="CO190" i="6"/>
  <c r="CN190" i="6"/>
  <c r="CM190" i="6"/>
  <c r="CL190" i="6"/>
  <c r="E190" i="6"/>
  <c r="FY127" i="6"/>
  <c r="FX127" i="6"/>
  <c r="FW127" i="6"/>
  <c r="FV127" i="6"/>
  <c r="FU127" i="6"/>
  <c r="FT127" i="6"/>
  <c r="FS127" i="6"/>
  <c r="FR127" i="6"/>
  <c r="FL101" i="6"/>
  <c r="DI50" i="6"/>
  <c r="DH50" i="6"/>
  <c r="DG50" i="6"/>
  <c r="DF50" i="6"/>
  <c r="DE50" i="6"/>
  <c r="DD50" i="6"/>
  <c r="DC50" i="6"/>
  <c r="DB50" i="6"/>
  <c r="DA50" i="6"/>
  <c r="CZ50" i="6"/>
  <c r="CY50" i="6"/>
  <c r="CX50" i="6"/>
  <c r="DI49" i="6"/>
  <c r="DH49" i="6"/>
  <c r="DG49" i="6"/>
  <c r="DF49" i="6"/>
  <c r="DE49" i="6"/>
  <c r="DD49" i="6"/>
  <c r="DC49" i="6"/>
  <c r="DB49" i="6"/>
  <c r="DA49" i="6"/>
  <c r="CZ49" i="6"/>
  <c r="CY49" i="6"/>
  <c r="CX49" i="6"/>
  <c r="DI46" i="6"/>
  <c r="DH46" i="6"/>
  <c r="DG46" i="6"/>
  <c r="DF46" i="6"/>
  <c r="DE46" i="6"/>
  <c r="DD46" i="6"/>
  <c r="DC46" i="6"/>
  <c r="DB46" i="6"/>
  <c r="DA46" i="6"/>
  <c r="CZ46" i="6"/>
  <c r="CY46" i="6"/>
  <c r="CX46" i="6"/>
  <c r="DI43" i="6"/>
  <c r="DH43" i="6"/>
  <c r="DG43" i="6"/>
  <c r="DF43" i="6"/>
  <c r="DE43" i="6"/>
  <c r="DD43" i="6"/>
  <c r="DC43" i="6"/>
  <c r="DB43" i="6"/>
  <c r="DA43" i="6"/>
  <c r="CZ43" i="6"/>
  <c r="CY43" i="6"/>
  <c r="CX43" i="6"/>
  <c r="DI40" i="6"/>
  <c r="DH40" i="6"/>
  <c r="DG40" i="6"/>
  <c r="DF40" i="6"/>
  <c r="DE40" i="6"/>
  <c r="DD40" i="6"/>
  <c r="DC40" i="6"/>
  <c r="DB40" i="6"/>
  <c r="DA40" i="6"/>
  <c r="CZ40" i="6"/>
  <c r="CY40" i="6"/>
  <c r="CX40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GC28" i="6"/>
  <c r="GB28" i="6"/>
  <c r="GA28" i="6"/>
  <c r="FZ28" i="6"/>
  <c r="FY28" i="6"/>
  <c r="FX28" i="6"/>
  <c r="FW28" i="6"/>
  <c r="FV28" i="6"/>
  <c r="FU28" i="6"/>
  <c r="FT28" i="6"/>
  <c r="FS28" i="6"/>
  <c r="FR28" i="6"/>
  <c r="DI28" i="6"/>
  <c r="DH28" i="6"/>
  <c r="DG28" i="6"/>
  <c r="DF28" i="6"/>
  <c r="DE28" i="6"/>
  <c r="DD28" i="6"/>
  <c r="DC28" i="6"/>
  <c r="DB28" i="6"/>
  <c r="DA28" i="6"/>
  <c r="CZ28" i="6"/>
  <c r="CY28" i="6"/>
  <c r="CX28" i="6"/>
  <c r="GC23" i="6"/>
  <c r="GB23" i="6"/>
  <c r="GA23" i="6"/>
  <c r="FZ23" i="6"/>
  <c r="FY23" i="6"/>
  <c r="FX23" i="6"/>
  <c r="FW23" i="6"/>
  <c r="FV23" i="6"/>
  <c r="FU23" i="6"/>
  <c r="FT23" i="6"/>
  <c r="FS23" i="6"/>
  <c r="FR23" i="6"/>
  <c r="DI23" i="6"/>
  <c r="DH23" i="6"/>
  <c r="DG23" i="6"/>
  <c r="DF23" i="6"/>
  <c r="DE23" i="6"/>
  <c r="DD23" i="6"/>
  <c r="DC23" i="6"/>
  <c r="DB23" i="6"/>
  <c r="DA23" i="6"/>
  <c r="CZ23" i="6"/>
  <c r="CY23" i="6"/>
  <c r="CX23" i="6"/>
  <c r="GC18" i="6"/>
  <c r="GB18" i="6"/>
  <c r="GA18" i="6"/>
  <c r="FZ18" i="6"/>
  <c r="FY18" i="6"/>
  <c r="FX18" i="6"/>
  <c r="FW18" i="6"/>
  <c r="FV18" i="6"/>
  <c r="FU18" i="6"/>
  <c r="FT18" i="6"/>
  <c r="FS18" i="6"/>
  <c r="FR18" i="6"/>
  <c r="GC10" i="6"/>
  <c r="GB10" i="6"/>
  <c r="GA10" i="6"/>
  <c r="FZ10" i="6"/>
  <c r="FY10" i="6"/>
  <c r="FX10" i="6"/>
  <c r="FW10" i="6"/>
  <c r="FV10" i="6"/>
  <c r="FU10" i="6"/>
  <c r="FT10" i="6"/>
  <c r="FS10" i="6"/>
  <c r="FR10" i="6"/>
  <c r="DI5" i="6"/>
  <c r="DH5" i="6"/>
  <c r="DG5" i="6"/>
  <c r="DF5" i="6"/>
  <c r="DE5" i="6"/>
  <c r="DD5" i="6"/>
  <c r="DC5" i="6"/>
  <c r="DB5" i="6"/>
  <c r="DA5" i="6"/>
  <c r="CZ5" i="6"/>
  <c r="CY5" i="6"/>
  <c r="CX5" i="6"/>
  <c r="DI4" i="6"/>
  <c r="DH4" i="6"/>
  <c r="DG4" i="6"/>
  <c r="DF4" i="6"/>
  <c r="DE4" i="6"/>
  <c r="DD4" i="6"/>
  <c r="DC4" i="6"/>
  <c r="DB4" i="6"/>
  <c r="DA4" i="6"/>
  <c r="CZ4" i="6"/>
  <c r="CY4" i="6"/>
  <c r="CX4" i="6"/>
  <c r="T162" i="21"/>
  <c r="S162" i="21"/>
  <c r="R162" i="21"/>
  <c r="Q162" i="21"/>
  <c r="P162" i="21"/>
  <c r="O162" i="21"/>
  <c r="N162" i="21"/>
  <c r="M162" i="21"/>
  <c r="L162" i="21"/>
  <c r="K162" i="21"/>
  <c r="J162" i="21"/>
  <c r="I162" i="21"/>
  <c r="H162" i="21"/>
  <c r="G162" i="21"/>
  <c r="A162" i="21"/>
  <c r="T161" i="21"/>
  <c r="S161" i="21"/>
  <c r="A161" i="21"/>
  <c r="T160" i="21"/>
  <c r="S160" i="21"/>
  <c r="A160" i="21"/>
  <c r="T159" i="21"/>
  <c r="S159" i="21"/>
  <c r="A159" i="21"/>
  <c r="T158" i="21"/>
  <c r="S158" i="21"/>
  <c r="R158" i="21"/>
  <c r="Q158" i="21"/>
  <c r="P158" i="21"/>
  <c r="O158" i="21"/>
  <c r="N158" i="21"/>
  <c r="M158" i="21"/>
  <c r="L158" i="21"/>
  <c r="K158" i="21"/>
  <c r="J158" i="21"/>
  <c r="I158" i="21"/>
  <c r="H158" i="21"/>
  <c r="G158" i="21"/>
  <c r="A158" i="21"/>
  <c r="T157" i="21"/>
  <c r="S157" i="21"/>
  <c r="R157" i="21"/>
  <c r="Q157" i="21"/>
  <c r="P157" i="21"/>
  <c r="O157" i="21"/>
  <c r="N157" i="21"/>
  <c r="M157" i="21"/>
  <c r="L157" i="21"/>
  <c r="K157" i="21"/>
  <c r="J157" i="21"/>
  <c r="I157" i="21"/>
  <c r="H157" i="21"/>
  <c r="G157" i="21"/>
  <c r="A157" i="21"/>
  <c r="T156" i="21"/>
  <c r="S156" i="21"/>
  <c r="T155" i="21"/>
  <c r="S155" i="21"/>
  <c r="A155" i="21"/>
  <c r="T154" i="21"/>
  <c r="S154" i="21"/>
  <c r="A154" i="21"/>
  <c r="T153" i="21"/>
  <c r="S153" i="21"/>
  <c r="A153" i="21"/>
  <c r="T152" i="21"/>
  <c r="S152" i="21"/>
  <c r="R152" i="21"/>
  <c r="Q152" i="21"/>
  <c r="P152" i="21"/>
  <c r="O152" i="21"/>
  <c r="N152" i="21"/>
  <c r="M152" i="21"/>
  <c r="L152" i="21"/>
  <c r="K152" i="21"/>
  <c r="J152" i="21"/>
  <c r="I152" i="21"/>
  <c r="H152" i="21"/>
  <c r="G152" i="21"/>
  <c r="A152" i="21"/>
  <c r="T151" i="21"/>
  <c r="S151" i="21"/>
  <c r="R151" i="21"/>
  <c r="Q151" i="21"/>
  <c r="P151" i="21"/>
  <c r="O151" i="21"/>
  <c r="N151" i="21"/>
  <c r="M151" i="21"/>
  <c r="L151" i="21"/>
  <c r="K151" i="21"/>
  <c r="J151" i="21"/>
  <c r="I151" i="21"/>
  <c r="H151" i="21"/>
  <c r="G151" i="21"/>
  <c r="A151" i="21"/>
  <c r="T150" i="21"/>
  <c r="S150" i="21"/>
  <c r="R150" i="21"/>
  <c r="Q150" i="21"/>
  <c r="P150" i="21"/>
  <c r="O150" i="21"/>
  <c r="N150" i="21"/>
  <c r="M150" i="21"/>
  <c r="L150" i="21"/>
  <c r="K150" i="21"/>
  <c r="J150" i="21"/>
  <c r="I150" i="21"/>
  <c r="H150" i="21"/>
  <c r="G150" i="21"/>
  <c r="A150" i="21"/>
  <c r="T149" i="21"/>
  <c r="S149" i="21"/>
  <c r="T148" i="21"/>
  <c r="S148" i="21"/>
  <c r="A148" i="21"/>
  <c r="T147" i="21"/>
  <c r="S147" i="21"/>
  <c r="A147" i="21"/>
  <c r="T146" i="21"/>
  <c r="S146" i="21"/>
  <c r="A146" i="21"/>
  <c r="T145" i="21"/>
  <c r="S145" i="21"/>
  <c r="A145" i="21"/>
  <c r="T144" i="21"/>
  <c r="S144" i="21"/>
  <c r="A144" i="21"/>
  <c r="T143" i="21"/>
  <c r="S143" i="21"/>
  <c r="A143" i="21"/>
  <c r="T142" i="21"/>
  <c r="S142" i="21"/>
  <c r="A142" i="21"/>
  <c r="T141" i="21"/>
  <c r="S141" i="21"/>
  <c r="A141" i="21"/>
  <c r="T140" i="21"/>
  <c r="S140" i="21"/>
  <c r="A140" i="21"/>
  <c r="T139" i="21"/>
  <c r="S139" i="21"/>
  <c r="A139" i="21"/>
  <c r="T138" i="21"/>
  <c r="S138" i="21"/>
  <c r="R138" i="21"/>
  <c r="Q138" i="21"/>
  <c r="P138" i="21"/>
  <c r="O138" i="21"/>
  <c r="N138" i="21"/>
  <c r="M138" i="21"/>
  <c r="L138" i="21"/>
  <c r="K138" i="21"/>
  <c r="J138" i="21"/>
  <c r="I138" i="21"/>
  <c r="H138" i="21"/>
  <c r="G138" i="21"/>
  <c r="A138" i="21"/>
  <c r="T137" i="21"/>
  <c r="S137" i="21"/>
  <c r="A137" i="21"/>
  <c r="T136" i="21"/>
  <c r="S136" i="21"/>
  <c r="A136" i="21"/>
  <c r="T135" i="21"/>
  <c r="S135" i="21"/>
  <c r="A135" i="21"/>
  <c r="T134" i="21"/>
  <c r="S134" i="21"/>
  <c r="A134" i="21"/>
  <c r="T133" i="21"/>
  <c r="S133" i="21"/>
  <c r="A133" i="21"/>
  <c r="T132" i="21"/>
  <c r="S132" i="21"/>
  <c r="A132" i="21"/>
  <c r="T131" i="21"/>
  <c r="S131" i="21"/>
  <c r="A131" i="21"/>
  <c r="T130" i="21"/>
  <c r="S130" i="21"/>
  <c r="A130" i="21"/>
  <c r="T129" i="21"/>
  <c r="S129" i="21"/>
  <c r="A129" i="21"/>
  <c r="T128" i="21"/>
  <c r="S128" i="21"/>
  <c r="A128" i="21"/>
  <c r="T127" i="21"/>
  <c r="S127" i="21"/>
  <c r="R127" i="21"/>
  <c r="Q127" i="21"/>
  <c r="P127" i="21"/>
  <c r="O127" i="21"/>
  <c r="N127" i="21"/>
  <c r="M127" i="21"/>
  <c r="L127" i="21"/>
  <c r="K127" i="21"/>
  <c r="J127" i="21"/>
  <c r="I127" i="21"/>
  <c r="H127" i="21"/>
  <c r="G127" i="21"/>
  <c r="A127" i="21"/>
  <c r="T126" i="21"/>
  <c r="S126" i="21"/>
  <c r="R126" i="21"/>
  <c r="Q126" i="21"/>
  <c r="P126" i="21"/>
  <c r="O126" i="21"/>
  <c r="N126" i="21"/>
  <c r="M126" i="21"/>
  <c r="L126" i="21"/>
  <c r="K126" i="21"/>
  <c r="J126" i="21"/>
  <c r="I126" i="21"/>
  <c r="H126" i="21"/>
  <c r="G126" i="21"/>
  <c r="A126" i="21"/>
  <c r="T125" i="21"/>
  <c r="S125" i="21"/>
  <c r="R125" i="21"/>
  <c r="Q125" i="21"/>
  <c r="P125" i="21"/>
  <c r="O125" i="21"/>
  <c r="N125" i="21"/>
  <c r="M125" i="21"/>
  <c r="L125" i="21"/>
  <c r="K125" i="21"/>
  <c r="J125" i="21"/>
  <c r="I125" i="21"/>
  <c r="H125" i="21"/>
  <c r="G125" i="21"/>
  <c r="A125" i="21"/>
  <c r="T124" i="21"/>
  <c r="S124" i="21"/>
  <c r="A124" i="21"/>
  <c r="T123" i="21"/>
  <c r="S123" i="21"/>
  <c r="A123" i="21"/>
  <c r="T122" i="21"/>
  <c r="S122" i="21"/>
  <c r="A122" i="21"/>
  <c r="T121" i="21"/>
  <c r="S121" i="21"/>
  <c r="A121" i="21"/>
  <c r="T120" i="21"/>
  <c r="S120" i="21"/>
  <c r="A120" i="21"/>
  <c r="T119" i="21"/>
  <c r="S119" i="21"/>
  <c r="A119" i="21"/>
  <c r="T118" i="21"/>
  <c r="S118" i="21"/>
  <c r="A118" i="21"/>
  <c r="T117" i="21"/>
  <c r="S117" i="21"/>
  <c r="A117" i="21"/>
  <c r="T116" i="21"/>
  <c r="S116" i="21"/>
  <c r="A116" i="21"/>
  <c r="T115" i="21"/>
  <c r="S115" i="21"/>
  <c r="R115" i="21"/>
  <c r="Q115" i="21"/>
  <c r="P115" i="21"/>
  <c r="O115" i="21"/>
  <c r="N115" i="21"/>
  <c r="M115" i="21"/>
  <c r="L115" i="21"/>
  <c r="K115" i="21"/>
  <c r="J115" i="21"/>
  <c r="I115" i="21"/>
  <c r="H115" i="21"/>
  <c r="G115" i="21"/>
  <c r="A115" i="21"/>
  <c r="T114" i="21"/>
  <c r="S114" i="21"/>
  <c r="A114" i="21"/>
  <c r="T113" i="21"/>
  <c r="S113" i="21"/>
  <c r="A113" i="21"/>
  <c r="T112" i="21"/>
  <c r="S112" i="21"/>
  <c r="A112" i="21"/>
  <c r="T111" i="21"/>
  <c r="S111" i="21"/>
  <c r="A111" i="21"/>
  <c r="T110" i="21"/>
  <c r="S110" i="21"/>
  <c r="A110" i="21"/>
  <c r="T109" i="21"/>
  <c r="S109" i="21"/>
  <c r="A109" i="21"/>
  <c r="T108" i="21"/>
  <c r="S108" i="21"/>
  <c r="A108" i="21"/>
  <c r="T107" i="21"/>
  <c r="S107" i="21"/>
  <c r="R107" i="21"/>
  <c r="Q107" i="21"/>
  <c r="P107" i="21"/>
  <c r="O107" i="21"/>
  <c r="N107" i="21"/>
  <c r="M107" i="21"/>
  <c r="L107" i="21"/>
  <c r="K107" i="21"/>
  <c r="J107" i="21"/>
  <c r="I107" i="21"/>
  <c r="H107" i="21"/>
  <c r="G107" i="21"/>
  <c r="A107" i="21"/>
  <c r="T106" i="21"/>
  <c r="S106" i="21"/>
  <c r="R106" i="21"/>
  <c r="Q106" i="21"/>
  <c r="P106" i="21"/>
  <c r="O106" i="21"/>
  <c r="N106" i="21"/>
  <c r="M106" i="21"/>
  <c r="L106" i="21"/>
  <c r="K106" i="21"/>
  <c r="J106" i="21"/>
  <c r="I106" i="21"/>
  <c r="H106" i="21"/>
  <c r="G106" i="21"/>
  <c r="A106" i="21"/>
  <c r="T105" i="21"/>
  <c r="T104" i="21"/>
  <c r="R104" i="21"/>
  <c r="Q104" i="21"/>
  <c r="P104" i="21"/>
  <c r="O104" i="21"/>
  <c r="N104" i="21"/>
  <c r="M104" i="21"/>
  <c r="L104" i="21"/>
  <c r="K104" i="21"/>
  <c r="J104" i="21"/>
  <c r="I104" i="21"/>
  <c r="H104" i="21"/>
  <c r="G104" i="21"/>
  <c r="T103" i="21"/>
  <c r="S103" i="21"/>
  <c r="R102" i="21"/>
  <c r="Q102" i="21"/>
  <c r="P102" i="21"/>
  <c r="O102" i="21"/>
  <c r="N102" i="21"/>
  <c r="M102" i="21"/>
  <c r="L102" i="21"/>
  <c r="K102" i="21"/>
  <c r="J102" i="21"/>
  <c r="I102" i="21"/>
  <c r="H102" i="21"/>
  <c r="G102" i="21"/>
  <c r="T67" i="21"/>
  <c r="S67" i="21"/>
  <c r="R67" i="21"/>
  <c r="Q67" i="21"/>
  <c r="P67" i="21"/>
  <c r="O67" i="21"/>
  <c r="N67" i="21"/>
  <c r="M67" i="21"/>
  <c r="L67" i="21"/>
  <c r="K67" i="21"/>
  <c r="J67" i="21"/>
  <c r="I67" i="21"/>
  <c r="H67" i="21"/>
  <c r="G67" i="21"/>
  <c r="T66" i="21"/>
  <c r="S66" i="21"/>
  <c r="T65" i="21"/>
  <c r="S65" i="21"/>
  <c r="T64" i="21"/>
  <c r="S64" i="21"/>
  <c r="T63" i="21"/>
  <c r="S63" i="21"/>
  <c r="R63" i="21"/>
  <c r="Q63" i="21"/>
  <c r="P63" i="21"/>
  <c r="O63" i="21"/>
  <c r="N63" i="21"/>
  <c r="M63" i="21"/>
  <c r="L63" i="21"/>
  <c r="K63" i="21"/>
  <c r="J63" i="21"/>
  <c r="I63" i="21"/>
  <c r="H63" i="21"/>
  <c r="G63" i="21"/>
  <c r="T62" i="21"/>
  <c r="S62" i="21"/>
  <c r="R62" i="21"/>
  <c r="Q62" i="21"/>
  <c r="P62" i="21"/>
  <c r="O62" i="21"/>
  <c r="N62" i="21"/>
  <c r="M62" i="21"/>
  <c r="L62" i="21"/>
  <c r="K62" i="21"/>
  <c r="J62" i="21"/>
  <c r="I62" i="21"/>
  <c r="H62" i="21"/>
  <c r="G62" i="21"/>
  <c r="T61" i="21"/>
  <c r="S61" i="21"/>
  <c r="T60" i="21"/>
  <c r="S60" i="21"/>
  <c r="T59" i="21"/>
  <c r="S59" i="21"/>
  <c r="T58" i="21"/>
  <c r="S58" i="21"/>
  <c r="R58" i="21"/>
  <c r="Q58" i="21"/>
  <c r="P58" i="21"/>
  <c r="O58" i="21"/>
  <c r="N58" i="21"/>
  <c r="M58" i="21"/>
  <c r="L58" i="21"/>
  <c r="K58" i="21"/>
  <c r="J58" i="21"/>
  <c r="I58" i="21"/>
  <c r="H58" i="21"/>
  <c r="G58" i="21"/>
  <c r="T57" i="21"/>
  <c r="S57" i="21"/>
  <c r="R57" i="21"/>
  <c r="Q57" i="21"/>
  <c r="P57" i="21"/>
  <c r="O57" i="21"/>
  <c r="N57" i="21"/>
  <c r="M57" i="21"/>
  <c r="L57" i="21"/>
  <c r="K57" i="21"/>
  <c r="J57" i="21"/>
  <c r="I57" i="21"/>
  <c r="H57" i="21"/>
  <c r="G57" i="21"/>
  <c r="T56" i="21"/>
  <c r="S56" i="21"/>
  <c r="R56" i="21"/>
  <c r="Q56" i="21"/>
  <c r="P56" i="21"/>
  <c r="O56" i="21"/>
  <c r="N56" i="21"/>
  <c r="M56" i="21"/>
  <c r="L56" i="21"/>
  <c r="K56" i="21"/>
  <c r="J56" i="21"/>
  <c r="I56" i="21"/>
  <c r="H56" i="21"/>
  <c r="G56" i="21"/>
  <c r="T55" i="21"/>
  <c r="S55" i="21"/>
  <c r="R55" i="21"/>
  <c r="Q55" i="21"/>
  <c r="P55" i="21"/>
  <c r="O55" i="21"/>
  <c r="N55" i="21"/>
  <c r="M55" i="21"/>
  <c r="L55" i="21"/>
  <c r="K55" i="21"/>
  <c r="J55" i="21"/>
  <c r="I55" i="21"/>
  <c r="H55" i="21"/>
  <c r="G55" i="21"/>
  <c r="T54" i="21"/>
  <c r="S54" i="21"/>
  <c r="T53" i="21"/>
  <c r="S53" i="21"/>
  <c r="T52" i="21"/>
  <c r="S52" i="21"/>
  <c r="T51" i="21"/>
  <c r="S51" i="21"/>
  <c r="T50" i="21"/>
  <c r="S50" i="21"/>
  <c r="T49" i="21"/>
  <c r="S49" i="21"/>
  <c r="T48" i="21"/>
  <c r="S48" i="21"/>
  <c r="T47" i="21"/>
  <c r="S47" i="21"/>
  <c r="T46" i="21"/>
  <c r="S46" i="21"/>
  <c r="T45" i="21"/>
  <c r="S45" i="21"/>
  <c r="T44" i="21"/>
  <c r="S44" i="21"/>
  <c r="T43" i="21"/>
  <c r="S43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T41" i="21"/>
  <c r="S41" i="21"/>
  <c r="T40" i="21"/>
  <c r="S40" i="21"/>
  <c r="T39" i="21"/>
  <c r="S39" i="21"/>
  <c r="T38" i="21"/>
  <c r="S38" i="21"/>
  <c r="T37" i="21"/>
  <c r="S37" i="21"/>
  <c r="T36" i="21"/>
  <c r="S36" i="21"/>
  <c r="T35" i="21"/>
  <c r="S35" i="21"/>
  <c r="T34" i="21"/>
  <c r="S34" i="21"/>
  <c r="T33" i="21"/>
  <c r="S33" i="21"/>
  <c r="T32" i="21"/>
  <c r="S32" i="21"/>
  <c r="T31" i="21"/>
  <c r="S31" i="21"/>
  <c r="R31" i="21"/>
  <c r="Q31" i="21"/>
  <c r="P31" i="21"/>
  <c r="O31" i="21"/>
  <c r="N31" i="21"/>
  <c r="M31" i="21"/>
  <c r="L31" i="21"/>
  <c r="K31" i="21"/>
  <c r="J31" i="21"/>
  <c r="I31" i="21"/>
  <c r="H31" i="21"/>
  <c r="G31" i="21"/>
  <c r="T30" i="21"/>
  <c r="S30" i="21"/>
  <c r="R30" i="21"/>
  <c r="Q30" i="21"/>
  <c r="P30" i="21"/>
  <c r="O30" i="21"/>
  <c r="N30" i="21"/>
  <c r="M30" i="21"/>
  <c r="L30" i="21"/>
  <c r="K30" i="21"/>
  <c r="J30" i="21"/>
  <c r="I30" i="21"/>
  <c r="H30" i="21"/>
  <c r="G30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T28" i="21"/>
  <c r="S28" i="21"/>
  <c r="T27" i="21"/>
  <c r="S27" i="21"/>
  <c r="T26" i="21"/>
  <c r="S26" i="21"/>
  <c r="T25" i="21"/>
  <c r="S25" i="21"/>
  <c r="T24" i="21"/>
  <c r="S24" i="21"/>
  <c r="T23" i="21"/>
  <c r="S23" i="21"/>
  <c r="T22" i="21"/>
  <c r="S22" i="21"/>
  <c r="T21" i="21"/>
  <c r="S21" i="21"/>
  <c r="T20" i="21"/>
  <c r="S20" i="21"/>
  <c r="T19" i="21"/>
  <c r="S19" i="21"/>
  <c r="T18" i="21"/>
  <c r="S18" i="21"/>
  <c r="T17" i="21"/>
  <c r="S17" i="21"/>
  <c r="T16" i="21"/>
  <c r="S16" i="21"/>
  <c r="T15" i="21"/>
  <c r="S15" i="21"/>
  <c r="T14" i="21"/>
  <c r="S14" i="21"/>
  <c r="T13" i="21"/>
  <c r="S13" i="21"/>
  <c r="T12" i="21"/>
  <c r="S12" i="21"/>
  <c r="T11" i="21"/>
  <c r="S11" i="21"/>
  <c r="R11" i="21"/>
  <c r="Q11" i="21"/>
  <c r="P11" i="21"/>
  <c r="O11" i="21"/>
  <c r="N11" i="21"/>
  <c r="M11" i="21"/>
  <c r="L11" i="21"/>
  <c r="K11" i="21"/>
  <c r="J11" i="21"/>
  <c r="I11" i="21"/>
  <c r="H11" i="21"/>
  <c r="G11" i="21"/>
  <c r="T10" i="21"/>
  <c r="S10" i="21"/>
  <c r="R10" i="21"/>
  <c r="Q10" i="21"/>
  <c r="P10" i="21"/>
  <c r="O10" i="21"/>
  <c r="N10" i="21"/>
  <c r="M10" i="21"/>
  <c r="L10" i="21"/>
  <c r="K10" i="21"/>
  <c r="J10" i="21"/>
  <c r="I10" i="21"/>
  <c r="H10" i="21"/>
  <c r="G10" i="21"/>
  <c r="R5" i="21"/>
  <c r="Q5" i="21"/>
  <c r="P5" i="21"/>
  <c r="O5" i="21"/>
  <c r="N5" i="21"/>
  <c r="M5" i="21"/>
  <c r="L5" i="21"/>
  <c r="K5" i="21"/>
  <c r="J5" i="21"/>
  <c r="I5" i="21"/>
  <c r="H5" i="21"/>
  <c r="G5" i="21"/>
  <c r="T159" i="20"/>
  <c r="S159" i="20"/>
  <c r="R159" i="20"/>
  <c r="Q159" i="20"/>
  <c r="P159" i="20"/>
  <c r="O159" i="20"/>
  <c r="N159" i="20"/>
  <c r="M159" i="20"/>
  <c r="L159" i="20"/>
  <c r="K159" i="20"/>
  <c r="J159" i="20"/>
  <c r="I159" i="20"/>
  <c r="H159" i="20"/>
  <c r="G159" i="20"/>
  <c r="A159" i="20"/>
  <c r="T158" i="20"/>
  <c r="S158" i="20"/>
  <c r="A158" i="20"/>
  <c r="T157" i="20"/>
  <c r="S157" i="20"/>
  <c r="A157" i="20"/>
  <c r="T156" i="20"/>
  <c r="S156" i="20"/>
  <c r="A156" i="20"/>
  <c r="T155" i="20"/>
  <c r="S155" i="20"/>
  <c r="R155" i="20"/>
  <c r="Q155" i="20"/>
  <c r="P155" i="20"/>
  <c r="O155" i="20"/>
  <c r="N155" i="20"/>
  <c r="M155" i="20"/>
  <c r="L155" i="20"/>
  <c r="K155" i="20"/>
  <c r="J155" i="20"/>
  <c r="I155" i="20"/>
  <c r="H155" i="20"/>
  <c r="G155" i="20"/>
  <c r="A155" i="20"/>
  <c r="T154" i="20"/>
  <c r="S154" i="20"/>
  <c r="R154" i="20"/>
  <c r="Q154" i="20"/>
  <c r="P154" i="20"/>
  <c r="O154" i="20"/>
  <c r="N154" i="20"/>
  <c r="M154" i="20"/>
  <c r="L154" i="20"/>
  <c r="K154" i="20"/>
  <c r="J154" i="20"/>
  <c r="I154" i="20"/>
  <c r="H154" i="20"/>
  <c r="G154" i="20"/>
  <c r="A154" i="20"/>
  <c r="T153" i="20"/>
  <c r="S153" i="20"/>
  <c r="T152" i="20"/>
  <c r="S152" i="20"/>
  <c r="A152" i="20"/>
  <c r="T151" i="20"/>
  <c r="S151" i="20"/>
  <c r="A151" i="20"/>
  <c r="T150" i="20"/>
  <c r="S150" i="20"/>
  <c r="R150" i="20"/>
  <c r="Q150" i="20"/>
  <c r="P150" i="20"/>
  <c r="O150" i="20"/>
  <c r="N150" i="20"/>
  <c r="M150" i="20"/>
  <c r="L150" i="20"/>
  <c r="K150" i="20"/>
  <c r="J150" i="20"/>
  <c r="I150" i="20"/>
  <c r="H150" i="20"/>
  <c r="G150" i="20"/>
  <c r="A150" i="20"/>
  <c r="T149" i="20"/>
  <c r="S149" i="20"/>
  <c r="R149" i="20"/>
  <c r="Q149" i="20"/>
  <c r="P149" i="20"/>
  <c r="O149" i="20"/>
  <c r="N149" i="20"/>
  <c r="M149" i="20"/>
  <c r="L149" i="20"/>
  <c r="K149" i="20"/>
  <c r="J149" i="20"/>
  <c r="I149" i="20"/>
  <c r="H149" i="20"/>
  <c r="G149" i="20"/>
  <c r="A149" i="20"/>
  <c r="T148" i="20"/>
  <c r="S148" i="20"/>
  <c r="R148" i="20"/>
  <c r="Q148" i="20"/>
  <c r="P148" i="20"/>
  <c r="O148" i="20"/>
  <c r="N148" i="20"/>
  <c r="M148" i="20"/>
  <c r="L148" i="20"/>
  <c r="K148" i="20"/>
  <c r="J148" i="20"/>
  <c r="I148" i="20"/>
  <c r="H148" i="20"/>
  <c r="G148" i="20"/>
  <c r="A148" i="20"/>
  <c r="T147" i="20"/>
  <c r="S147" i="20"/>
  <c r="T146" i="20"/>
  <c r="S146" i="20"/>
  <c r="A146" i="20"/>
  <c r="T145" i="20"/>
  <c r="S145" i="20"/>
  <c r="A145" i="20"/>
  <c r="T144" i="20"/>
  <c r="S144" i="20"/>
  <c r="A144" i="20"/>
  <c r="T143" i="20"/>
  <c r="S143" i="20"/>
  <c r="A143" i="20"/>
  <c r="T142" i="20"/>
  <c r="S142" i="20"/>
  <c r="A142" i="20"/>
  <c r="T141" i="20"/>
  <c r="S141" i="20"/>
  <c r="A141" i="20"/>
  <c r="T140" i="20"/>
  <c r="S140" i="20"/>
  <c r="A140" i="20"/>
  <c r="T139" i="20"/>
  <c r="S139" i="20"/>
  <c r="A139" i="20"/>
  <c r="T138" i="20"/>
  <c r="S138" i="20"/>
  <c r="A138" i="20"/>
  <c r="T137" i="20"/>
  <c r="S137" i="20"/>
  <c r="A137" i="20"/>
  <c r="T136" i="20"/>
  <c r="S136" i="20"/>
  <c r="A136" i="20"/>
  <c r="T135" i="20"/>
  <c r="S135" i="20"/>
  <c r="R135" i="20"/>
  <c r="Q135" i="20"/>
  <c r="P135" i="20"/>
  <c r="O135" i="20"/>
  <c r="N135" i="20"/>
  <c r="M135" i="20"/>
  <c r="L135" i="20"/>
  <c r="K135" i="20"/>
  <c r="J135" i="20"/>
  <c r="I135" i="20"/>
  <c r="H135" i="20"/>
  <c r="G135" i="20"/>
  <c r="A135" i="20"/>
  <c r="T134" i="20"/>
  <c r="S134" i="20"/>
  <c r="A134" i="20"/>
  <c r="T133" i="20"/>
  <c r="S133" i="20"/>
  <c r="A133" i="20"/>
  <c r="T132" i="20"/>
  <c r="S132" i="20"/>
  <c r="A132" i="20"/>
  <c r="T131" i="20"/>
  <c r="S131" i="20"/>
  <c r="A131" i="20"/>
  <c r="T130" i="20"/>
  <c r="S130" i="20"/>
  <c r="A130" i="20"/>
  <c r="T129" i="20"/>
  <c r="S129" i="20"/>
  <c r="A129" i="20"/>
  <c r="T128" i="20"/>
  <c r="S128" i="20"/>
  <c r="A128" i="20"/>
  <c r="T127" i="20"/>
  <c r="S127" i="20"/>
  <c r="A127" i="20"/>
  <c r="T126" i="20"/>
  <c r="S126" i="20"/>
  <c r="A126" i="20"/>
  <c r="T125" i="20"/>
  <c r="S125" i="20"/>
  <c r="A125" i="20"/>
  <c r="T124" i="20"/>
  <c r="S124" i="20"/>
  <c r="R124" i="20"/>
  <c r="Q124" i="20"/>
  <c r="P124" i="20"/>
  <c r="O124" i="20"/>
  <c r="N124" i="20"/>
  <c r="M124" i="20"/>
  <c r="L124" i="20"/>
  <c r="K124" i="20"/>
  <c r="J124" i="20"/>
  <c r="I124" i="20"/>
  <c r="H124" i="20"/>
  <c r="G124" i="20"/>
  <c r="A124" i="20"/>
  <c r="T123" i="20"/>
  <c r="S123" i="20"/>
  <c r="R123" i="20"/>
  <c r="Q123" i="20"/>
  <c r="P123" i="20"/>
  <c r="O123" i="20"/>
  <c r="N123" i="20"/>
  <c r="M123" i="20"/>
  <c r="L123" i="20"/>
  <c r="K123" i="20"/>
  <c r="J123" i="20"/>
  <c r="I123" i="20"/>
  <c r="H123" i="20"/>
  <c r="G123" i="20"/>
  <c r="A123" i="20"/>
  <c r="T122" i="20"/>
  <c r="S122" i="20"/>
  <c r="R122" i="20"/>
  <c r="Q122" i="20"/>
  <c r="P122" i="20"/>
  <c r="O122" i="20"/>
  <c r="N122" i="20"/>
  <c r="M122" i="20"/>
  <c r="L122" i="20"/>
  <c r="K122" i="20"/>
  <c r="J122" i="20"/>
  <c r="I122" i="20"/>
  <c r="H122" i="20"/>
  <c r="G122" i="20"/>
  <c r="A122" i="20"/>
  <c r="T121" i="20"/>
  <c r="S121" i="20"/>
  <c r="A121" i="20"/>
  <c r="T120" i="20"/>
  <c r="S120" i="20"/>
  <c r="A120" i="20"/>
  <c r="T119" i="20"/>
  <c r="S119" i="20"/>
  <c r="A119" i="20"/>
  <c r="T118" i="20"/>
  <c r="S118" i="20"/>
  <c r="A118" i="20"/>
  <c r="T117" i="20"/>
  <c r="S117" i="20"/>
  <c r="A117" i="20"/>
  <c r="T116" i="20"/>
  <c r="S116" i="20"/>
  <c r="A116" i="20"/>
  <c r="T115" i="20"/>
  <c r="S115" i="20"/>
  <c r="A115" i="20"/>
  <c r="T114" i="20"/>
  <c r="S114" i="20"/>
  <c r="A114" i="20"/>
  <c r="T113" i="20"/>
  <c r="S113" i="20"/>
  <c r="A113" i="20"/>
  <c r="T112" i="20"/>
  <c r="S112" i="20"/>
  <c r="R112" i="20"/>
  <c r="Q112" i="20"/>
  <c r="P112" i="20"/>
  <c r="O112" i="20"/>
  <c r="N112" i="20"/>
  <c r="M112" i="20"/>
  <c r="L112" i="20"/>
  <c r="K112" i="20"/>
  <c r="J112" i="20"/>
  <c r="I112" i="20"/>
  <c r="H112" i="20"/>
  <c r="G112" i="20"/>
  <c r="A112" i="20"/>
  <c r="T111" i="20"/>
  <c r="S111" i="20"/>
  <c r="A111" i="20"/>
  <c r="T110" i="20"/>
  <c r="S110" i="20"/>
  <c r="A110" i="20"/>
  <c r="T109" i="20"/>
  <c r="S109" i="20"/>
  <c r="A109" i="20"/>
  <c r="T108" i="20"/>
  <c r="S108" i="20"/>
  <c r="A108" i="20"/>
  <c r="T107" i="20"/>
  <c r="S107" i="20"/>
  <c r="A107" i="20"/>
  <c r="T106" i="20"/>
  <c r="S106" i="20"/>
  <c r="A106" i="20"/>
  <c r="T105" i="20"/>
  <c r="S105" i="20"/>
  <c r="A105" i="20"/>
  <c r="T104" i="20"/>
  <c r="S104" i="20"/>
  <c r="R104" i="20"/>
  <c r="Q104" i="20"/>
  <c r="P104" i="20"/>
  <c r="O104" i="20"/>
  <c r="N104" i="20"/>
  <c r="M104" i="20"/>
  <c r="L104" i="20"/>
  <c r="K104" i="20"/>
  <c r="J104" i="20"/>
  <c r="I104" i="20"/>
  <c r="H104" i="20"/>
  <c r="G104" i="20"/>
  <c r="A104" i="20"/>
  <c r="T103" i="20"/>
  <c r="S103" i="20"/>
  <c r="R103" i="20"/>
  <c r="Q103" i="20"/>
  <c r="P103" i="20"/>
  <c r="O103" i="20"/>
  <c r="N103" i="20"/>
  <c r="M103" i="20"/>
  <c r="L103" i="20"/>
  <c r="K103" i="20"/>
  <c r="J103" i="20"/>
  <c r="I103" i="20"/>
  <c r="H103" i="20"/>
  <c r="G103" i="20"/>
  <c r="A103" i="20"/>
  <c r="T102" i="20"/>
  <c r="T101" i="20"/>
  <c r="R101" i="20"/>
  <c r="Q101" i="20"/>
  <c r="P101" i="20"/>
  <c r="O101" i="20"/>
  <c r="N101" i="20"/>
  <c r="M101" i="20"/>
  <c r="L101" i="20"/>
  <c r="K101" i="20"/>
  <c r="J101" i="20"/>
  <c r="I101" i="20"/>
  <c r="H101" i="20"/>
  <c r="G101" i="20"/>
  <c r="T100" i="20"/>
  <c r="S100" i="20"/>
  <c r="R99" i="20"/>
  <c r="Q99" i="20"/>
  <c r="P99" i="20"/>
  <c r="O99" i="20"/>
  <c r="N99" i="20"/>
  <c r="M99" i="20"/>
  <c r="L99" i="20"/>
  <c r="K99" i="20"/>
  <c r="J99" i="20"/>
  <c r="I99" i="20"/>
  <c r="H99" i="20"/>
  <c r="G99" i="20"/>
  <c r="T64" i="20"/>
  <c r="S64" i="20"/>
  <c r="R64" i="20"/>
  <c r="Q64" i="20"/>
  <c r="P64" i="20"/>
  <c r="O64" i="20"/>
  <c r="N64" i="20"/>
  <c r="M64" i="20"/>
  <c r="L64" i="20"/>
  <c r="K64" i="20"/>
  <c r="J64" i="20"/>
  <c r="I64" i="20"/>
  <c r="H64" i="20"/>
  <c r="G64" i="20"/>
  <c r="T63" i="20"/>
  <c r="S63" i="20"/>
  <c r="R63" i="20"/>
  <c r="Q63" i="20"/>
  <c r="P63" i="20"/>
  <c r="O63" i="20"/>
  <c r="N63" i="20"/>
  <c r="M63" i="20"/>
  <c r="L63" i="20"/>
  <c r="K63" i="20"/>
  <c r="J63" i="20"/>
  <c r="I63" i="20"/>
  <c r="H63" i="20"/>
  <c r="G63" i="20"/>
  <c r="T62" i="20"/>
  <c r="S62" i="20"/>
  <c r="R62" i="20"/>
  <c r="Q62" i="20"/>
  <c r="P62" i="20"/>
  <c r="O62" i="20"/>
  <c r="N62" i="20"/>
  <c r="M62" i="20"/>
  <c r="L62" i="20"/>
  <c r="K62" i="20"/>
  <c r="J62" i="20"/>
  <c r="I62" i="20"/>
  <c r="H62" i="20"/>
  <c r="G62" i="20"/>
  <c r="T61" i="20"/>
  <c r="S61" i="20"/>
  <c r="R61" i="20"/>
  <c r="Q61" i="20"/>
  <c r="P61" i="20"/>
  <c r="O61" i="20"/>
  <c r="N61" i="20"/>
  <c r="M61" i="20"/>
  <c r="L61" i="20"/>
  <c r="K61" i="20"/>
  <c r="J61" i="20"/>
  <c r="I61" i="20"/>
  <c r="H61" i="20"/>
  <c r="G61" i="20"/>
  <c r="T60" i="20"/>
  <c r="S60" i="20"/>
  <c r="R60" i="20"/>
  <c r="Q60" i="20"/>
  <c r="P60" i="20"/>
  <c r="O60" i="20"/>
  <c r="N60" i="20"/>
  <c r="M60" i="20"/>
  <c r="L60" i="20"/>
  <c r="K60" i="20"/>
  <c r="J60" i="20"/>
  <c r="I60" i="20"/>
  <c r="H60" i="20"/>
  <c r="G60" i="20"/>
  <c r="T59" i="20"/>
  <c r="S59" i="20"/>
  <c r="R59" i="20"/>
  <c r="Q59" i="20"/>
  <c r="P59" i="20"/>
  <c r="O59" i="20"/>
  <c r="N59" i="20"/>
  <c r="M59" i="20"/>
  <c r="L59" i="20"/>
  <c r="K59" i="20"/>
  <c r="J59" i="20"/>
  <c r="I59" i="20"/>
  <c r="H59" i="20"/>
  <c r="G59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T56" i="20"/>
  <c r="S56" i="20"/>
  <c r="R56" i="20"/>
  <c r="Q56" i="20"/>
  <c r="P56" i="20"/>
  <c r="O56" i="20"/>
  <c r="N56" i="20"/>
  <c r="M56" i="20"/>
  <c r="L56" i="20"/>
  <c r="K56" i="20"/>
  <c r="J56" i="20"/>
  <c r="I56" i="20"/>
  <c r="H56" i="20"/>
  <c r="G56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T52" i="20"/>
  <c r="S52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T49" i="20"/>
  <c r="S49" i="20"/>
  <c r="R49" i="20"/>
  <c r="Q49" i="20"/>
  <c r="P49" i="20"/>
  <c r="O49" i="20"/>
  <c r="N49" i="20"/>
  <c r="M49" i="20"/>
  <c r="L49" i="20"/>
  <c r="K49" i="20"/>
  <c r="J49" i="20"/>
  <c r="I49" i="20"/>
  <c r="H49" i="20"/>
  <c r="G49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H48" i="20"/>
  <c r="G48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T46" i="20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T44" i="20"/>
  <c r="S44" i="20"/>
  <c r="R44" i="20"/>
  <c r="Q44" i="20"/>
  <c r="P44" i="20"/>
  <c r="O44" i="20"/>
  <c r="N44" i="20"/>
  <c r="M44" i="20"/>
  <c r="L44" i="20"/>
  <c r="K44" i="20"/>
  <c r="J44" i="20"/>
  <c r="I44" i="20"/>
  <c r="H44" i="20"/>
  <c r="G44" i="20"/>
  <c r="T43" i="20"/>
  <c r="S43" i="20"/>
  <c r="R43" i="20"/>
  <c r="Q43" i="20"/>
  <c r="P43" i="20"/>
  <c r="O43" i="20"/>
  <c r="N43" i="20"/>
  <c r="M43" i="20"/>
  <c r="L43" i="20"/>
  <c r="K43" i="20"/>
  <c r="J43" i="20"/>
  <c r="I43" i="20"/>
  <c r="H43" i="20"/>
  <c r="G43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T19" i="20"/>
  <c r="S19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R5" i="20"/>
  <c r="Q5" i="20"/>
  <c r="P5" i="20"/>
  <c r="O5" i="20"/>
  <c r="N5" i="20"/>
  <c r="M5" i="20"/>
  <c r="L5" i="20"/>
  <c r="K5" i="20"/>
  <c r="J5" i="20"/>
  <c r="I5" i="20"/>
  <c r="H5" i="20"/>
  <c r="G5" i="20"/>
  <c r="E5" i="20"/>
  <c r="T157" i="19"/>
  <c r="S157" i="19"/>
  <c r="R157" i="19"/>
  <c r="Q157" i="19"/>
  <c r="P157" i="19"/>
  <c r="O157" i="19"/>
  <c r="N157" i="19"/>
  <c r="M157" i="19"/>
  <c r="L157" i="19"/>
  <c r="K157" i="19"/>
  <c r="J157" i="19"/>
  <c r="I157" i="19"/>
  <c r="H157" i="19"/>
  <c r="G157" i="19"/>
  <c r="B157" i="19"/>
  <c r="A157" i="19"/>
  <c r="T156" i="19"/>
  <c r="S156" i="19"/>
  <c r="R156" i="19"/>
  <c r="Q156" i="19"/>
  <c r="P156" i="19"/>
  <c r="O156" i="19"/>
  <c r="N156" i="19"/>
  <c r="M156" i="19"/>
  <c r="L156" i="19"/>
  <c r="K156" i="19"/>
  <c r="J156" i="19"/>
  <c r="I156" i="19"/>
  <c r="H156" i="19"/>
  <c r="G156" i="19"/>
  <c r="B156" i="19"/>
  <c r="A156" i="19"/>
  <c r="T155" i="19"/>
  <c r="S155" i="19"/>
  <c r="R155" i="19"/>
  <c r="Q155" i="19"/>
  <c r="P155" i="19"/>
  <c r="O155" i="19"/>
  <c r="N155" i="19"/>
  <c r="M155" i="19"/>
  <c r="L155" i="19"/>
  <c r="K155" i="19"/>
  <c r="J155" i="19"/>
  <c r="I155" i="19"/>
  <c r="H155" i="19"/>
  <c r="G155" i="19"/>
  <c r="B155" i="19"/>
  <c r="A155" i="19"/>
  <c r="T154" i="19"/>
  <c r="S154" i="19"/>
  <c r="R154" i="19"/>
  <c r="Q154" i="19"/>
  <c r="P154" i="19"/>
  <c r="O154" i="19"/>
  <c r="N154" i="19"/>
  <c r="M154" i="19"/>
  <c r="L154" i="19"/>
  <c r="K154" i="19"/>
  <c r="J154" i="19"/>
  <c r="I154" i="19"/>
  <c r="H154" i="19"/>
  <c r="G154" i="19"/>
  <c r="B154" i="19"/>
  <c r="A154" i="19"/>
  <c r="T153" i="19"/>
  <c r="S153" i="19"/>
  <c r="R153" i="19"/>
  <c r="Q153" i="19"/>
  <c r="P153" i="19"/>
  <c r="O153" i="19"/>
  <c r="N153" i="19"/>
  <c r="M153" i="19"/>
  <c r="L153" i="19"/>
  <c r="K153" i="19"/>
  <c r="J153" i="19"/>
  <c r="I153" i="19"/>
  <c r="H153" i="19"/>
  <c r="G153" i="19"/>
  <c r="B153" i="19"/>
  <c r="A153" i="19"/>
  <c r="T152" i="19"/>
  <c r="S152" i="19"/>
  <c r="R152" i="19"/>
  <c r="Q152" i="19"/>
  <c r="P152" i="19"/>
  <c r="O152" i="19"/>
  <c r="N152" i="19"/>
  <c r="M152" i="19"/>
  <c r="L152" i="19"/>
  <c r="K152" i="19"/>
  <c r="J152" i="19"/>
  <c r="I152" i="19"/>
  <c r="H152" i="19"/>
  <c r="G152" i="19"/>
  <c r="B152" i="19"/>
  <c r="A152" i="19"/>
  <c r="T151" i="19"/>
  <c r="S151" i="19"/>
  <c r="R151" i="19"/>
  <c r="Q151" i="19"/>
  <c r="P151" i="19"/>
  <c r="O151" i="19"/>
  <c r="N151" i="19"/>
  <c r="M151" i="19"/>
  <c r="L151" i="19"/>
  <c r="K151" i="19"/>
  <c r="J151" i="19"/>
  <c r="I151" i="19"/>
  <c r="H151" i="19"/>
  <c r="G151" i="19"/>
  <c r="B151" i="19"/>
  <c r="A151" i="19"/>
  <c r="T150" i="19"/>
  <c r="S150" i="19"/>
  <c r="R150" i="19"/>
  <c r="Q150" i="19"/>
  <c r="P150" i="19"/>
  <c r="O150" i="19"/>
  <c r="N150" i="19"/>
  <c r="M150" i="19"/>
  <c r="L150" i="19"/>
  <c r="K150" i="19"/>
  <c r="J150" i="19"/>
  <c r="I150" i="19"/>
  <c r="H150" i="19"/>
  <c r="G150" i="19"/>
  <c r="B150" i="19"/>
  <c r="A150" i="19"/>
  <c r="T149" i="19"/>
  <c r="S149" i="19"/>
  <c r="R149" i="19"/>
  <c r="Q149" i="19"/>
  <c r="P149" i="19"/>
  <c r="O149" i="19"/>
  <c r="N149" i="19"/>
  <c r="M149" i="19"/>
  <c r="L149" i="19"/>
  <c r="K149" i="19"/>
  <c r="J149" i="19"/>
  <c r="I149" i="19"/>
  <c r="H149" i="19"/>
  <c r="G149" i="19"/>
  <c r="B149" i="19"/>
  <c r="A149" i="19"/>
  <c r="T148" i="19"/>
  <c r="S148" i="19"/>
  <c r="R148" i="19"/>
  <c r="Q148" i="19"/>
  <c r="P148" i="19"/>
  <c r="O148" i="19"/>
  <c r="N148" i="19"/>
  <c r="M148" i="19"/>
  <c r="L148" i="19"/>
  <c r="K148" i="19"/>
  <c r="J148" i="19"/>
  <c r="I148" i="19"/>
  <c r="H148" i="19"/>
  <c r="G148" i="19"/>
  <c r="B148" i="19"/>
  <c r="A148" i="19"/>
  <c r="T147" i="19"/>
  <c r="S147" i="19"/>
  <c r="R147" i="19"/>
  <c r="Q147" i="19"/>
  <c r="P147" i="19"/>
  <c r="O147" i="19"/>
  <c r="N147" i="19"/>
  <c r="M147" i="19"/>
  <c r="L147" i="19"/>
  <c r="K147" i="19"/>
  <c r="J147" i="19"/>
  <c r="I147" i="19"/>
  <c r="H147" i="19"/>
  <c r="G147" i="19"/>
  <c r="B147" i="19"/>
  <c r="A147" i="19"/>
  <c r="T146" i="19"/>
  <c r="S146" i="19"/>
  <c r="R146" i="19"/>
  <c r="Q146" i="19"/>
  <c r="P146" i="19"/>
  <c r="O146" i="19"/>
  <c r="N146" i="19"/>
  <c r="M146" i="19"/>
  <c r="L146" i="19"/>
  <c r="K146" i="19"/>
  <c r="J146" i="19"/>
  <c r="I146" i="19"/>
  <c r="H146" i="19"/>
  <c r="G146" i="19"/>
  <c r="B146" i="19"/>
  <c r="A146" i="19"/>
  <c r="T145" i="19"/>
  <c r="S145" i="19"/>
  <c r="R145" i="19"/>
  <c r="Q145" i="19"/>
  <c r="P145" i="19"/>
  <c r="O145" i="19"/>
  <c r="N145" i="19"/>
  <c r="M145" i="19"/>
  <c r="L145" i="19"/>
  <c r="K145" i="19"/>
  <c r="J145" i="19"/>
  <c r="I145" i="19"/>
  <c r="H145" i="19"/>
  <c r="G145" i="19"/>
  <c r="B145" i="19"/>
  <c r="A145" i="19"/>
  <c r="T144" i="19"/>
  <c r="S144" i="19"/>
  <c r="R144" i="19"/>
  <c r="Q144" i="19"/>
  <c r="P144" i="19"/>
  <c r="O144" i="19"/>
  <c r="N144" i="19"/>
  <c r="M144" i="19"/>
  <c r="L144" i="19"/>
  <c r="K144" i="19"/>
  <c r="J144" i="19"/>
  <c r="I144" i="19"/>
  <c r="H144" i="19"/>
  <c r="G144" i="19"/>
  <c r="B144" i="19"/>
  <c r="A144" i="19"/>
  <c r="T143" i="19"/>
  <c r="S143" i="19"/>
  <c r="R143" i="19"/>
  <c r="Q143" i="19"/>
  <c r="P143" i="19"/>
  <c r="O143" i="19"/>
  <c r="N143" i="19"/>
  <c r="M143" i="19"/>
  <c r="L143" i="19"/>
  <c r="K143" i="19"/>
  <c r="J143" i="19"/>
  <c r="I143" i="19"/>
  <c r="H143" i="19"/>
  <c r="G143" i="19"/>
  <c r="B143" i="19"/>
  <c r="A143" i="19"/>
  <c r="T142" i="19"/>
  <c r="S142" i="19"/>
  <c r="R142" i="19"/>
  <c r="Q142" i="19"/>
  <c r="P142" i="19"/>
  <c r="O142" i="19"/>
  <c r="N142" i="19"/>
  <c r="M142" i="19"/>
  <c r="L142" i="19"/>
  <c r="K142" i="19"/>
  <c r="J142" i="19"/>
  <c r="I142" i="19"/>
  <c r="H142" i="19"/>
  <c r="G142" i="19"/>
  <c r="B142" i="19"/>
  <c r="A142" i="19"/>
  <c r="T141" i="19"/>
  <c r="S141" i="19"/>
  <c r="R141" i="19"/>
  <c r="Q141" i="19"/>
  <c r="P141" i="19"/>
  <c r="O141" i="19"/>
  <c r="N141" i="19"/>
  <c r="M141" i="19"/>
  <c r="L141" i="19"/>
  <c r="K141" i="19"/>
  <c r="J141" i="19"/>
  <c r="I141" i="19"/>
  <c r="H141" i="19"/>
  <c r="G141" i="19"/>
  <c r="B141" i="19"/>
  <c r="A141" i="19"/>
  <c r="T140" i="19"/>
  <c r="S140" i="19"/>
  <c r="R140" i="19"/>
  <c r="Q140" i="19"/>
  <c r="P140" i="19"/>
  <c r="O140" i="19"/>
  <c r="N140" i="19"/>
  <c r="M140" i="19"/>
  <c r="L140" i="19"/>
  <c r="K140" i="19"/>
  <c r="J140" i="19"/>
  <c r="I140" i="19"/>
  <c r="H140" i="19"/>
  <c r="G140" i="19"/>
  <c r="B140" i="19"/>
  <c r="A140" i="19"/>
  <c r="T139" i="19"/>
  <c r="S139" i="19"/>
  <c r="R139" i="19"/>
  <c r="Q139" i="19"/>
  <c r="P139" i="19"/>
  <c r="O139" i="19"/>
  <c r="N139" i="19"/>
  <c r="M139" i="19"/>
  <c r="L139" i="19"/>
  <c r="K139" i="19"/>
  <c r="J139" i="19"/>
  <c r="I139" i="19"/>
  <c r="H139" i="19"/>
  <c r="G139" i="19"/>
  <c r="B139" i="19"/>
  <c r="A139" i="19"/>
  <c r="T138" i="19"/>
  <c r="S138" i="19"/>
  <c r="R138" i="19"/>
  <c r="Q138" i="19"/>
  <c r="P138" i="19"/>
  <c r="O138" i="19"/>
  <c r="N138" i="19"/>
  <c r="M138" i="19"/>
  <c r="L138" i="19"/>
  <c r="K138" i="19"/>
  <c r="J138" i="19"/>
  <c r="I138" i="19"/>
  <c r="H138" i="19"/>
  <c r="G138" i="19"/>
  <c r="B138" i="19"/>
  <c r="A138" i="19"/>
  <c r="T137" i="19"/>
  <c r="S137" i="19"/>
  <c r="R137" i="19"/>
  <c r="Q137" i="19"/>
  <c r="P137" i="19"/>
  <c r="O137" i="19"/>
  <c r="N137" i="19"/>
  <c r="M137" i="19"/>
  <c r="L137" i="19"/>
  <c r="K137" i="19"/>
  <c r="J137" i="19"/>
  <c r="I137" i="19"/>
  <c r="H137" i="19"/>
  <c r="G137" i="19"/>
  <c r="B137" i="19"/>
  <c r="A137" i="19"/>
  <c r="T136" i="19"/>
  <c r="S136" i="19"/>
  <c r="R136" i="19"/>
  <c r="Q136" i="19"/>
  <c r="P136" i="19"/>
  <c r="O136" i="19"/>
  <c r="N136" i="19"/>
  <c r="M136" i="19"/>
  <c r="L136" i="19"/>
  <c r="K136" i="19"/>
  <c r="J136" i="19"/>
  <c r="I136" i="19"/>
  <c r="H136" i="19"/>
  <c r="G136" i="19"/>
  <c r="B136" i="19"/>
  <c r="A136" i="19"/>
  <c r="T135" i="19"/>
  <c r="S135" i="19"/>
  <c r="R135" i="19"/>
  <c r="Q135" i="19"/>
  <c r="P135" i="19"/>
  <c r="O135" i="19"/>
  <c r="N135" i="19"/>
  <c r="M135" i="19"/>
  <c r="L135" i="19"/>
  <c r="K135" i="19"/>
  <c r="J135" i="19"/>
  <c r="I135" i="19"/>
  <c r="H135" i="19"/>
  <c r="G135" i="19"/>
  <c r="B135" i="19"/>
  <c r="A135" i="19"/>
  <c r="T134" i="19"/>
  <c r="S134" i="19"/>
  <c r="R134" i="19"/>
  <c r="Q134" i="19"/>
  <c r="P134" i="19"/>
  <c r="O134" i="19"/>
  <c r="N134" i="19"/>
  <c r="M134" i="19"/>
  <c r="L134" i="19"/>
  <c r="K134" i="19"/>
  <c r="J134" i="19"/>
  <c r="I134" i="19"/>
  <c r="H134" i="19"/>
  <c r="G134" i="19"/>
  <c r="B134" i="19"/>
  <c r="A134" i="19"/>
  <c r="T133" i="19"/>
  <c r="S133" i="19"/>
  <c r="R133" i="19"/>
  <c r="Q133" i="19"/>
  <c r="P133" i="19"/>
  <c r="O133" i="19"/>
  <c r="N133" i="19"/>
  <c r="M133" i="19"/>
  <c r="L133" i="19"/>
  <c r="K133" i="19"/>
  <c r="J133" i="19"/>
  <c r="I133" i="19"/>
  <c r="H133" i="19"/>
  <c r="G133" i="19"/>
  <c r="B133" i="19"/>
  <c r="A133" i="19"/>
  <c r="T132" i="19"/>
  <c r="S132" i="19"/>
  <c r="R132" i="19"/>
  <c r="Q132" i="19"/>
  <c r="P132" i="19"/>
  <c r="O132" i="19"/>
  <c r="N132" i="19"/>
  <c r="M132" i="19"/>
  <c r="L132" i="19"/>
  <c r="K132" i="19"/>
  <c r="J132" i="19"/>
  <c r="I132" i="19"/>
  <c r="H132" i="19"/>
  <c r="G132" i="19"/>
  <c r="B132" i="19"/>
  <c r="A132" i="19"/>
  <c r="T131" i="19"/>
  <c r="S131" i="19"/>
  <c r="R131" i="19"/>
  <c r="Q131" i="19"/>
  <c r="P131" i="19"/>
  <c r="O131" i="19"/>
  <c r="N131" i="19"/>
  <c r="M131" i="19"/>
  <c r="L131" i="19"/>
  <c r="K131" i="19"/>
  <c r="J131" i="19"/>
  <c r="I131" i="19"/>
  <c r="H131" i="19"/>
  <c r="G131" i="19"/>
  <c r="B131" i="19"/>
  <c r="A131" i="19"/>
  <c r="T130" i="19"/>
  <c r="S130" i="19"/>
  <c r="R130" i="19"/>
  <c r="Q130" i="19"/>
  <c r="P130" i="19"/>
  <c r="O130" i="19"/>
  <c r="N130" i="19"/>
  <c r="M130" i="19"/>
  <c r="L130" i="19"/>
  <c r="K130" i="19"/>
  <c r="J130" i="19"/>
  <c r="I130" i="19"/>
  <c r="H130" i="19"/>
  <c r="G130" i="19"/>
  <c r="B130" i="19"/>
  <c r="A130" i="19"/>
  <c r="T129" i="19"/>
  <c r="S129" i="19"/>
  <c r="R129" i="19"/>
  <c r="Q129" i="19"/>
  <c r="P129" i="19"/>
  <c r="O129" i="19"/>
  <c r="N129" i="19"/>
  <c r="M129" i="19"/>
  <c r="L129" i="19"/>
  <c r="K129" i="19"/>
  <c r="J129" i="19"/>
  <c r="I129" i="19"/>
  <c r="H129" i="19"/>
  <c r="G129" i="19"/>
  <c r="B129" i="19"/>
  <c r="A129" i="19"/>
  <c r="T128" i="19"/>
  <c r="S128" i="19"/>
  <c r="R128" i="19"/>
  <c r="Q128" i="19"/>
  <c r="P128" i="19"/>
  <c r="O128" i="19"/>
  <c r="N128" i="19"/>
  <c r="M128" i="19"/>
  <c r="L128" i="19"/>
  <c r="K128" i="19"/>
  <c r="J128" i="19"/>
  <c r="I128" i="19"/>
  <c r="H128" i="19"/>
  <c r="G128" i="19"/>
  <c r="B128" i="19"/>
  <c r="A128" i="19"/>
  <c r="T127" i="19"/>
  <c r="S127" i="19"/>
  <c r="R127" i="19"/>
  <c r="Q127" i="19"/>
  <c r="P127" i="19"/>
  <c r="O127" i="19"/>
  <c r="N127" i="19"/>
  <c r="M127" i="19"/>
  <c r="L127" i="19"/>
  <c r="K127" i="19"/>
  <c r="J127" i="19"/>
  <c r="I127" i="19"/>
  <c r="H127" i="19"/>
  <c r="G127" i="19"/>
  <c r="B127" i="19"/>
  <c r="A127" i="19"/>
  <c r="T126" i="19"/>
  <c r="S126" i="19"/>
  <c r="R126" i="19"/>
  <c r="Q126" i="19"/>
  <c r="P126" i="19"/>
  <c r="O126" i="19"/>
  <c r="N126" i="19"/>
  <c r="M126" i="19"/>
  <c r="L126" i="19"/>
  <c r="K126" i="19"/>
  <c r="J126" i="19"/>
  <c r="I126" i="19"/>
  <c r="H126" i="19"/>
  <c r="G126" i="19"/>
  <c r="B126" i="19"/>
  <c r="A126" i="19"/>
  <c r="T125" i="19"/>
  <c r="S125" i="19"/>
  <c r="R125" i="19"/>
  <c r="Q125" i="19"/>
  <c r="P125" i="19"/>
  <c r="O125" i="19"/>
  <c r="N125" i="19"/>
  <c r="M125" i="19"/>
  <c r="L125" i="19"/>
  <c r="K125" i="19"/>
  <c r="J125" i="19"/>
  <c r="I125" i="19"/>
  <c r="H125" i="19"/>
  <c r="G125" i="19"/>
  <c r="B125" i="19"/>
  <c r="A125" i="19"/>
  <c r="T124" i="19"/>
  <c r="S124" i="19"/>
  <c r="R124" i="19"/>
  <c r="Q124" i="19"/>
  <c r="P124" i="19"/>
  <c r="O124" i="19"/>
  <c r="N124" i="19"/>
  <c r="M124" i="19"/>
  <c r="L124" i="19"/>
  <c r="K124" i="19"/>
  <c r="J124" i="19"/>
  <c r="I124" i="19"/>
  <c r="H124" i="19"/>
  <c r="G124" i="19"/>
  <c r="B124" i="19"/>
  <c r="A124" i="19"/>
  <c r="T123" i="19"/>
  <c r="S123" i="19"/>
  <c r="R123" i="19"/>
  <c r="Q123" i="19"/>
  <c r="P123" i="19"/>
  <c r="O123" i="19"/>
  <c r="N123" i="19"/>
  <c r="M123" i="19"/>
  <c r="L123" i="19"/>
  <c r="K123" i="19"/>
  <c r="J123" i="19"/>
  <c r="I123" i="19"/>
  <c r="H123" i="19"/>
  <c r="G123" i="19"/>
  <c r="B123" i="19"/>
  <c r="A123" i="19"/>
  <c r="T122" i="19"/>
  <c r="S122" i="19"/>
  <c r="R122" i="19"/>
  <c r="Q122" i="19"/>
  <c r="P122" i="19"/>
  <c r="O122" i="19"/>
  <c r="N122" i="19"/>
  <c r="M122" i="19"/>
  <c r="L122" i="19"/>
  <c r="K122" i="19"/>
  <c r="J122" i="19"/>
  <c r="I122" i="19"/>
  <c r="H122" i="19"/>
  <c r="G122" i="19"/>
  <c r="B122" i="19"/>
  <c r="A122" i="19"/>
  <c r="T121" i="19"/>
  <c r="S121" i="19"/>
  <c r="R121" i="19"/>
  <c r="Q121" i="19"/>
  <c r="P121" i="19"/>
  <c r="O121" i="19"/>
  <c r="N121" i="19"/>
  <c r="M121" i="19"/>
  <c r="L121" i="19"/>
  <c r="K121" i="19"/>
  <c r="J121" i="19"/>
  <c r="I121" i="19"/>
  <c r="H121" i="19"/>
  <c r="G121" i="19"/>
  <c r="B121" i="19"/>
  <c r="A121" i="19"/>
  <c r="T120" i="19"/>
  <c r="S120" i="19"/>
  <c r="R120" i="19"/>
  <c r="Q120" i="19"/>
  <c r="P120" i="19"/>
  <c r="O120" i="19"/>
  <c r="N120" i="19"/>
  <c r="M120" i="19"/>
  <c r="L120" i="19"/>
  <c r="K120" i="19"/>
  <c r="J120" i="19"/>
  <c r="I120" i="19"/>
  <c r="H120" i="19"/>
  <c r="G120" i="19"/>
  <c r="B120" i="19"/>
  <c r="A120" i="19"/>
  <c r="T119" i="19"/>
  <c r="S119" i="19"/>
  <c r="R119" i="19"/>
  <c r="Q119" i="19"/>
  <c r="P119" i="19"/>
  <c r="O119" i="19"/>
  <c r="N119" i="19"/>
  <c r="M119" i="19"/>
  <c r="L119" i="19"/>
  <c r="K119" i="19"/>
  <c r="J119" i="19"/>
  <c r="I119" i="19"/>
  <c r="H119" i="19"/>
  <c r="G119" i="19"/>
  <c r="B119" i="19"/>
  <c r="A119" i="19"/>
  <c r="T118" i="19"/>
  <c r="S118" i="19"/>
  <c r="R118" i="19"/>
  <c r="Q118" i="19"/>
  <c r="P118" i="19"/>
  <c r="O118" i="19"/>
  <c r="N118" i="19"/>
  <c r="M118" i="19"/>
  <c r="L118" i="19"/>
  <c r="K118" i="19"/>
  <c r="J118" i="19"/>
  <c r="I118" i="19"/>
  <c r="H118" i="19"/>
  <c r="G118" i="19"/>
  <c r="B118" i="19"/>
  <c r="A118" i="19"/>
  <c r="T117" i="19"/>
  <c r="S117" i="19"/>
  <c r="R117" i="19"/>
  <c r="Q117" i="19"/>
  <c r="P117" i="19"/>
  <c r="O117" i="19"/>
  <c r="N117" i="19"/>
  <c r="M117" i="19"/>
  <c r="L117" i="19"/>
  <c r="K117" i="19"/>
  <c r="J117" i="19"/>
  <c r="I117" i="19"/>
  <c r="H117" i="19"/>
  <c r="G117" i="19"/>
  <c r="B117" i="19"/>
  <c r="A117" i="19"/>
  <c r="T116" i="19"/>
  <c r="S116" i="19"/>
  <c r="R116" i="19"/>
  <c r="Q116" i="19"/>
  <c r="P116" i="19"/>
  <c r="O116" i="19"/>
  <c r="N116" i="19"/>
  <c r="M116" i="19"/>
  <c r="L116" i="19"/>
  <c r="K116" i="19"/>
  <c r="J116" i="19"/>
  <c r="I116" i="19"/>
  <c r="H116" i="19"/>
  <c r="G116" i="19"/>
  <c r="B116" i="19"/>
  <c r="A116" i="19"/>
  <c r="T115" i="19"/>
  <c r="S115" i="19"/>
  <c r="R115" i="19"/>
  <c r="Q115" i="19"/>
  <c r="P115" i="19"/>
  <c r="O115" i="19"/>
  <c r="N115" i="19"/>
  <c r="M115" i="19"/>
  <c r="L115" i="19"/>
  <c r="K115" i="19"/>
  <c r="J115" i="19"/>
  <c r="I115" i="19"/>
  <c r="H115" i="19"/>
  <c r="G115" i="19"/>
  <c r="B115" i="19"/>
  <c r="A115" i="19"/>
  <c r="T114" i="19"/>
  <c r="S114" i="19"/>
  <c r="R114" i="19"/>
  <c r="Q114" i="19"/>
  <c r="P114" i="19"/>
  <c r="O114" i="19"/>
  <c r="N114" i="19"/>
  <c r="M114" i="19"/>
  <c r="L114" i="19"/>
  <c r="K114" i="19"/>
  <c r="J114" i="19"/>
  <c r="I114" i="19"/>
  <c r="H114" i="19"/>
  <c r="G114" i="19"/>
  <c r="B114" i="19"/>
  <c r="A114" i="19"/>
  <c r="T113" i="19"/>
  <c r="S113" i="19"/>
  <c r="R113" i="19"/>
  <c r="Q113" i="19"/>
  <c r="P113" i="19"/>
  <c r="O113" i="19"/>
  <c r="N113" i="19"/>
  <c r="M113" i="19"/>
  <c r="L113" i="19"/>
  <c r="K113" i="19"/>
  <c r="J113" i="19"/>
  <c r="I113" i="19"/>
  <c r="H113" i="19"/>
  <c r="G113" i="19"/>
  <c r="B113" i="19"/>
  <c r="A113" i="19"/>
  <c r="T112" i="19"/>
  <c r="S112" i="19"/>
  <c r="R112" i="19"/>
  <c r="Q112" i="19"/>
  <c r="P112" i="19"/>
  <c r="O112" i="19"/>
  <c r="N112" i="19"/>
  <c r="M112" i="19"/>
  <c r="L112" i="19"/>
  <c r="K112" i="19"/>
  <c r="J112" i="19"/>
  <c r="I112" i="19"/>
  <c r="H112" i="19"/>
  <c r="G112" i="19"/>
  <c r="B112" i="19"/>
  <c r="A112" i="19"/>
  <c r="T111" i="19"/>
  <c r="S111" i="19"/>
  <c r="R111" i="19"/>
  <c r="Q111" i="19"/>
  <c r="P111" i="19"/>
  <c r="O111" i="19"/>
  <c r="N111" i="19"/>
  <c r="M111" i="19"/>
  <c r="L111" i="19"/>
  <c r="K111" i="19"/>
  <c r="J111" i="19"/>
  <c r="I111" i="19"/>
  <c r="H111" i="19"/>
  <c r="G111" i="19"/>
  <c r="B111" i="19"/>
  <c r="A111" i="19"/>
  <c r="T110" i="19"/>
  <c r="S110" i="19"/>
  <c r="R110" i="19"/>
  <c r="Q110" i="19"/>
  <c r="P110" i="19"/>
  <c r="O110" i="19"/>
  <c r="N110" i="19"/>
  <c r="M110" i="19"/>
  <c r="L110" i="19"/>
  <c r="K110" i="19"/>
  <c r="J110" i="19"/>
  <c r="I110" i="19"/>
  <c r="H110" i="19"/>
  <c r="G110" i="19"/>
  <c r="B110" i="19"/>
  <c r="A110" i="19"/>
  <c r="T109" i="19"/>
  <c r="S109" i="19"/>
  <c r="R109" i="19"/>
  <c r="Q109" i="19"/>
  <c r="P109" i="19"/>
  <c r="O109" i="19"/>
  <c r="N109" i="19"/>
  <c r="M109" i="19"/>
  <c r="L109" i="19"/>
  <c r="K109" i="19"/>
  <c r="J109" i="19"/>
  <c r="I109" i="19"/>
  <c r="H109" i="19"/>
  <c r="G109" i="19"/>
  <c r="B109" i="19"/>
  <c r="A109" i="19"/>
  <c r="T108" i="19"/>
  <c r="S108" i="19"/>
  <c r="R108" i="19"/>
  <c r="Q108" i="19"/>
  <c r="P108" i="19"/>
  <c r="O108" i="19"/>
  <c r="N108" i="19"/>
  <c r="M108" i="19"/>
  <c r="L108" i="19"/>
  <c r="K108" i="19"/>
  <c r="J108" i="19"/>
  <c r="I108" i="19"/>
  <c r="H108" i="19"/>
  <c r="G108" i="19"/>
  <c r="B108" i="19"/>
  <c r="A108" i="19"/>
  <c r="T107" i="19"/>
  <c r="S107" i="19"/>
  <c r="R107" i="19"/>
  <c r="Q107" i="19"/>
  <c r="P107" i="19"/>
  <c r="O107" i="19"/>
  <c r="N107" i="19"/>
  <c r="M107" i="19"/>
  <c r="L107" i="19"/>
  <c r="K107" i="19"/>
  <c r="J107" i="19"/>
  <c r="I107" i="19"/>
  <c r="H107" i="19"/>
  <c r="G107" i="19"/>
  <c r="B107" i="19"/>
  <c r="A107" i="19"/>
  <c r="T106" i="19"/>
  <c r="S106" i="19"/>
  <c r="R106" i="19"/>
  <c r="Q106" i="19"/>
  <c r="P106" i="19"/>
  <c r="O106" i="19"/>
  <c r="N106" i="19"/>
  <c r="M106" i="19"/>
  <c r="L106" i="19"/>
  <c r="K106" i="19"/>
  <c r="J106" i="19"/>
  <c r="I106" i="19"/>
  <c r="H106" i="19"/>
  <c r="G106" i="19"/>
  <c r="B106" i="19"/>
  <c r="A106" i="19"/>
  <c r="T105" i="19"/>
  <c r="S105" i="19"/>
  <c r="R105" i="19"/>
  <c r="Q105" i="19"/>
  <c r="P105" i="19"/>
  <c r="O105" i="19"/>
  <c r="N105" i="19"/>
  <c r="M105" i="19"/>
  <c r="L105" i="19"/>
  <c r="K105" i="19"/>
  <c r="J105" i="19"/>
  <c r="I105" i="19"/>
  <c r="H105" i="19"/>
  <c r="G105" i="19"/>
  <c r="B105" i="19"/>
  <c r="A105" i="19"/>
  <c r="T104" i="19"/>
  <c r="S104" i="19"/>
  <c r="R104" i="19"/>
  <c r="Q104" i="19"/>
  <c r="P104" i="19"/>
  <c r="O104" i="19"/>
  <c r="N104" i="19"/>
  <c r="M104" i="19"/>
  <c r="L104" i="19"/>
  <c r="K104" i="19"/>
  <c r="J104" i="19"/>
  <c r="I104" i="19"/>
  <c r="H104" i="19"/>
  <c r="G104" i="19"/>
  <c r="B104" i="19"/>
  <c r="A104" i="19"/>
  <c r="T103" i="19"/>
  <c r="S103" i="19"/>
  <c r="R103" i="19"/>
  <c r="Q103" i="19"/>
  <c r="P103" i="19"/>
  <c r="O103" i="19"/>
  <c r="N103" i="19"/>
  <c r="M103" i="19"/>
  <c r="L103" i="19"/>
  <c r="K103" i="19"/>
  <c r="J103" i="19"/>
  <c r="I103" i="19"/>
  <c r="H103" i="19"/>
  <c r="G103" i="19"/>
  <c r="B103" i="19"/>
  <c r="A103" i="19"/>
  <c r="T102" i="19"/>
  <c r="T101" i="19"/>
  <c r="S101" i="19"/>
  <c r="R101" i="19"/>
  <c r="Q101" i="19"/>
  <c r="P101" i="19"/>
  <c r="O101" i="19"/>
  <c r="N101" i="19"/>
  <c r="M101" i="19"/>
  <c r="L101" i="19"/>
  <c r="K101" i="19"/>
  <c r="J101" i="19"/>
  <c r="I101" i="19"/>
  <c r="H101" i="19"/>
  <c r="G101" i="19"/>
  <c r="S100" i="19"/>
  <c r="B100" i="19"/>
  <c r="R99" i="19"/>
  <c r="Q99" i="19"/>
  <c r="P99" i="19"/>
  <c r="O99" i="19"/>
  <c r="N99" i="19"/>
  <c r="M99" i="19"/>
  <c r="L99" i="19"/>
  <c r="K99" i="19"/>
  <c r="J99" i="19"/>
  <c r="I99" i="19"/>
  <c r="H99" i="19"/>
  <c r="G99" i="19"/>
  <c r="T64" i="19"/>
  <c r="S64" i="19"/>
  <c r="R64" i="19"/>
  <c r="Q64" i="19"/>
  <c r="P64" i="19"/>
  <c r="O64" i="19"/>
  <c r="N64" i="19"/>
  <c r="M64" i="19"/>
  <c r="L64" i="19"/>
  <c r="K64" i="19"/>
  <c r="J64" i="19"/>
  <c r="I64" i="19"/>
  <c r="H64" i="19"/>
  <c r="G64" i="19"/>
  <c r="B64" i="19"/>
  <c r="T63" i="19"/>
  <c r="S63" i="19"/>
  <c r="R63" i="19"/>
  <c r="Q63" i="19"/>
  <c r="P63" i="19"/>
  <c r="O63" i="19"/>
  <c r="N63" i="19"/>
  <c r="M63" i="19"/>
  <c r="L63" i="19"/>
  <c r="K63" i="19"/>
  <c r="J63" i="19"/>
  <c r="I63" i="19"/>
  <c r="H63" i="19"/>
  <c r="G63" i="19"/>
  <c r="B63" i="19"/>
  <c r="T62" i="19"/>
  <c r="S62" i="19"/>
  <c r="R62" i="19"/>
  <c r="Q62" i="19"/>
  <c r="P62" i="19"/>
  <c r="O62" i="19"/>
  <c r="N62" i="19"/>
  <c r="M62" i="19"/>
  <c r="L62" i="19"/>
  <c r="K62" i="19"/>
  <c r="J62" i="19"/>
  <c r="I62" i="19"/>
  <c r="H62" i="19"/>
  <c r="G62" i="19"/>
  <c r="B62" i="19"/>
  <c r="T61" i="19"/>
  <c r="S61" i="19"/>
  <c r="R61" i="19"/>
  <c r="Q61" i="19"/>
  <c r="P61" i="19"/>
  <c r="O61" i="19"/>
  <c r="N61" i="19"/>
  <c r="M61" i="19"/>
  <c r="L61" i="19"/>
  <c r="K61" i="19"/>
  <c r="J61" i="19"/>
  <c r="I61" i="19"/>
  <c r="H61" i="19"/>
  <c r="G61" i="19"/>
  <c r="B61" i="19"/>
  <c r="T60" i="19"/>
  <c r="S60" i="19"/>
  <c r="R60" i="19"/>
  <c r="Q60" i="19"/>
  <c r="P60" i="19"/>
  <c r="O60" i="19"/>
  <c r="N60" i="19"/>
  <c r="M60" i="19"/>
  <c r="L60" i="19"/>
  <c r="K60" i="19"/>
  <c r="J60" i="19"/>
  <c r="I60" i="19"/>
  <c r="H60" i="19"/>
  <c r="G60" i="19"/>
  <c r="B60" i="19"/>
  <c r="T59" i="19"/>
  <c r="S59" i="19"/>
  <c r="R59" i="19"/>
  <c r="Q59" i="19"/>
  <c r="P59" i="19"/>
  <c r="O59" i="19"/>
  <c r="N59" i="19"/>
  <c r="M59" i="19"/>
  <c r="L59" i="19"/>
  <c r="K59" i="19"/>
  <c r="J59" i="19"/>
  <c r="I59" i="19"/>
  <c r="H59" i="19"/>
  <c r="G59" i="19"/>
  <c r="B59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B58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B57" i="19"/>
  <c r="T56" i="19"/>
  <c r="S56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B56" i="19"/>
  <c r="T55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B55" i="19"/>
  <c r="T54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B54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B53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B52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B51" i="19"/>
  <c r="T50" i="19"/>
  <c r="S50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B50" i="19"/>
  <c r="T49" i="19"/>
  <c r="S49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B49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B48" i="19"/>
  <c r="T47" i="19"/>
  <c r="S47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B47" i="19"/>
  <c r="T46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B46" i="19"/>
  <c r="T45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B45" i="19"/>
  <c r="T44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B44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B43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B42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B41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B40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B39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B38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B37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B36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B35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B34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B33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B32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B31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G30" i="19"/>
  <c r="B30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B29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B28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B27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B26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B25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B24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B23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B22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B21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B20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B19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B18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B17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B16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B15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B14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B13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B12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B11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B10" i="19"/>
  <c r="T9" i="19"/>
  <c r="S8" i="19"/>
  <c r="R8" i="19"/>
  <c r="Q8" i="19"/>
  <c r="P8" i="19"/>
  <c r="O8" i="19"/>
  <c r="N8" i="19"/>
  <c r="M8" i="19"/>
  <c r="L8" i="19"/>
  <c r="K8" i="19"/>
  <c r="J8" i="19"/>
  <c r="I8" i="19"/>
  <c r="H8" i="19"/>
  <c r="G8" i="19"/>
  <c r="S7" i="19"/>
  <c r="B7" i="19"/>
  <c r="R5" i="19"/>
  <c r="Q5" i="19"/>
  <c r="P5" i="19"/>
  <c r="O5" i="19"/>
  <c r="N5" i="19"/>
  <c r="M5" i="19"/>
  <c r="L5" i="19"/>
  <c r="K5" i="19"/>
  <c r="J5" i="19"/>
  <c r="I5" i="19"/>
  <c r="H5" i="19"/>
  <c r="G5" i="19"/>
  <c r="E5" i="19"/>
  <c r="E4" i="19"/>
  <c r="E3" i="19"/>
  <c r="E2" i="19"/>
  <c r="T138" i="22"/>
  <c r="S138" i="22"/>
  <c r="R138" i="22"/>
  <c r="Q138" i="22"/>
  <c r="P138" i="22"/>
  <c r="O138" i="22"/>
  <c r="N138" i="22"/>
  <c r="M138" i="22"/>
  <c r="L138" i="22"/>
  <c r="K138" i="22"/>
  <c r="J138" i="22"/>
  <c r="I138" i="22"/>
  <c r="H138" i="22"/>
  <c r="G138" i="22"/>
  <c r="B138" i="22"/>
  <c r="A138" i="22"/>
  <c r="T137" i="22"/>
  <c r="S137" i="22"/>
  <c r="B137" i="22"/>
  <c r="A137" i="22"/>
  <c r="T136" i="22"/>
  <c r="S136" i="22"/>
  <c r="B136" i="22"/>
  <c r="A136" i="22"/>
  <c r="T135" i="22"/>
  <c r="S135" i="22"/>
  <c r="B135" i="22"/>
  <c r="A135" i="22"/>
  <c r="T134" i="22"/>
  <c r="S134" i="22"/>
  <c r="R134" i="22"/>
  <c r="Q134" i="22"/>
  <c r="P134" i="22"/>
  <c r="O134" i="22"/>
  <c r="N134" i="22"/>
  <c r="M134" i="22"/>
  <c r="L134" i="22"/>
  <c r="K134" i="22"/>
  <c r="J134" i="22"/>
  <c r="I134" i="22"/>
  <c r="H134" i="22"/>
  <c r="G134" i="22"/>
  <c r="B134" i="22"/>
  <c r="A134" i="22"/>
  <c r="T133" i="22"/>
  <c r="S133" i="22"/>
  <c r="R133" i="22"/>
  <c r="Q133" i="22"/>
  <c r="P133" i="22"/>
  <c r="O133" i="22"/>
  <c r="N133" i="22"/>
  <c r="M133" i="22"/>
  <c r="L133" i="22"/>
  <c r="K133" i="22"/>
  <c r="J133" i="22"/>
  <c r="I133" i="22"/>
  <c r="H133" i="22"/>
  <c r="G133" i="22"/>
  <c r="B133" i="22"/>
  <c r="A133" i="22"/>
  <c r="T132" i="22"/>
  <c r="S132" i="22"/>
  <c r="B132" i="22"/>
  <c r="A132" i="22"/>
  <c r="T131" i="22"/>
  <c r="S131" i="22"/>
  <c r="B131" i="22"/>
  <c r="A131" i="22"/>
  <c r="T130" i="22"/>
  <c r="S130" i="22"/>
  <c r="B130" i="22"/>
  <c r="A130" i="22"/>
  <c r="T129" i="22"/>
  <c r="S129" i="22"/>
  <c r="R129" i="22"/>
  <c r="Q129" i="22"/>
  <c r="P129" i="22"/>
  <c r="O129" i="22"/>
  <c r="N129" i="22"/>
  <c r="M129" i="22"/>
  <c r="L129" i="22"/>
  <c r="K129" i="22"/>
  <c r="J129" i="22"/>
  <c r="I129" i="22"/>
  <c r="H129" i="22"/>
  <c r="G129" i="22"/>
  <c r="B129" i="22"/>
  <c r="A129" i="22"/>
  <c r="T128" i="22"/>
  <c r="S128" i="22"/>
  <c r="R128" i="22"/>
  <c r="Q128" i="22"/>
  <c r="P128" i="22"/>
  <c r="O128" i="22"/>
  <c r="N128" i="22"/>
  <c r="M128" i="22"/>
  <c r="L128" i="22"/>
  <c r="K128" i="22"/>
  <c r="J128" i="22"/>
  <c r="I128" i="22"/>
  <c r="H128" i="22"/>
  <c r="G128" i="22"/>
  <c r="B128" i="22"/>
  <c r="A128" i="22"/>
  <c r="T127" i="22"/>
  <c r="S127" i="22"/>
  <c r="R127" i="22"/>
  <c r="Q127" i="22"/>
  <c r="P127" i="22"/>
  <c r="O127" i="22"/>
  <c r="N127" i="22"/>
  <c r="M127" i="22"/>
  <c r="L127" i="22"/>
  <c r="K127" i="22"/>
  <c r="J127" i="22"/>
  <c r="I127" i="22"/>
  <c r="H127" i="22"/>
  <c r="G127" i="22"/>
  <c r="B127" i="22"/>
  <c r="A127" i="22"/>
  <c r="T126" i="22"/>
  <c r="S126" i="22"/>
  <c r="B126" i="22"/>
  <c r="A126" i="22"/>
  <c r="T125" i="22"/>
  <c r="S125" i="22"/>
  <c r="B125" i="22"/>
  <c r="A125" i="22"/>
  <c r="T124" i="22"/>
  <c r="S124" i="22"/>
  <c r="B124" i="22"/>
  <c r="A124" i="22"/>
  <c r="T123" i="22"/>
  <c r="S123" i="22"/>
  <c r="B123" i="22"/>
  <c r="A123" i="22"/>
  <c r="T122" i="22"/>
  <c r="S122" i="22"/>
  <c r="B122" i="22"/>
  <c r="A122" i="22"/>
  <c r="T121" i="22"/>
  <c r="S121" i="22"/>
  <c r="B121" i="22"/>
  <c r="A121" i="22"/>
  <c r="T120" i="22"/>
  <c r="S120" i="22"/>
  <c r="B120" i="22"/>
  <c r="A120" i="22"/>
  <c r="T119" i="22"/>
  <c r="S119" i="22"/>
  <c r="B119" i="22"/>
  <c r="A119" i="22"/>
  <c r="T118" i="22"/>
  <c r="S118" i="22"/>
  <c r="B118" i="22"/>
  <c r="A118" i="22"/>
  <c r="T117" i="22"/>
  <c r="S117" i="22"/>
  <c r="B117" i="22"/>
  <c r="A117" i="22"/>
  <c r="T116" i="22"/>
  <c r="S116" i="22"/>
  <c r="B116" i="22"/>
  <c r="A116" i="22"/>
  <c r="T115" i="22"/>
  <c r="S115" i="22"/>
  <c r="B115" i="22"/>
  <c r="A115" i="22"/>
  <c r="T114" i="22"/>
  <c r="S114" i="22"/>
  <c r="R114" i="22"/>
  <c r="Q114" i="22"/>
  <c r="P114" i="22"/>
  <c r="O114" i="22"/>
  <c r="N114" i="22"/>
  <c r="M114" i="22"/>
  <c r="L114" i="22"/>
  <c r="K114" i="22"/>
  <c r="J114" i="22"/>
  <c r="I114" i="22"/>
  <c r="H114" i="22"/>
  <c r="G114" i="22"/>
  <c r="B114" i="22"/>
  <c r="A114" i="22"/>
  <c r="T113" i="22"/>
  <c r="S113" i="22"/>
  <c r="B113" i="22"/>
  <c r="A113" i="22"/>
  <c r="T112" i="22"/>
  <c r="S112" i="22"/>
  <c r="B112" i="22"/>
  <c r="A112" i="22"/>
  <c r="T111" i="22"/>
  <c r="S111" i="22"/>
  <c r="B111" i="22"/>
  <c r="A111" i="22"/>
  <c r="T110" i="22"/>
  <c r="S110" i="22"/>
  <c r="B110" i="22"/>
  <c r="A110" i="22"/>
  <c r="T109" i="22"/>
  <c r="S109" i="22"/>
  <c r="B109" i="22"/>
  <c r="A109" i="22"/>
  <c r="T108" i="22"/>
  <c r="S108" i="22"/>
  <c r="B108" i="22"/>
  <c r="A108" i="22"/>
  <c r="T107" i="22"/>
  <c r="S107" i="22"/>
  <c r="B107" i="22"/>
  <c r="A107" i="22"/>
  <c r="T106" i="22"/>
  <c r="S106" i="22"/>
  <c r="B106" i="22"/>
  <c r="A106" i="22"/>
  <c r="T105" i="22"/>
  <c r="S105" i="22"/>
  <c r="B105" i="22"/>
  <c r="A105" i="22"/>
  <c r="T104" i="22"/>
  <c r="S104" i="22"/>
  <c r="R104" i="22"/>
  <c r="Q104" i="22"/>
  <c r="P104" i="22"/>
  <c r="O104" i="22"/>
  <c r="N104" i="22"/>
  <c r="M104" i="22"/>
  <c r="L104" i="22"/>
  <c r="K104" i="22"/>
  <c r="J104" i="22"/>
  <c r="I104" i="22"/>
  <c r="H104" i="22"/>
  <c r="G104" i="22"/>
  <c r="B104" i="22"/>
  <c r="A104" i="22"/>
  <c r="T103" i="22"/>
  <c r="S103" i="22"/>
  <c r="R103" i="22"/>
  <c r="Q103" i="22"/>
  <c r="P103" i="22"/>
  <c r="O103" i="22"/>
  <c r="N103" i="22"/>
  <c r="M103" i="22"/>
  <c r="L103" i="22"/>
  <c r="K103" i="22"/>
  <c r="J103" i="22"/>
  <c r="I103" i="22"/>
  <c r="H103" i="22"/>
  <c r="G103" i="22"/>
  <c r="B103" i="22"/>
  <c r="A103" i="22"/>
  <c r="T102" i="22"/>
  <c r="S102" i="22"/>
  <c r="B102" i="22"/>
  <c r="A102" i="22"/>
  <c r="T101" i="22"/>
  <c r="S101" i="22"/>
  <c r="B101" i="22"/>
  <c r="A101" i="22"/>
  <c r="T100" i="22"/>
  <c r="S100" i="22"/>
  <c r="B100" i="22"/>
  <c r="A100" i="22"/>
  <c r="T99" i="22"/>
  <c r="S99" i="22"/>
  <c r="B99" i="22"/>
  <c r="A99" i="22"/>
  <c r="T98" i="22"/>
  <c r="S98" i="22"/>
  <c r="B98" i="22"/>
  <c r="A98" i="22"/>
  <c r="T97" i="22"/>
  <c r="S97" i="22"/>
  <c r="B97" i="22"/>
  <c r="A97" i="22"/>
  <c r="T96" i="22"/>
  <c r="S96" i="22"/>
  <c r="B96" i="22"/>
  <c r="A96" i="22"/>
  <c r="T95" i="22"/>
  <c r="S95" i="22"/>
  <c r="B95" i="22"/>
  <c r="A95" i="22"/>
  <c r="T94" i="22"/>
  <c r="S94" i="22"/>
  <c r="B94" i="22"/>
  <c r="A94" i="22"/>
  <c r="T93" i="22"/>
  <c r="S93" i="22"/>
  <c r="R93" i="22"/>
  <c r="Q93" i="22"/>
  <c r="P93" i="22"/>
  <c r="O93" i="22"/>
  <c r="N93" i="22"/>
  <c r="M93" i="22"/>
  <c r="L93" i="22"/>
  <c r="K93" i="22"/>
  <c r="J93" i="22"/>
  <c r="I93" i="22"/>
  <c r="H93" i="22"/>
  <c r="G93" i="22"/>
  <c r="B93" i="22"/>
  <c r="A93" i="22"/>
  <c r="T92" i="22"/>
  <c r="S92" i="22"/>
  <c r="B92" i="22"/>
  <c r="A92" i="22"/>
  <c r="T91" i="22"/>
  <c r="S91" i="22"/>
  <c r="B91" i="22"/>
  <c r="A91" i="22"/>
  <c r="T90" i="22"/>
  <c r="S90" i="22"/>
  <c r="B90" i="22"/>
  <c r="A90" i="22"/>
  <c r="T89" i="22"/>
  <c r="S89" i="22"/>
  <c r="B89" i="22"/>
  <c r="A89" i="22"/>
  <c r="T88" i="22"/>
  <c r="S88" i="22"/>
  <c r="B88" i="22"/>
  <c r="A88" i="22"/>
  <c r="T87" i="22"/>
  <c r="S87" i="22"/>
  <c r="B87" i="22"/>
  <c r="A87" i="22"/>
  <c r="T86" i="22"/>
  <c r="S86" i="22"/>
  <c r="B86" i="22"/>
  <c r="A86" i="22"/>
  <c r="T85" i="22"/>
  <c r="S85" i="22"/>
  <c r="R85" i="22"/>
  <c r="Q85" i="22"/>
  <c r="P85" i="22"/>
  <c r="O85" i="22"/>
  <c r="N85" i="22"/>
  <c r="M85" i="22"/>
  <c r="L85" i="22"/>
  <c r="K85" i="22"/>
  <c r="J85" i="22"/>
  <c r="I85" i="22"/>
  <c r="H85" i="22"/>
  <c r="G85" i="22"/>
  <c r="B85" i="22"/>
  <c r="A85" i="22"/>
  <c r="T84" i="22"/>
  <c r="S84" i="22"/>
  <c r="R84" i="22"/>
  <c r="Q84" i="22"/>
  <c r="P84" i="22"/>
  <c r="O84" i="22"/>
  <c r="N84" i="22"/>
  <c r="M84" i="22"/>
  <c r="L84" i="22"/>
  <c r="K84" i="22"/>
  <c r="J84" i="22"/>
  <c r="I84" i="22"/>
  <c r="H84" i="22"/>
  <c r="G84" i="22"/>
  <c r="B84" i="22"/>
  <c r="A84" i="22"/>
  <c r="T83" i="22"/>
  <c r="T82" i="22"/>
  <c r="S82" i="22"/>
  <c r="R82" i="22"/>
  <c r="Q82" i="22"/>
  <c r="P82" i="22"/>
  <c r="O82" i="22"/>
  <c r="N82" i="22"/>
  <c r="M82" i="22"/>
  <c r="L82" i="22"/>
  <c r="K82" i="22"/>
  <c r="J82" i="22"/>
  <c r="I82" i="22"/>
  <c r="H82" i="22"/>
  <c r="G82" i="22"/>
  <c r="S81" i="22"/>
  <c r="B81" i="22"/>
  <c r="R80" i="22"/>
  <c r="Q80" i="22"/>
  <c r="P80" i="22"/>
  <c r="O80" i="22"/>
  <c r="N80" i="22"/>
  <c r="M80" i="22"/>
  <c r="L80" i="22"/>
  <c r="K80" i="22"/>
  <c r="J80" i="22"/>
  <c r="I80" i="22"/>
  <c r="H80" i="22"/>
  <c r="G80" i="22"/>
  <c r="T64" i="22"/>
  <c r="S64" i="22"/>
  <c r="R64" i="22"/>
  <c r="Q64" i="22"/>
  <c r="P64" i="22"/>
  <c r="O64" i="22"/>
  <c r="N64" i="22"/>
  <c r="M64" i="22"/>
  <c r="L64" i="22"/>
  <c r="K64" i="22"/>
  <c r="J64" i="22"/>
  <c r="I64" i="22"/>
  <c r="H64" i="22"/>
  <c r="G64" i="22"/>
  <c r="B64" i="22"/>
  <c r="T63" i="22"/>
  <c r="S63" i="22"/>
  <c r="B63" i="22"/>
  <c r="T62" i="22"/>
  <c r="S62" i="22"/>
  <c r="B62" i="22"/>
  <c r="T61" i="22"/>
  <c r="S61" i="22"/>
  <c r="B61" i="22"/>
  <c r="T60" i="22"/>
  <c r="S60" i="22"/>
  <c r="R60" i="22"/>
  <c r="Q60" i="22"/>
  <c r="P60" i="22"/>
  <c r="O60" i="22"/>
  <c r="N60" i="22"/>
  <c r="M60" i="22"/>
  <c r="L60" i="22"/>
  <c r="K60" i="22"/>
  <c r="J60" i="22"/>
  <c r="I60" i="22"/>
  <c r="H60" i="22"/>
  <c r="G60" i="22"/>
  <c r="B60" i="22"/>
  <c r="T59" i="22"/>
  <c r="S59" i="22"/>
  <c r="R59" i="22"/>
  <c r="Q59" i="22"/>
  <c r="P59" i="22"/>
  <c r="O59" i="22"/>
  <c r="N59" i="22"/>
  <c r="M59" i="22"/>
  <c r="L59" i="22"/>
  <c r="K59" i="22"/>
  <c r="J59" i="22"/>
  <c r="I59" i="22"/>
  <c r="H59" i="22"/>
  <c r="G59" i="22"/>
  <c r="B59" i="22"/>
  <c r="T58" i="22"/>
  <c r="S58" i="22"/>
  <c r="B58" i="22"/>
  <c r="T57" i="22"/>
  <c r="S57" i="22"/>
  <c r="B57" i="22"/>
  <c r="T56" i="22"/>
  <c r="S56" i="22"/>
  <c r="B56" i="22"/>
  <c r="T55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B55" i="22"/>
  <c r="T54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B54" i="22"/>
  <c r="T53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B53" i="22"/>
  <c r="T52" i="22"/>
  <c r="S52" i="22"/>
  <c r="B52" i="22"/>
  <c r="T51" i="22"/>
  <c r="S51" i="22"/>
  <c r="B51" i="22"/>
  <c r="T50" i="22"/>
  <c r="S50" i="22"/>
  <c r="B50" i="22"/>
  <c r="T49" i="22"/>
  <c r="S49" i="22"/>
  <c r="B49" i="22"/>
  <c r="T48" i="22"/>
  <c r="S48" i="22"/>
  <c r="B48" i="22"/>
  <c r="T47" i="22"/>
  <c r="S47" i="22"/>
  <c r="B47" i="22"/>
  <c r="T46" i="22"/>
  <c r="S46" i="22"/>
  <c r="B46" i="22"/>
  <c r="T45" i="22"/>
  <c r="S45" i="22"/>
  <c r="B45" i="22"/>
  <c r="T44" i="22"/>
  <c r="S44" i="22"/>
  <c r="B44" i="22"/>
  <c r="T43" i="22"/>
  <c r="S43" i="22"/>
  <c r="B43" i="22"/>
  <c r="T42" i="22"/>
  <c r="S42" i="22"/>
  <c r="B42" i="22"/>
  <c r="T41" i="22"/>
  <c r="S41" i="22"/>
  <c r="B41" i="22"/>
  <c r="T40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B40" i="22"/>
  <c r="T39" i="22"/>
  <c r="S39" i="22"/>
  <c r="B39" i="22"/>
  <c r="T38" i="22"/>
  <c r="S38" i="22"/>
  <c r="B38" i="22"/>
  <c r="T37" i="22"/>
  <c r="S37" i="22"/>
  <c r="B37" i="22"/>
  <c r="T36" i="22"/>
  <c r="S36" i="22"/>
  <c r="B36" i="22"/>
  <c r="T35" i="22"/>
  <c r="S35" i="22"/>
  <c r="B35" i="22"/>
  <c r="T34" i="22"/>
  <c r="S34" i="22"/>
  <c r="B34" i="22"/>
  <c r="T33" i="22"/>
  <c r="S33" i="22"/>
  <c r="B33" i="22"/>
  <c r="T32" i="22"/>
  <c r="S32" i="22"/>
  <c r="B32" i="22"/>
  <c r="T31" i="22"/>
  <c r="S31" i="22"/>
  <c r="B31" i="22"/>
  <c r="T30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B30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B29" i="22"/>
  <c r="T28" i="22"/>
  <c r="S28" i="22"/>
  <c r="B28" i="22"/>
  <c r="T27" i="22"/>
  <c r="S27" i="22"/>
  <c r="B27" i="22"/>
  <c r="T26" i="22"/>
  <c r="S26" i="22"/>
  <c r="B26" i="22"/>
  <c r="T25" i="22"/>
  <c r="S25" i="22"/>
  <c r="B25" i="22"/>
  <c r="T24" i="22"/>
  <c r="S24" i="22"/>
  <c r="B24" i="22"/>
  <c r="T23" i="22"/>
  <c r="S23" i="22"/>
  <c r="B23" i="22"/>
  <c r="T22" i="22"/>
  <c r="S22" i="22"/>
  <c r="B22" i="22"/>
  <c r="T21" i="22"/>
  <c r="S21" i="22"/>
  <c r="B21" i="22"/>
  <c r="T20" i="22"/>
  <c r="S20" i="22"/>
  <c r="B20" i="22"/>
  <c r="T19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B19" i="22"/>
  <c r="T18" i="22"/>
  <c r="S18" i="22"/>
  <c r="B18" i="22"/>
  <c r="T17" i="22"/>
  <c r="S17" i="22"/>
  <c r="B17" i="22"/>
  <c r="T16" i="22"/>
  <c r="S16" i="22"/>
  <c r="B16" i="22"/>
  <c r="T15" i="22"/>
  <c r="S15" i="22"/>
  <c r="B15" i="22"/>
  <c r="T14" i="22"/>
  <c r="S14" i="22"/>
  <c r="B14" i="22"/>
  <c r="T13" i="22"/>
  <c r="S13" i="22"/>
  <c r="B13" i="22"/>
  <c r="T12" i="22"/>
  <c r="S12" i="22"/>
  <c r="B12" i="22"/>
  <c r="T11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B11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B10" i="22"/>
  <c r="T9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S7" i="22"/>
  <c r="B7" i="22"/>
  <c r="R5" i="22"/>
  <c r="Q5" i="22"/>
  <c r="P5" i="22"/>
  <c r="O5" i="22"/>
  <c r="N5" i="22"/>
  <c r="M5" i="22"/>
  <c r="L5" i="22"/>
  <c r="K5" i="22"/>
  <c r="J5" i="22"/>
  <c r="I5" i="22"/>
  <c r="H5" i="22"/>
  <c r="G5" i="22"/>
  <c r="E4" i="22"/>
  <c r="E3" i="22"/>
  <c r="E2" i="22"/>
  <c r="T140" i="25"/>
  <c r="S140" i="25"/>
  <c r="R140" i="25"/>
  <c r="Q140" i="25"/>
  <c r="P140" i="25"/>
  <c r="O140" i="25"/>
  <c r="N140" i="25"/>
  <c r="M140" i="25"/>
  <c r="L140" i="25"/>
  <c r="K140" i="25"/>
  <c r="J140" i="25"/>
  <c r="I140" i="25"/>
  <c r="H140" i="25"/>
  <c r="G140" i="25"/>
  <c r="B140" i="25"/>
  <c r="A140" i="25"/>
  <c r="T139" i="25"/>
  <c r="S139" i="25"/>
  <c r="B139" i="25"/>
  <c r="A139" i="25"/>
  <c r="T138" i="25"/>
  <c r="S138" i="25"/>
  <c r="B138" i="25"/>
  <c r="A138" i="25"/>
  <c r="T137" i="25"/>
  <c r="S137" i="25"/>
  <c r="B137" i="25"/>
  <c r="A137" i="25"/>
  <c r="T136" i="25"/>
  <c r="S136" i="25"/>
  <c r="R136" i="25"/>
  <c r="Q136" i="25"/>
  <c r="P136" i="25"/>
  <c r="O136" i="25"/>
  <c r="N136" i="25"/>
  <c r="M136" i="25"/>
  <c r="L136" i="25"/>
  <c r="K136" i="25"/>
  <c r="J136" i="25"/>
  <c r="I136" i="25"/>
  <c r="H136" i="25"/>
  <c r="G136" i="25"/>
  <c r="B136" i="25"/>
  <c r="A136" i="25"/>
  <c r="T135" i="25"/>
  <c r="S135" i="25"/>
  <c r="R135" i="25"/>
  <c r="Q135" i="25"/>
  <c r="P135" i="25"/>
  <c r="O135" i="25"/>
  <c r="N135" i="25"/>
  <c r="M135" i="25"/>
  <c r="L135" i="25"/>
  <c r="K135" i="25"/>
  <c r="J135" i="25"/>
  <c r="I135" i="25"/>
  <c r="H135" i="25"/>
  <c r="G135" i="25"/>
  <c r="B135" i="25"/>
  <c r="A135" i="25"/>
  <c r="T134" i="25"/>
  <c r="S134" i="25"/>
  <c r="B134" i="25"/>
  <c r="A134" i="25"/>
  <c r="T133" i="25"/>
  <c r="S133" i="25"/>
  <c r="B133" i="25"/>
  <c r="A133" i="25"/>
  <c r="T132" i="25"/>
  <c r="S132" i="25"/>
  <c r="B132" i="25"/>
  <c r="A132" i="25"/>
  <c r="T131" i="25"/>
  <c r="S131" i="25"/>
  <c r="R131" i="25"/>
  <c r="Q131" i="25"/>
  <c r="P131" i="25"/>
  <c r="O131" i="25"/>
  <c r="N131" i="25"/>
  <c r="M131" i="25"/>
  <c r="L131" i="25"/>
  <c r="K131" i="25"/>
  <c r="J131" i="25"/>
  <c r="I131" i="25"/>
  <c r="H131" i="25"/>
  <c r="G131" i="25"/>
  <c r="B131" i="25"/>
  <c r="A131" i="25"/>
  <c r="T130" i="25"/>
  <c r="S130" i="25"/>
  <c r="R130" i="25"/>
  <c r="Q130" i="25"/>
  <c r="P130" i="25"/>
  <c r="O130" i="25"/>
  <c r="N130" i="25"/>
  <c r="M130" i="25"/>
  <c r="L130" i="25"/>
  <c r="K130" i="25"/>
  <c r="J130" i="25"/>
  <c r="I130" i="25"/>
  <c r="H130" i="25"/>
  <c r="G130" i="25"/>
  <c r="B130" i="25"/>
  <c r="A130" i="25"/>
  <c r="T129" i="25"/>
  <c r="S129" i="25"/>
  <c r="R129" i="25"/>
  <c r="Q129" i="25"/>
  <c r="P129" i="25"/>
  <c r="O129" i="25"/>
  <c r="N129" i="25"/>
  <c r="M129" i="25"/>
  <c r="L129" i="25"/>
  <c r="K129" i="25"/>
  <c r="J129" i="25"/>
  <c r="I129" i="25"/>
  <c r="H129" i="25"/>
  <c r="G129" i="25"/>
  <c r="B129" i="25"/>
  <c r="A129" i="25"/>
  <c r="T128" i="25"/>
  <c r="S128" i="25"/>
  <c r="B128" i="25"/>
  <c r="A128" i="25"/>
  <c r="T127" i="25"/>
  <c r="S127" i="25"/>
  <c r="B127" i="25"/>
  <c r="A127" i="25"/>
  <c r="T126" i="25"/>
  <c r="S126" i="25"/>
  <c r="B126" i="25"/>
  <c r="A126" i="25"/>
  <c r="T125" i="25"/>
  <c r="S125" i="25"/>
  <c r="B125" i="25"/>
  <c r="A125" i="25"/>
  <c r="T124" i="25"/>
  <c r="S124" i="25"/>
  <c r="B124" i="25"/>
  <c r="A124" i="25"/>
  <c r="T123" i="25"/>
  <c r="S123" i="25"/>
  <c r="B123" i="25"/>
  <c r="A123" i="25"/>
  <c r="T122" i="25"/>
  <c r="S122" i="25"/>
  <c r="B122" i="25"/>
  <c r="A122" i="25"/>
  <c r="T121" i="25"/>
  <c r="S121" i="25"/>
  <c r="B121" i="25"/>
  <c r="A121" i="25"/>
  <c r="T120" i="25"/>
  <c r="S120" i="25"/>
  <c r="B120" i="25"/>
  <c r="A120" i="25"/>
  <c r="T119" i="25"/>
  <c r="S119" i="25"/>
  <c r="B119" i="25"/>
  <c r="A119" i="25"/>
  <c r="T118" i="25"/>
  <c r="S118" i="25"/>
  <c r="B118" i="25"/>
  <c r="A118" i="25"/>
  <c r="T117" i="25"/>
  <c r="S117" i="25"/>
  <c r="B117" i="25"/>
  <c r="A117" i="25"/>
  <c r="T116" i="25"/>
  <c r="S116" i="25"/>
  <c r="R116" i="25"/>
  <c r="Q116" i="25"/>
  <c r="P116" i="25"/>
  <c r="O116" i="25"/>
  <c r="N116" i="25"/>
  <c r="M116" i="25"/>
  <c r="L116" i="25"/>
  <c r="K116" i="25"/>
  <c r="J116" i="25"/>
  <c r="I116" i="25"/>
  <c r="H116" i="25"/>
  <c r="G116" i="25"/>
  <c r="B116" i="25"/>
  <c r="A116" i="25"/>
  <c r="T115" i="25"/>
  <c r="S115" i="25"/>
  <c r="B115" i="25"/>
  <c r="A115" i="25"/>
  <c r="T114" i="25"/>
  <c r="S114" i="25"/>
  <c r="B114" i="25"/>
  <c r="A114" i="25"/>
  <c r="T113" i="25"/>
  <c r="S113" i="25"/>
  <c r="B113" i="25"/>
  <c r="A113" i="25"/>
  <c r="T112" i="25"/>
  <c r="S112" i="25"/>
  <c r="B112" i="25"/>
  <c r="A112" i="25"/>
  <c r="T111" i="25"/>
  <c r="S111" i="25"/>
  <c r="B111" i="25"/>
  <c r="A111" i="25"/>
  <c r="T110" i="25"/>
  <c r="S110" i="25"/>
  <c r="B110" i="25"/>
  <c r="A110" i="25"/>
  <c r="T109" i="25"/>
  <c r="S109" i="25"/>
  <c r="B109" i="25"/>
  <c r="A109" i="25"/>
  <c r="T108" i="25"/>
  <c r="S108" i="25"/>
  <c r="B108" i="25"/>
  <c r="A108" i="25"/>
  <c r="T107" i="25"/>
  <c r="S107" i="25"/>
  <c r="B107" i="25"/>
  <c r="A107" i="25"/>
  <c r="T106" i="25"/>
  <c r="S106" i="25"/>
  <c r="R106" i="25"/>
  <c r="Q106" i="25"/>
  <c r="P106" i="25"/>
  <c r="O106" i="25"/>
  <c r="N106" i="25"/>
  <c r="M106" i="25"/>
  <c r="L106" i="25"/>
  <c r="K106" i="25"/>
  <c r="J106" i="25"/>
  <c r="I106" i="25"/>
  <c r="H106" i="25"/>
  <c r="G106" i="25"/>
  <c r="B106" i="25"/>
  <c r="A106" i="25"/>
  <c r="T105" i="25"/>
  <c r="S105" i="25"/>
  <c r="R105" i="25"/>
  <c r="Q105" i="25"/>
  <c r="P105" i="25"/>
  <c r="O105" i="25"/>
  <c r="N105" i="25"/>
  <c r="M105" i="25"/>
  <c r="L105" i="25"/>
  <c r="K105" i="25"/>
  <c r="J105" i="25"/>
  <c r="I105" i="25"/>
  <c r="H105" i="25"/>
  <c r="G105" i="25"/>
  <c r="B105" i="25"/>
  <c r="A105" i="25"/>
  <c r="T104" i="25"/>
  <c r="S104" i="25"/>
  <c r="B104" i="25"/>
  <c r="A104" i="25"/>
  <c r="T103" i="25"/>
  <c r="S103" i="25"/>
  <c r="B103" i="25"/>
  <c r="A103" i="25"/>
  <c r="T102" i="25"/>
  <c r="S102" i="25"/>
  <c r="B102" i="25"/>
  <c r="A102" i="25"/>
  <c r="T101" i="25"/>
  <c r="S101" i="25"/>
  <c r="B101" i="25"/>
  <c r="A101" i="25"/>
  <c r="T100" i="25"/>
  <c r="S100" i="25"/>
  <c r="B100" i="25"/>
  <c r="A100" i="25"/>
  <c r="T99" i="25"/>
  <c r="S99" i="25"/>
  <c r="B99" i="25"/>
  <c r="A99" i="25"/>
  <c r="T98" i="25"/>
  <c r="S98" i="25"/>
  <c r="B98" i="25"/>
  <c r="A98" i="25"/>
  <c r="T97" i="25"/>
  <c r="S97" i="25"/>
  <c r="B97" i="25"/>
  <c r="A97" i="25"/>
  <c r="T96" i="25"/>
  <c r="S96" i="25"/>
  <c r="B96" i="25"/>
  <c r="A96" i="25"/>
  <c r="T95" i="25"/>
  <c r="S95" i="25"/>
  <c r="R95" i="25"/>
  <c r="Q95" i="25"/>
  <c r="P95" i="25"/>
  <c r="O95" i="25"/>
  <c r="N95" i="25"/>
  <c r="M95" i="25"/>
  <c r="L95" i="25"/>
  <c r="K95" i="25"/>
  <c r="J95" i="25"/>
  <c r="I95" i="25"/>
  <c r="H95" i="25"/>
  <c r="G95" i="25"/>
  <c r="B95" i="25"/>
  <c r="A95" i="25"/>
  <c r="T94" i="25"/>
  <c r="S94" i="25"/>
  <c r="B94" i="25"/>
  <c r="A94" i="25"/>
  <c r="T93" i="25"/>
  <c r="S93" i="25"/>
  <c r="B93" i="25"/>
  <c r="A93" i="25"/>
  <c r="T92" i="25"/>
  <c r="S92" i="25"/>
  <c r="B92" i="25"/>
  <c r="A92" i="25"/>
  <c r="T91" i="25"/>
  <c r="S91" i="25"/>
  <c r="B91" i="25"/>
  <c r="A91" i="25"/>
  <c r="T90" i="25"/>
  <c r="S90" i="25"/>
  <c r="B90" i="25"/>
  <c r="A90" i="25"/>
  <c r="T89" i="25"/>
  <c r="S89" i="25"/>
  <c r="B89" i="25"/>
  <c r="A89" i="25"/>
  <c r="T88" i="25"/>
  <c r="S88" i="25"/>
  <c r="B88" i="25"/>
  <c r="A88" i="25"/>
  <c r="T87" i="25"/>
  <c r="S87" i="25"/>
  <c r="R87" i="25"/>
  <c r="Q87" i="25"/>
  <c r="P87" i="25"/>
  <c r="O87" i="25"/>
  <c r="N87" i="25"/>
  <c r="M87" i="25"/>
  <c r="L87" i="25"/>
  <c r="K87" i="25"/>
  <c r="J87" i="25"/>
  <c r="I87" i="25"/>
  <c r="H87" i="25"/>
  <c r="G87" i="25"/>
  <c r="B87" i="25"/>
  <c r="A87" i="25"/>
  <c r="T86" i="25"/>
  <c r="S86" i="25"/>
  <c r="R86" i="25"/>
  <c r="Q86" i="25"/>
  <c r="P86" i="25"/>
  <c r="O86" i="25"/>
  <c r="N86" i="25"/>
  <c r="M86" i="25"/>
  <c r="L86" i="25"/>
  <c r="K86" i="25"/>
  <c r="J86" i="25"/>
  <c r="I86" i="25"/>
  <c r="H86" i="25"/>
  <c r="G86" i="25"/>
  <c r="B86" i="25"/>
  <c r="A86" i="25"/>
  <c r="T85" i="25"/>
  <c r="T84" i="25"/>
  <c r="S84" i="25"/>
  <c r="R84" i="25"/>
  <c r="Q84" i="25"/>
  <c r="P84" i="25"/>
  <c r="O84" i="25"/>
  <c r="N84" i="25"/>
  <c r="M84" i="25"/>
  <c r="L84" i="25"/>
  <c r="K84" i="25"/>
  <c r="J84" i="25"/>
  <c r="I84" i="25"/>
  <c r="H84" i="25"/>
  <c r="G84" i="25"/>
  <c r="S83" i="25"/>
  <c r="B83" i="25"/>
  <c r="R82" i="25"/>
  <c r="Q82" i="25"/>
  <c r="P82" i="25"/>
  <c r="O82" i="25"/>
  <c r="N82" i="25"/>
  <c r="M82" i="25"/>
  <c r="L82" i="25"/>
  <c r="K82" i="25"/>
  <c r="J82" i="25"/>
  <c r="I82" i="25"/>
  <c r="H82" i="25"/>
  <c r="G82" i="25"/>
  <c r="T66" i="25"/>
  <c r="S66" i="25"/>
  <c r="R66" i="25"/>
  <c r="Q66" i="25"/>
  <c r="P66" i="25"/>
  <c r="O66" i="25"/>
  <c r="N66" i="25"/>
  <c r="M66" i="25"/>
  <c r="L66" i="25"/>
  <c r="K66" i="25"/>
  <c r="J66" i="25"/>
  <c r="I66" i="25"/>
  <c r="H66" i="25"/>
  <c r="G66" i="25"/>
  <c r="B66" i="25"/>
  <c r="T65" i="25"/>
  <c r="S65" i="25"/>
  <c r="T64" i="25"/>
  <c r="S64" i="25"/>
  <c r="B64" i="25"/>
  <c r="T63" i="25"/>
  <c r="S63" i="25"/>
  <c r="B63" i="25"/>
  <c r="T62" i="25"/>
  <c r="S62" i="25"/>
  <c r="B62" i="25"/>
  <c r="T61" i="25"/>
  <c r="S61" i="25"/>
  <c r="R61" i="25"/>
  <c r="Q61" i="25"/>
  <c r="P61" i="25"/>
  <c r="O61" i="25"/>
  <c r="N61" i="25"/>
  <c r="M61" i="25"/>
  <c r="L61" i="25"/>
  <c r="K61" i="25"/>
  <c r="J61" i="25"/>
  <c r="I61" i="25"/>
  <c r="H61" i="25"/>
  <c r="G61" i="25"/>
  <c r="B61" i="25"/>
  <c r="T60" i="25"/>
  <c r="S60" i="25"/>
  <c r="R60" i="25"/>
  <c r="Q60" i="25"/>
  <c r="P60" i="25"/>
  <c r="O60" i="25"/>
  <c r="N60" i="25"/>
  <c r="M60" i="25"/>
  <c r="L60" i="25"/>
  <c r="K60" i="25"/>
  <c r="J60" i="25"/>
  <c r="I60" i="25"/>
  <c r="H60" i="25"/>
  <c r="G60" i="25"/>
  <c r="B60" i="25"/>
  <c r="S59" i="25"/>
  <c r="B59" i="25"/>
  <c r="T58" i="25"/>
  <c r="S58" i="25"/>
  <c r="B58" i="25"/>
  <c r="T57" i="25"/>
  <c r="S57" i="25"/>
  <c r="B57" i="25"/>
  <c r="T56" i="25"/>
  <c r="S56" i="25"/>
  <c r="B56" i="25"/>
  <c r="T55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B55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B54" i="25"/>
  <c r="T53" i="25"/>
  <c r="S53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B53" i="25"/>
  <c r="T52" i="25"/>
  <c r="S52" i="25"/>
  <c r="B52" i="25"/>
  <c r="T51" i="25"/>
  <c r="S51" i="25"/>
  <c r="B51" i="25"/>
  <c r="T50" i="25"/>
  <c r="S50" i="25"/>
  <c r="B50" i="25"/>
  <c r="T49" i="25"/>
  <c r="S49" i="25"/>
  <c r="B49" i="25"/>
  <c r="T48" i="25"/>
  <c r="S48" i="25"/>
  <c r="B48" i="25"/>
  <c r="T47" i="25"/>
  <c r="S47" i="25"/>
  <c r="B47" i="25"/>
  <c r="T46" i="25"/>
  <c r="S46" i="25"/>
  <c r="B46" i="25"/>
  <c r="T45" i="25"/>
  <c r="S45" i="25"/>
  <c r="B45" i="25"/>
  <c r="T44" i="25"/>
  <c r="S44" i="25"/>
  <c r="B44" i="25"/>
  <c r="T43" i="25"/>
  <c r="S43" i="25"/>
  <c r="B43" i="25"/>
  <c r="T42" i="25"/>
  <c r="S42" i="25"/>
  <c r="B42" i="25"/>
  <c r="T41" i="25"/>
  <c r="S41" i="25"/>
  <c r="B41" i="25"/>
  <c r="T40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B40" i="25"/>
  <c r="T39" i="25"/>
  <c r="S39" i="25"/>
  <c r="B39" i="25"/>
  <c r="T38" i="25"/>
  <c r="S38" i="25"/>
  <c r="B38" i="25"/>
  <c r="T37" i="25"/>
  <c r="S37" i="25"/>
  <c r="B37" i="25"/>
  <c r="T36" i="25"/>
  <c r="S36" i="25"/>
  <c r="B36" i="25"/>
  <c r="T35" i="25"/>
  <c r="S35" i="25"/>
  <c r="B35" i="25"/>
  <c r="T34" i="25"/>
  <c r="S34" i="25"/>
  <c r="B34" i="25"/>
  <c r="T33" i="25"/>
  <c r="S33" i="25"/>
  <c r="B33" i="25"/>
  <c r="T32" i="25"/>
  <c r="S32" i="25"/>
  <c r="B32" i="25"/>
  <c r="T31" i="25"/>
  <c r="S31" i="25"/>
  <c r="B31" i="25"/>
  <c r="T30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B30" i="25"/>
  <c r="T29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B29" i="25"/>
  <c r="T28" i="25"/>
  <c r="S28" i="25"/>
  <c r="B28" i="25"/>
  <c r="T27" i="25"/>
  <c r="S27" i="25"/>
  <c r="B27" i="25"/>
  <c r="T26" i="25"/>
  <c r="S26" i="25"/>
  <c r="B26" i="25"/>
  <c r="T25" i="25"/>
  <c r="S25" i="25"/>
  <c r="B25" i="25"/>
  <c r="T24" i="25"/>
  <c r="S24" i="25"/>
  <c r="B24" i="25"/>
  <c r="T23" i="25"/>
  <c r="S23" i="25"/>
  <c r="B23" i="25"/>
  <c r="T22" i="25"/>
  <c r="S22" i="25"/>
  <c r="B22" i="25"/>
  <c r="T21" i="25"/>
  <c r="S21" i="25"/>
  <c r="B21" i="25"/>
  <c r="T20" i="25"/>
  <c r="S20" i="25"/>
  <c r="B20" i="25"/>
  <c r="T19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B19" i="25"/>
  <c r="T18" i="25"/>
  <c r="S18" i="25"/>
  <c r="B18" i="25"/>
  <c r="T17" i="25"/>
  <c r="S17" i="25"/>
  <c r="B17" i="25"/>
  <c r="T16" i="25"/>
  <c r="S16" i="25"/>
  <c r="B16" i="25"/>
  <c r="T15" i="25"/>
  <c r="S15" i="25"/>
  <c r="B15" i="25"/>
  <c r="T14" i="25"/>
  <c r="S14" i="25"/>
  <c r="B14" i="25"/>
  <c r="T13" i="25"/>
  <c r="S13" i="25"/>
  <c r="B13" i="25"/>
  <c r="T12" i="25"/>
  <c r="S12" i="25"/>
  <c r="B12" i="25"/>
  <c r="T11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B11" i="25"/>
  <c r="T10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B10" i="25"/>
  <c r="T9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S7" i="25"/>
  <c r="B7" i="25"/>
  <c r="R5" i="25"/>
  <c r="Q5" i="25"/>
  <c r="P5" i="25"/>
  <c r="O5" i="25"/>
  <c r="N5" i="25"/>
  <c r="M5" i="25"/>
  <c r="L5" i="25"/>
  <c r="K5" i="25"/>
  <c r="J5" i="25"/>
  <c r="I5" i="25"/>
  <c r="H5" i="25"/>
  <c r="G5" i="25"/>
  <c r="E4" i="25"/>
  <c r="E3" i="25"/>
  <c r="E2" i="25"/>
  <c r="T142" i="27"/>
  <c r="S142" i="27"/>
  <c r="R142" i="27"/>
  <c r="Q142" i="27"/>
  <c r="P142" i="27"/>
  <c r="O142" i="27"/>
  <c r="N142" i="27"/>
  <c r="M142" i="27"/>
  <c r="L142" i="27"/>
  <c r="K142" i="27"/>
  <c r="J142" i="27"/>
  <c r="I142" i="27"/>
  <c r="H142" i="27"/>
  <c r="G142" i="27"/>
  <c r="B142" i="27"/>
  <c r="A142" i="27"/>
  <c r="T141" i="27"/>
  <c r="S141" i="27"/>
  <c r="T140" i="27"/>
  <c r="S140" i="27"/>
  <c r="B140" i="27"/>
  <c r="A140" i="27"/>
  <c r="T139" i="27"/>
  <c r="S139" i="27"/>
  <c r="B139" i="27"/>
  <c r="A139" i="27"/>
  <c r="T138" i="27"/>
  <c r="S138" i="27"/>
  <c r="B138" i="27"/>
  <c r="A138" i="27"/>
  <c r="T137" i="27"/>
  <c r="S137" i="27"/>
  <c r="R137" i="27"/>
  <c r="Q137" i="27"/>
  <c r="P137" i="27"/>
  <c r="O137" i="27"/>
  <c r="N137" i="27"/>
  <c r="M137" i="27"/>
  <c r="L137" i="27"/>
  <c r="K137" i="27"/>
  <c r="J137" i="27"/>
  <c r="I137" i="27"/>
  <c r="H137" i="27"/>
  <c r="G137" i="27"/>
  <c r="B137" i="27"/>
  <c r="A137" i="27"/>
  <c r="T136" i="27"/>
  <c r="S136" i="27"/>
  <c r="R136" i="27"/>
  <c r="Q136" i="27"/>
  <c r="P136" i="27"/>
  <c r="O136" i="27"/>
  <c r="N136" i="27"/>
  <c r="M136" i="27"/>
  <c r="L136" i="27"/>
  <c r="K136" i="27"/>
  <c r="J136" i="27"/>
  <c r="I136" i="27"/>
  <c r="H136" i="27"/>
  <c r="G136" i="27"/>
  <c r="B136" i="27"/>
  <c r="A136" i="27"/>
  <c r="T135" i="27"/>
  <c r="S135" i="27"/>
  <c r="T134" i="27"/>
  <c r="S134" i="27"/>
  <c r="B134" i="27"/>
  <c r="A134" i="27"/>
  <c r="T133" i="27"/>
  <c r="S133" i="27"/>
  <c r="B133" i="27"/>
  <c r="A133" i="27"/>
  <c r="T132" i="27"/>
  <c r="S132" i="27"/>
  <c r="B132" i="27"/>
  <c r="A132" i="27"/>
  <c r="T131" i="27"/>
  <c r="S131" i="27"/>
  <c r="R131" i="27"/>
  <c r="Q131" i="27"/>
  <c r="P131" i="27"/>
  <c r="O131" i="27"/>
  <c r="N131" i="27"/>
  <c r="M131" i="27"/>
  <c r="L131" i="27"/>
  <c r="K131" i="27"/>
  <c r="J131" i="27"/>
  <c r="I131" i="27"/>
  <c r="H131" i="27"/>
  <c r="G131" i="27"/>
  <c r="B131" i="27"/>
  <c r="A131" i="27"/>
  <c r="T130" i="27"/>
  <c r="S130" i="27"/>
  <c r="R130" i="27"/>
  <c r="Q130" i="27"/>
  <c r="P130" i="27"/>
  <c r="O130" i="27"/>
  <c r="N130" i="27"/>
  <c r="M130" i="27"/>
  <c r="L130" i="27"/>
  <c r="K130" i="27"/>
  <c r="J130" i="27"/>
  <c r="I130" i="27"/>
  <c r="H130" i="27"/>
  <c r="G130" i="27"/>
  <c r="B130" i="27"/>
  <c r="A130" i="27"/>
  <c r="T129" i="27"/>
  <c r="S129" i="27"/>
  <c r="R129" i="27"/>
  <c r="Q129" i="27"/>
  <c r="P129" i="27"/>
  <c r="O129" i="27"/>
  <c r="N129" i="27"/>
  <c r="M129" i="27"/>
  <c r="L129" i="27"/>
  <c r="K129" i="27"/>
  <c r="J129" i="27"/>
  <c r="I129" i="27"/>
  <c r="H129" i="27"/>
  <c r="G129" i="27"/>
  <c r="B129" i="27"/>
  <c r="A129" i="27"/>
  <c r="T128" i="27"/>
  <c r="S128" i="27"/>
  <c r="B128" i="27"/>
  <c r="A128" i="27"/>
  <c r="T127" i="27"/>
  <c r="S127" i="27"/>
  <c r="B127" i="27"/>
  <c r="A127" i="27"/>
  <c r="T126" i="27"/>
  <c r="S126" i="27"/>
  <c r="B126" i="27"/>
  <c r="A126" i="27"/>
  <c r="T125" i="27"/>
  <c r="S125" i="27"/>
  <c r="R125" i="27"/>
  <c r="B125" i="27"/>
  <c r="A125" i="27"/>
  <c r="T124" i="27"/>
  <c r="S124" i="27"/>
  <c r="B124" i="27"/>
  <c r="A124" i="27"/>
  <c r="T123" i="27"/>
  <c r="S123" i="27"/>
  <c r="R123" i="27"/>
  <c r="Q123" i="27"/>
  <c r="P123" i="27"/>
  <c r="O123" i="27"/>
  <c r="N123" i="27"/>
  <c r="M123" i="27"/>
  <c r="L123" i="27"/>
  <c r="K123" i="27"/>
  <c r="J123" i="27"/>
  <c r="I123" i="27"/>
  <c r="H123" i="27"/>
  <c r="G123" i="27"/>
  <c r="B123" i="27"/>
  <c r="A123" i="27"/>
  <c r="T122" i="27"/>
  <c r="S122" i="27"/>
  <c r="R122" i="27"/>
  <c r="B122" i="27"/>
  <c r="A122" i="27"/>
  <c r="T121" i="27"/>
  <c r="S121" i="27"/>
  <c r="B121" i="27"/>
  <c r="A121" i="27"/>
  <c r="T120" i="27"/>
  <c r="S120" i="27"/>
  <c r="B120" i="27"/>
  <c r="A120" i="27"/>
  <c r="T119" i="27"/>
  <c r="S119" i="27"/>
  <c r="B119" i="27"/>
  <c r="A119" i="27"/>
  <c r="T118" i="27"/>
  <c r="S118" i="27"/>
  <c r="B118" i="27"/>
  <c r="A118" i="27"/>
  <c r="T117" i="27"/>
  <c r="S117" i="27"/>
  <c r="B117" i="27"/>
  <c r="A117" i="27"/>
  <c r="T116" i="27"/>
  <c r="S116" i="27"/>
  <c r="R116" i="27"/>
  <c r="Q116" i="27"/>
  <c r="P116" i="27"/>
  <c r="O116" i="27"/>
  <c r="N116" i="27"/>
  <c r="M116" i="27"/>
  <c r="L116" i="27"/>
  <c r="K116" i="27"/>
  <c r="J116" i="27"/>
  <c r="I116" i="27"/>
  <c r="H116" i="27"/>
  <c r="G116" i="27"/>
  <c r="B116" i="27"/>
  <c r="A116" i="27"/>
  <c r="T115" i="27"/>
  <c r="S115" i="27"/>
  <c r="R115" i="27"/>
  <c r="B115" i="27"/>
  <c r="A115" i="27"/>
  <c r="T114" i="27"/>
  <c r="S114" i="27"/>
  <c r="B114" i="27"/>
  <c r="A114" i="27"/>
  <c r="T113" i="27"/>
  <c r="S113" i="27"/>
  <c r="R113" i="27"/>
  <c r="B113" i="27"/>
  <c r="A113" i="27"/>
  <c r="T112" i="27"/>
  <c r="S112" i="27"/>
  <c r="B112" i="27"/>
  <c r="A112" i="27"/>
  <c r="T111" i="27"/>
  <c r="S111" i="27"/>
  <c r="B111" i="27"/>
  <c r="A111" i="27"/>
  <c r="T110" i="27"/>
  <c r="S110" i="27"/>
  <c r="R110" i="27"/>
  <c r="B110" i="27"/>
  <c r="A110" i="27"/>
  <c r="T109" i="27"/>
  <c r="S109" i="27"/>
  <c r="R109" i="27"/>
  <c r="B109" i="27"/>
  <c r="A109" i="27"/>
  <c r="T108" i="27"/>
  <c r="S108" i="27"/>
  <c r="B108" i="27"/>
  <c r="A108" i="27"/>
  <c r="T107" i="27"/>
  <c r="S107" i="27"/>
  <c r="R107" i="27"/>
  <c r="B107" i="27"/>
  <c r="A107" i="27"/>
  <c r="T106" i="27"/>
  <c r="S106" i="27"/>
  <c r="R106" i="27"/>
  <c r="Q106" i="27"/>
  <c r="P106" i="27"/>
  <c r="O106" i="27"/>
  <c r="N106" i="27"/>
  <c r="M106" i="27"/>
  <c r="L106" i="27"/>
  <c r="K106" i="27"/>
  <c r="J106" i="27"/>
  <c r="I106" i="27"/>
  <c r="H106" i="27"/>
  <c r="G106" i="27"/>
  <c r="B106" i="27"/>
  <c r="A106" i="27"/>
  <c r="T105" i="27"/>
  <c r="S105" i="27"/>
  <c r="R105" i="27"/>
  <c r="Q105" i="27"/>
  <c r="P105" i="27"/>
  <c r="O105" i="27"/>
  <c r="N105" i="27"/>
  <c r="M105" i="27"/>
  <c r="L105" i="27"/>
  <c r="K105" i="27"/>
  <c r="J105" i="27"/>
  <c r="I105" i="27"/>
  <c r="H105" i="27"/>
  <c r="G105" i="27"/>
  <c r="B105" i="27"/>
  <c r="A105" i="27"/>
  <c r="T104" i="27"/>
  <c r="S104" i="27"/>
  <c r="B104" i="27"/>
  <c r="A104" i="27"/>
  <c r="T103" i="27"/>
  <c r="S103" i="27"/>
  <c r="B103" i="27"/>
  <c r="A103" i="27"/>
  <c r="T102" i="27"/>
  <c r="S102" i="27"/>
  <c r="B102" i="27"/>
  <c r="A102" i="27"/>
  <c r="T101" i="27"/>
  <c r="S101" i="27"/>
  <c r="B101" i="27"/>
  <c r="A101" i="27"/>
  <c r="T100" i="27"/>
  <c r="S100" i="27"/>
  <c r="B100" i="27"/>
  <c r="A100" i="27"/>
  <c r="T99" i="27"/>
  <c r="S99" i="27"/>
  <c r="B99" i="27"/>
  <c r="A99" i="27"/>
  <c r="T98" i="27"/>
  <c r="S98" i="27"/>
  <c r="B98" i="27"/>
  <c r="A98" i="27"/>
  <c r="T97" i="27"/>
  <c r="S97" i="27"/>
  <c r="B97" i="27"/>
  <c r="A97" i="27"/>
  <c r="T96" i="27"/>
  <c r="S96" i="27"/>
  <c r="B96" i="27"/>
  <c r="A96" i="27"/>
  <c r="T95" i="27"/>
  <c r="S95" i="27"/>
  <c r="R95" i="27"/>
  <c r="Q95" i="27"/>
  <c r="P95" i="27"/>
  <c r="O95" i="27"/>
  <c r="N95" i="27"/>
  <c r="M95" i="27"/>
  <c r="L95" i="27"/>
  <c r="K95" i="27"/>
  <c r="J95" i="27"/>
  <c r="I95" i="27"/>
  <c r="H95" i="27"/>
  <c r="G95" i="27"/>
  <c r="B95" i="27"/>
  <c r="A95" i="27"/>
  <c r="T94" i="27"/>
  <c r="S94" i="27"/>
  <c r="B94" i="27"/>
  <c r="A94" i="27"/>
  <c r="T93" i="27"/>
  <c r="S93" i="27"/>
  <c r="B93" i="27"/>
  <c r="A93" i="27"/>
  <c r="T92" i="27"/>
  <c r="S92" i="27"/>
  <c r="B92" i="27"/>
  <c r="A92" i="27"/>
  <c r="T91" i="27"/>
  <c r="S91" i="27"/>
  <c r="B91" i="27"/>
  <c r="A91" i="27"/>
  <c r="T90" i="27"/>
  <c r="S90" i="27"/>
  <c r="B90" i="27"/>
  <c r="A90" i="27"/>
  <c r="T89" i="27"/>
  <c r="S89" i="27"/>
  <c r="B89" i="27"/>
  <c r="A89" i="27"/>
  <c r="T88" i="27"/>
  <c r="S88" i="27"/>
  <c r="B88" i="27"/>
  <c r="A88" i="27"/>
  <c r="T87" i="27"/>
  <c r="S87" i="27"/>
  <c r="R87" i="27"/>
  <c r="Q87" i="27"/>
  <c r="P87" i="27"/>
  <c r="O87" i="27"/>
  <c r="N87" i="27"/>
  <c r="M87" i="27"/>
  <c r="L87" i="27"/>
  <c r="K87" i="27"/>
  <c r="J87" i="27"/>
  <c r="I87" i="27"/>
  <c r="H87" i="27"/>
  <c r="G87" i="27"/>
  <c r="B87" i="27"/>
  <c r="A87" i="27"/>
  <c r="T86" i="27"/>
  <c r="S86" i="27"/>
  <c r="R86" i="27"/>
  <c r="Q86" i="27"/>
  <c r="P86" i="27"/>
  <c r="O86" i="27"/>
  <c r="N86" i="27"/>
  <c r="M86" i="27"/>
  <c r="L86" i="27"/>
  <c r="K86" i="27"/>
  <c r="J86" i="27"/>
  <c r="I86" i="27"/>
  <c r="H86" i="27"/>
  <c r="G86" i="27"/>
  <c r="B86" i="27"/>
  <c r="A86" i="27"/>
  <c r="T85" i="27"/>
  <c r="T84" i="27"/>
  <c r="S84" i="27"/>
  <c r="R84" i="27"/>
  <c r="Q84" i="27"/>
  <c r="P84" i="27"/>
  <c r="O84" i="27"/>
  <c r="N84" i="27"/>
  <c r="M84" i="27"/>
  <c r="S83" i="27"/>
  <c r="B83" i="27"/>
  <c r="R82" i="27"/>
  <c r="Q82" i="27"/>
  <c r="P82" i="27"/>
  <c r="O82" i="27"/>
  <c r="N82" i="27"/>
  <c r="M82" i="27"/>
  <c r="L82" i="27"/>
  <c r="K82" i="27"/>
  <c r="J82" i="27"/>
  <c r="I82" i="27"/>
  <c r="H82" i="27"/>
  <c r="G82" i="27"/>
  <c r="T66" i="27"/>
  <c r="S66" i="27"/>
  <c r="R66" i="27"/>
  <c r="Q66" i="27"/>
  <c r="P66" i="27"/>
  <c r="O66" i="27"/>
  <c r="N66" i="27"/>
  <c r="M66" i="27"/>
  <c r="L66" i="27"/>
  <c r="K66" i="27"/>
  <c r="J66" i="27"/>
  <c r="I66" i="27"/>
  <c r="H66" i="27"/>
  <c r="G66" i="27"/>
  <c r="B66" i="27"/>
  <c r="T65" i="27"/>
  <c r="S65" i="27"/>
  <c r="T64" i="27"/>
  <c r="S64" i="27"/>
  <c r="B64" i="27"/>
  <c r="T63" i="27"/>
  <c r="S63" i="27"/>
  <c r="B63" i="27"/>
  <c r="T62" i="27"/>
  <c r="S62" i="27"/>
  <c r="B62" i="27"/>
  <c r="T61" i="27"/>
  <c r="S61" i="27"/>
  <c r="R61" i="27"/>
  <c r="Q61" i="27"/>
  <c r="P61" i="27"/>
  <c r="O61" i="27"/>
  <c r="N61" i="27"/>
  <c r="M61" i="27"/>
  <c r="L61" i="27"/>
  <c r="K61" i="27"/>
  <c r="J61" i="27"/>
  <c r="I61" i="27"/>
  <c r="H61" i="27"/>
  <c r="G61" i="27"/>
  <c r="B61" i="27"/>
  <c r="T60" i="27"/>
  <c r="S60" i="27"/>
  <c r="R60" i="27"/>
  <c r="Q60" i="27"/>
  <c r="P60" i="27"/>
  <c r="O60" i="27"/>
  <c r="N60" i="27"/>
  <c r="M60" i="27"/>
  <c r="L60" i="27"/>
  <c r="K60" i="27"/>
  <c r="J60" i="27"/>
  <c r="I60" i="27"/>
  <c r="H60" i="27"/>
  <c r="G60" i="27"/>
  <c r="B60" i="27"/>
  <c r="T59" i="27"/>
  <c r="S59" i="27"/>
  <c r="B59" i="27"/>
  <c r="T58" i="27"/>
  <c r="S58" i="27"/>
  <c r="B58" i="27"/>
  <c r="T57" i="27"/>
  <c r="S57" i="27"/>
  <c r="B57" i="27"/>
  <c r="T56" i="27"/>
  <c r="S56" i="27"/>
  <c r="B56" i="27"/>
  <c r="T55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B55" i="27"/>
  <c r="T54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B54" i="27"/>
  <c r="T53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B53" i="27"/>
  <c r="T52" i="27"/>
  <c r="S52" i="27"/>
  <c r="B52" i="27"/>
  <c r="T51" i="27"/>
  <c r="S51" i="27"/>
  <c r="B51" i="27"/>
  <c r="T50" i="27"/>
  <c r="S50" i="27"/>
  <c r="B50" i="27"/>
  <c r="T49" i="27"/>
  <c r="S49" i="27"/>
  <c r="B49" i="27"/>
  <c r="T48" i="27"/>
  <c r="S48" i="27"/>
  <c r="B48" i="27"/>
  <c r="T47" i="27"/>
  <c r="S47" i="27"/>
  <c r="B47" i="27"/>
  <c r="T46" i="27"/>
  <c r="S46" i="27"/>
  <c r="B46" i="27"/>
  <c r="T45" i="27"/>
  <c r="S45" i="27"/>
  <c r="B45" i="27"/>
  <c r="T44" i="27"/>
  <c r="S44" i="27"/>
  <c r="B44" i="27"/>
  <c r="T43" i="27"/>
  <c r="S43" i="27"/>
  <c r="B43" i="27"/>
  <c r="T42" i="27"/>
  <c r="S42" i="27"/>
  <c r="B42" i="27"/>
  <c r="T41" i="27"/>
  <c r="S41" i="27"/>
  <c r="B41" i="27"/>
  <c r="T40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B40" i="27"/>
  <c r="T39" i="27"/>
  <c r="S39" i="27"/>
  <c r="B39" i="27"/>
  <c r="T38" i="27"/>
  <c r="S38" i="27"/>
  <c r="B38" i="27"/>
  <c r="T37" i="27"/>
  <c r="S37" i="27"/>
  <c r="B37" i="27"/>
  <c r="T36" i="27"/>
  <c r="S36" i="27"/>
  <c r="B36" i="27"/>
  <c r="T35" i="27"/>
  <c r="S35" i="27"/>
  <c r="B35" i="27"/>
  <c r="T34" i="27"/>
  <c r="S34" i="27"/>
  <c r="B34" i="27"/>
  <c r="T33" i="27"/>
  <c r="S33" i="27"/>
  <c r="B33" i="27"/>
  <c r="T32" i="27"/>
  <c r="S32" i="27"/>
  <c r="B32" i="27"/>
  <c r="T31" i="27"/>
  <c r="S31" i="27"/>
  <c r="B31" i="27"/>
  <c r="T30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B30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B29" i="27"/>
  <c r="T28" i="27"/>
  <c r="S28" i="27"/>
  <c r="B28" i="27"/>
  <c r="T27" i="27"/>
  <c r="S27" i="27"/>
  <c r="B27" i="27"/>
  <c r="T26" i="27"/>
  <c r="S26" i="27"/>
  <c r="B26" i="27"/>
  <c r="T25" i="27"/>
  <c r="S25" i="27"/>
  <c r="B25" i="27"/>
  <c r="T24" i="27"/>
  <c r="S24" i="27"/>
  <c r="B24" i="27"/>
  <c r="T23" i="27"/>
  <c r="S23" i="27"/>
  <c r="B23" i="27"/>
  <c r="T22" i="27"/>
  <c r="S22" i="27"/>
  <c r="B22" i="27"/>
  <c r="T21" i="27"/>
  <c r="S21" i="27"/>
  <c r="B21" i="27"/>
  <c r="T20" i="27"/>
  <c r="S20" i="27"/>
  <c r="B20" i="27"/>
  <c r="T19" i="27"/>
  <c r="S19" i="27"/>
  <c r="R19" i="27"/>
  <c r="Q19" i="27"/>
  <c r="P19" i="27"/>
  <c r="O19" i="27"/>
  <c r="N19" i="27"/>
  <c r="M19" i="27"/>
  <c r="L19" i="27"/>
  <c r="K19" i="27"/>
  <c r="J19" i="27"/>
  <c r="B19" i="27"/>
  <c r="T18" i="27"/>
  <c r="S18" i="27"/>
  <c r="B18" i="27"/>
  <c r="T17" i="27"/>
  <c r="S17" i="27"/>
  <c r="B17" i="27"/>
  <c r="T16" i="27"/>
  <c r="S16" i="27"/>
  <c r="B16" i="27"/>
  <c r="T15" i="27"/>
  <c r="S15" i="27"/>
  <c r="B15" i="27"/>
  <c r="T14" i="27"/>
  <c r="S14" i="27"/>
  <c r="B14" i="27"/>
  <c r="T13" i="27"/>
  <c r="S13" i="27"/>
  <c r="B13" i="27"/>
  <c r="T12" i="27"/>
  <c r="S12" i="27"/>
  <c r="B12" i="27"/>
  <c r="T11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B11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B10" i="27"/>
  <c r="T9" i="27"/>
  <c r="S8" i="27"/>
  <c r="R8" i="27"/>
  <c r="Q8" i="27"/>
  <c r="P8" i="27"/>
  <c r="O8" i="27"/>
  <c r="N8" i="27"/>
  <c r="M8" i="27"/>
  <c r="L8" i="27"/>
  <c r="L84" i="27" s="1"/>
  <c r="K8" i="27"/>
  <c r="K84" i="27" s="1"/>
  <c r="J8" i="27"/>
  <c r="J84" i="27" s="1"/>
  <c r="I8" i="27"/>
  <c r="I84" i="27" s="1"/>
  <c r="H8" i="27"/>
  <c r="H84" i="27" s="1"/>
  <c r="G8" i="27"/>
  <c r="G84" i="27" s="1"/>
  <c r="S7" i="27"/>
  <c r="B7" i="27"/>
  <c r="R5" i="27"/>
  <c r="Q5" i="27"/>
  <c r="P5" i="27"/>
  <c r="O5" i="27"/>
  <c r="N5" i="27"/>
  <c r="M5" i="27"/>
  <c r="L5" i="27"/>
  <c r="K5" i="27"/>
  <c r="J5" i="27"/>
  <c r="I5" i="27"/>
  <c r="H5" i="27"/>
  <c r="G5" i="27"/>
  <c r="E4" i="27"/>
  <c r="E3" i="27"/>
  <c r="E2" i="27"/>
  <c r="S142" i="28"/>
  <c r="B142" i="28"/>
  <c r="A142" i="28"/>
  <c r="S141" i="28"/>
  <c r="T140" i="28"/>
  <c r="S140" i="28"/>
  <c r="B140" i="28"/>
  <c r="A140" i="28"/>
  <c r="S139" i="28"/>
  <c r="B139" i="28"/>
  <c r="A139" i="28"/>
  <c r="S138" i="28"/>
  <c r="B138" i="28"/>
  <c r="A138" i="28"/>
  <c r="T137" i="28"/>
  <c r="S137" i="28"/>
  <c r="B137" i="28"/>
  <c r="A137" i="28"/>
  <c r="S136" i="28"/>
  <c r="B136" i="28"/>
  <c r="A136" i="28"/>
  <c r="T135" i="28"/>
  <c r="S135" i="28"/>
  <c r="T134" i="28"/>
  <c r="S134" i="28"/>
  <c r="B134" i="28"/>
  <c r="A134" i="28"/>
  <c r="S133" i="28"/>
  <c r="B133" i="28"/>
  <c r="A133" i="28"/>
  <c r="T132" i="28"/>
  <c r="S132" i="28"/>
  <c r="B132" i="28"/>
  <c r="A132" i="28"/>
  <c r="S131" i="28"/>
  <c r="B131" i="28"/>
  <c r="A131" i="28"/>
  <c r="S130" i="28"/>
  <c r="B130" i="28"/>
  <c r="A130" i="28"/>
  <c r="T129" i="28"/>
  <c r="S129" i="28"/>
  <c r="B129" i="28"/>
  <c r="A129" i="28"/>
  <c r="S128" i="28"/>
  <c r="B128" i="28"/>
  <c r="A128" i="28"/>
  <c r="T127" i="28"/>
  <c r="S127" i="28"/>
  <c r="B127" i="28"/>
  <c r="A127" i="28"/>
  <c r="S126" i="28"/>
  <c r="B126" i="28"/>
  <c r="A126" i="28"/>
  <c r="S125" i="28"/>
  <c r="B125" i="28"/>
  <c r="A125" i="28"/>
  <c r="T124" i="28"/>
  <c r="S124" i="28"/>
  <c r="B124" i="28"/>
  <c r="A124" i="28"/>
  <c r="S123" i="28"/>
  <c r="B123" i="28"/>
  <c r="A123" i="28"/>
  <c r="T122" i="28"/>
  <c r="S122" i="28"/>
  <c r="B122" i="28"/>
  <c r="A122" i="28"/>
  <c r="S121" i="28"/>
  <c r="B121" i="28"/>
  <c r="A121" i="28"/>
  <c r="S120" i="28"/>
  <c r="B120" i="28"/>
  <c r="A120" i="28"/>
  <c r="T119" i="28"/>
  <c r="S119" i="28"/>
  <c r="B119" i="28"/>
  <c r="A119" i="28"/>
  <c r="S118" i="28"/>
  <c r="B118" i="28"/>
  <c r="A118" i="28"/>
  <c r="T117" i="28"/>
  <c r="S117" i="28"/>
  <c r="B117" i="28"/>
  <c r="A117" i="28"/>
  <c r="S116" i="28"/>
  <c r="B116" i="28"/>
  <c r="A116" i="28"/>
  <c r="S115" i="28"/>
  <c r="B115" i="28"/>
  <c r="A115" i="28"/>
  <c r="T114" i="28"/>
  <c r="S114" i="28"/>
  <c r="B114" i="28"/>
  <c r="A114" i="28"/>
  <c r="S113" i="28"/>
  <c r="B113" i="28"/>
  <c r="A113" i="28"/>
  <c r="T112" i="28"/>
  <c r="S112" i="28"/>
  <c r="B112" i="28"/>
  <c r="A112" i="28"/>
  <c r="S111" i="28"/>
  <c r="B111" i="28"/>
  <c r="A111" i="28"/>
  <c r="S110" i="28"/>
  <c r="B110" i="28"/>
  <c r="A110" i="28"/>
  <c r="T109" i="28"/>
  <c r="S109" i="28"/>
  <c r="B109" i="28"/>
  <c r="A109" i="28"/>
  <c r="S108" i="28"/>
  <c r="B108" i="28"/>
  <c r="A108" i="28"/>
  <c r="T107" i="28"/>
  <c r="S107" i="28"/>
  <c r="B107" i="28"/>
  <c r="A107" i="28"/>
  <c r="S106" i="28"/>
  <c r="B106" i="28"/>
  <c r="A106" i="28"/>
  <c r="S105" i="28"/>
  <c r="B105" i="28"/>
  <c r="A105" i="28"/>
  <c r="T104" i="28"/>
  <c r="S104" i="28"/>
  <c r="B104" i="28"/>
  <c r="A104" i="28"/>
  <c r="S103" i="28"/>
  <c r="B103" i="28"/>
  <c r="A103" i="28"/>
  <c r="T102" i="28"/>
  <c r="S102" i="28"/>
  <c r="B102" i="28"/>
  <c r="A102" i="28"/>
  <c r="S101" i="28"/>
  <c r="B101" i="28"/>
  <c r="A101" i="28"/>
  <c r="S100" i="28"/>
  <c r="B100" i="28"/>
  <c r="A100" i="28"/>
  <c r="T99" i="28"/>
  <c r="S99" i="28"/>
  <c r="B99" i="28"/>
  <c r="A99" i="28"/>
  <c r="S98" i="28"/>
  <c r="B98" i="28"/>
  <c r="A98" i="28"/>
  <c r="T97" i="28"/>
  <c r="S97" i="28"/>
  <c r="B97" i="28"/>
  <c r="A97" i="28"/>
  <c r="S96" i="28"/>
  <c r="B96" i="28"/>
  <c r="A96" i="28"/>
  <c r="S95" i="28"/>
  <c r="B95" i="28"/>
  <c r="A95" i="28"/>
  <c r="T94" i="28"/>
  <c r="S94" i="28"/>
  <c r="B94" i="28"/>
  <c r="A94" i="28"/>
  <c r="S93" i="28"/>
  <c r="B93" i="28"/>
  <c r="A93" i="28"/>
  <c r="T92" i="28"/>
  <c r="S92" i="28"/>
  <c r="B92" i="28"/>
  <c r="A92" i="28"/>
  <c r="S91" i="28"/>
  <c r="B91" i="28"/>
  <c r="A91" i="28"/>
  <c r="S90" i="28"/>
  <c r="B90" i="28"/>
  <c r="A90" i="28"/>
  <c r="T89" i="28"/>
  <c r="S89" i="28"/>
  <c r="B89" i="28"/>
  <c r="A89" i="28"/>
  <c r="S88" i="28"/>
  <c r="B88" i="28"/>
  <c r="A88" i="28"/>
  <c r="T87" i="28"/>
  <c r="S87" i="28"/>
  <c r="B87" i="28"/>
  <c r="A87" i="28"/>
  <c r="S86" i="28"/>
  <c r="B86" i="28"/>
  <c r="A86" i="28"/>
  <c r="T85" i="28"/>
  <c r="T84" i="28"/>
  <c r="S84" i="28"/>
  <c r="R84" i="28"/>
  <c r="Q84" i="28"/>
  <c r="P84" i="28"/>
  <c r="O84" i="28"/>
  <c r="N84" i="28"/>
  <c r="M84" i="28"/>
  <c r="T83" i="28"/>
  <c r="T142" i="28" s="1"/>
  <c r="S83" i="28"/>
  <c r="B83" i="28"/>
  <c r="R82" i="28"/>
  <c r="Q82" i="28"/>
  <c r="P82" i="28"/>
  <c r="O82" i="28"/>
  <c r="N82" i="28"/>
  <c r="M82" i="28"/>
  <c r="L82" i="28"/>
  <c r="K82" i="28"/>
  <c r="J82" i="28"/>
  <c r="I82" i="28"/>
  <c r="H82" i="28"/>
  <c r="G82" i="28"/>
  <c r="R66" i="28"/>
  <c r="R61" i="28" s="1"/>
  <c r="B66" i="28"/>
  <c r="S65" i="28"/>
  <c r="T65" i="28" s="1"/>
  <c r="S64" i="28"/>
  <c r="T64" i="28" s="1"/>
  <c r="B64" i="28"/>
  <c r="S63" i="28"/>
  <c r="T63" i="28" s="1"/>
  <c r="B63" i="28"/>
  <c r="S62" i="28"/>
  <c r="T62" i="28" s="1"/>
  <c r="B62" i="28"/>
  <c r="B61" i="28"/>
  <c r="R60" i="28"/>
  <c r="Q60" i="28"/>
  <c r="Q66" i="28" s="1"/>
  <c r="Q61" i="28" s="1"/>
  <c r="P60" i="28"/>
  <c r="P66" i="28" s="1"/>
  <c r="P61" i="28" s="1"/>
  <c r="B60" i="28"/>
  <c r="S59" i="28"/>
  <c r="T59" i="28" s="1"/>
  <c r="B59" i="28"/>
  <c r="S58" i="28"/>
  <c r="T58" i="28" s="1"/>
  <c r="B58" i="28"/>
  <c r="S57" i="28"/>
  <c r="T57" i="28" s="1"/>
  <c r="B57" i="28"/>
  <c r="S56" i="28"/>
  <c r="T56" i="28" s="1"/>
  <c r="B56" i="28"/>
  <c r="B55" i="28"/>
  <c r="R54" i="28"/>
  <c r="Q54" i="28"/>
  <c r="P54" i="28"/>
  <c r="B54" i="28"/>
  <c r="R53" i="28"/>
  <c r="Q53" i="28"/>
  <c r="P53" i="28"/>
  <c r="B53" i="28"/>
  <c r="S52" i="28"/>
  <c r="T52" i="28" s="1"/>
  <c r="B52" i="28"/>
  <c r="S51" i="28"/>
  <c r="T51" i="28" s="1"/>
  <c r="B51" i="28"/>
  <c r="S50" i="28"/>
  <c r="T50" i="28" s="1"/>
  <c r="B50" i="28"/>
  <c r="S49" i="28"/>
  <c r="T49" i="28" s="1"/>
  <c r="B49" i="28"/>
  <c r="S48" i="28"/>
  <c r="T48" i="28" s="1"/>
  <c r="B48" i="28"/>
  <c r="S47" i="28"/>
  <c r="G47" i="11" s="1"/>
  <c r="B47" i="28"/>
  <c r="S46" i="28"/>
  <c r="T46" i="28" s="1"/>
  <c r="B46" i="28"/>
  <c r="S45" i="28"/>
  <c r="T45" i="28" s="1"/>
  <c r="B45" i="28"/>
  <c r="S44" i="28"/>
  <c r="T44" i="28" s="1"/>
  <c r="B44" i="28"/>
  <c r="S43" i="28"/>
  <c r="T43" i="28" s="1"/>
  <c r="B43" i="28"/>
  <c r="S42" i="28"/>
  <c r="T42" i="28" s="1"/>
  <c r="B42" i="28"/>
  <c r="S41" i="28"/>
  <c r="T41" i="28" s="1"/>
  <c r="B41" i="28"/>
  <c r="R40" i="28"/>
  <c r="Q40" i="28"/>
  <c r="P40" i="28"/>
  <c r="O40" i="28"/>
  <c r="N40" i="11" s="1"/>
  <c r="N40" i="28"/>
  <c r="M40" i="28"/>
  <c r="L40" i="28"/>
  <c r="K40" i="28"/>
  <c r="J40" i="28"/>
  <c r="I40" i="28"/>
  <c r="H40" i="28"/>
  <c r="G40" i="28"/>
  <c r="B40" i="28"/>
  <c r="B39" i="28"/>
  <c r="S38" i="28"/>
  <c r="G38" i="11" s="1"/>
  <c r="B38" i="28"/>
  <c r="S37" i="28"/>
  <c r="T37" i="28" s="1"/>
  <c r="B37" i="28"/>
  <c r="B36" i="28"/>
  <c r="B35" i="28"/>
  <c r="B34" i="28"/>
  <c r="B33" i="28"/>
  <c r="B32" i="28"/>
  <c r="B31" i="28"/>
  <c r="R30" i="28"/>
  <c r="Q30" i="28"/>
  <c r="P30" i="28"/>
  <c r="O30" i="28"/>
  <c r="N30" i="28"/>
  <c r="M30" i="28"/>
  <c r="L30" i="28"/>
  <c r="B30" i="28"/>
  <c r="R29" i="28"/>
  <c r="Q29" i="28"/>
  <c r="P29" i="28"/>
  <c r="B29" i="28"/>
  <c r="S28" i="28"/>
  <c r="T28" i="28" s="1"/>
  <c r="B28" i="28"/>
  <c r="S27" i="28"/>
  <c r="T27" i="28" s="1"/>
  <c r="B27" i="28"/>
  <c r="S26" i="28"/>
  <c r="T26" i="28" s="1"/>
  <c r="B26" i="28"/>
  <c r="S25" i="28"/>
  <c r="T25" i="28" s="1"/>
  <c r="B25" i="28"/>
  <c r="S24" i="28"/>
  <c r="T24" i="28" s="1"/>
  <c r="B24" i="28"/>
  <c r="B23" i="28"/>
  <c r="B22" i="28"/>
  <c r="B21" i="28"/>
  <c r="S20" i="28"/>
  <c r="T20" i="28" s="1"/>
  <c r="B20" i="28"/>
  <c r="R19" i="28"/>
  <c r="Q19" i="28"/>
  <c r="P19" i="28"/>
  <c r="O19" i="28"/>
  <c r="N19" i="28"/>
  <c r="M19" i="28"/>
  <c r="L19" i="28"/>
  <c r="J19" i="28"/>
  <c r="G19" i="28"/>
  <c r="B19" i="28"/>
  <c r="B18" i="28"/>
  <c r="B17" i="28"/>
  <c r="B16" i="28"/>
  <c r="B15" i="28"/>
  <c r="B14" i="28"/>
  <c r="B13" i="28"/>
  <c r="B12" i="28"/>
  <c r="R11" i="28"/>
  <c r="Q11" i="28"/>
  <c r="P11" i="28"/>
  <c r="O11" i="28"/>
  <c r="N11" i="11" s="1"/>
  <c r="N11" i="28"/>
  <c r="M11" i="28"/>
  <c r="B11" i="28"/>
  <c r="R10" i="28"/>
  <c r="Q10" i="28"/>
  <c r="P10" i="28"/>
  <c r="B10" i="28"/>
  <c r="T9" i="28"/>
  <c r="S8" i="28"/>
  <c r="R8" i="28"/>
  <c r="Q8" i="28"/>
  <c r="P8" i="28"/>
  <c r="O8" i="28"/>
  <c r="N8" i="28"/>
  <c r="M8" i="28"/>
  <c r="L8" i="28"/>
  <c r="L84" i="28" s="1"/>
  <c r="K8" i="28"/>
  <c r="K84" i="28" s="1"/>
  <c r="J8" i="28"/>
  <c r="J84" i="28" s="1"/>
  <c r="I8" i="28"/>
  <c r="I84" i="28" s="1"/>
  <c r="H8" i="28"/>
  <c r="H84" i="28" s="1"/>
  <c r="G8" i="28"/>
  <c r="G84" i="28" s="1"/>
  <c r="S7" i="28"/>
  <c r="B7" i="28"/>
  <c r="R5" i="28"/>
  <c r="Q5" i="28"/>
  <c r="P5" i="28"/>
  <c r="O5" i="28"/>
  <c r="N5" i="28"/>
  <c r="M5" i="28"/>
  <c r="L5" i="28"/>
  <c r="K5" i="28"/>
  <c r="J5" i="28"/>
  <c r="I5" i="28"/>
  <c r="H5" i="28"/>
  <c r="G5" i="28"/>
  <c r="E4" i="28"/>
  <c r="E3" i="28"/>
  <c r="E2" i="28"/>
  <c r="T142" i="29"/>
  <c r="S142" i="29"/>
  <c r="R142" i="29"/>
  <c r="Q142" i="29"/>
  <c r="P142" i="29"/>
  <c r="O142" i="29"/>
  <c r="N142" i="29"/>
  <c r="M142" i="29"/>
  <c r="L142" i="29"/>
  <c r="K142" i="29"/>
  <c r="J142" i="29"/>
  <c r="I142" i="29"/>
  <c r="H142" i="29"/>
  <c r="G142" i="29"/>
  <c r="B142" i="29"/>
  <c r="A142" i="29"/>
  <c r="T141" i="29"/>
  <c r="S141" i="29"/>
  <c r="T140" i="29"/>
  <c r="S140" i="29"/>
  <c r="B140" i="29"/>
  <c r="A140" i="29"/>
  <c r="T139" i="29"/>
  <c r="S139" i="29"/>
  <c r="B139" i="29"/>
  <c r="A139" i="29"/>
  <c r="T138" i="29"/>
  <c r="S138" i="29"/>
  <c r="B138" i="29"/>
  <c r="A138" i="29"/>
  <c r="T137" i="29"/>
  <c r="S137" i="29"/>
  <c r="R137" i="29"/>
  <c r="Q137" i="29"/>
  <c r="P137" i="29"/>
  <c r="O137" i="29"/>
  <c r="N137" i="29"/>
  <c r="M137" i="29"/>
  <c r="L137" i="29"/>
  <c r="K137" i="29"/>
  <c r="J137" i="29"/>
  <c r="I137" i="29"/>
  <c r="H137" i="29"/>
  <c r="G137" i="29"/>
  <c r="B137" i="29"/>
  <c r="A137" i="29"/>
  <c r="T136" i="29"/>
  <c r="S136" i="29"/>
  <c r="R136" i="29"/>
  <c r="Q136" i="29"/>
  <c r="P136" i="29"/>
  <c r="O136" i="29"/>
  <c r="N136" i="29"/>
  <c r="M136" i="29"/>
  <c r="L136" i="29"/>
  <c r="K136" i="29"/>
  <c r="J136" i="29"/>
  <c r="I136" i="29"/>
  <c r="H136" i="29"/>
  <c r="G136" i="29"/>
  <c r="B136" i="29"/>
  <c r="A136" i="29"/>
  <c r="T135" i="29"/>
  <c r="S135" i="29"/>
  <c r="T134" i="29"/>
  <c r="S134" i="29"/>
  <c r="B134" i="29"/>
  <c r="A134" i="29"/>
  <c r="T133" i="29"/>
  <c r="S133" i="29"/>
  <c r="B133" i="29"/>
  <c r="A133" i="29"/>
  <c r="T132" i="29"/>
  <c r="S132" i="29"/>
  <c r="B132" i="29"/>
  <c r="A132" i="29"/>
  <c r="T131" i="29"/>
  <c r="S131" i="29"/>
  <c r="B131" i="29"/>
  <c r="A131" i="29"/>
  <c r="T130" i="29"/>
  <c r="S130" i="29"/>
  <c r="R130" i="29"/>
  <c r="Q130" i="29"/>
  <c r="P130" i="29"/>
  <c r="O130" i="29"/>
  <c r="N130" i="29"/>
  <c r="M130" i="29"/>
  <c r="L130" i="29"/>
  <c r="K130" i="29"/>
  <c r="J130" i="29"/>
  <c r="I130" i="29"/>
  <c r="H130" i="29"/>
  <c r="G130" i="29"/>
  <c r="B130" i="29"/>
  <c r="A130" i="29"/>
  <c r="T129" i="29"/>
  <c r="S129" i="29"/>
  <c r="R129" i="29"/>
  <c r="Q129" i="29"/>
  <c r="P129" i="29"/>
  <c r="O129" i="29"/>
  <c r="N129" i="29"/>
  <c r="M129" i="29"/>
  <c r="L129" i="29"/>
  <c r="K129" i="29"/>
  <c r="J129" i="29"/>
  <c r="I129" i="29"/>
  <c r="H129" i="29"/>
  <c r="G129" i="29"/>
  <c r="B129" i="29"/>
  <c r="A129" i="29"/>
  <c r="T128" i="29"/>
  <c r="S128" i="29"/>
  <c r="B128" i="29"/>
  <c r="A128" i="29"/>
  <c r="T127" i="29"/>
  <c r="S127" i="29"/>
  <c r="B127" i="29"/>
  <c r="A127" i="29"/>
  <c r="T126" i="29"/>
  <c r="S126" i="29"/>
  <c r="B126" i="29"/>
  <c r="A126" i="29"/>
  <c r="T125" i="29"/>
  <c r="S125" i="29"/>
  <c r="B125" i="29"/>
  <c r="A125" i="29"/>
  <c r="T124" i="29"/>
  <c r="S124" i="29"/>
  <c r="B124" i="29"/>
  <c r="A124" i="29"/>
  <c r="T123" i="29"/>
  <c r="S123" i="29"/>
  <c r="B123" i="29"/>
  <c r="A123" i="29"/>
  <c r="T122" i="29"/>
  <c r="S122" i="29"/>
  <c r="B122" i="29"/>
  <c r="A122" i="29"/>
  <c r="T121" i="29"/>
  <c r="S121" i="29"/>
  <c r="B121" i="29"/>
  <c r="A121" i="29"/>
  <c r="T120" i="29"/>
  <c r="S120" i="29"/>
  <c r="B120" i="29"/>
  <c r="A120" i="29"/>
  <c r="T119" i="29"/>
  <c r="S119" i="29"/>
  <c r="B119" i="29"/>
  <c r="A119" i="29"/>
  <c r="T118" i="29"/>
  <c r="S118" i="29"/>
  <c r="B118" i="29"/>
  <c r="A118" i="29"/>
  <c r="T117" i="29"/>
  <c r="S117" i="29"/>
  <c r="B117" i="29"/>
  <c r="A117" i="29"/>
  <c r="T116" i="29"/>
  <c r="S116" i="29"/>
  <c r="R116" i="29"/>
  <c r="Q116" i="29"/>
  <c r="P116" i="29"/>
  <c r="O116" i="29"/>
  <c r="N116" i="29"/>
  <c r="M116" i="29"/>
  <c r="L116" i="29"/>
  <c r="K116" i="29"/>
  <c r="J116" i="29"/>
  <c r="I116" i="29"/>
  <c r="H116" i="29"/>
  <c r="G116" i="29"/>
  <c r="B116" i="29"/>
  <c r="A116" i="29"/>
  <c r="T115" i="29"/>
  <c r="S115" i="29"/>
  <c r="B115" i="29"/>
  <c r="A115" i="29"/>
  <c r="T114" i="29"/>
  <c r="S114" i="29"/>
  <c r="B114" i="29"/>
  <c r="A114" i="29"/>
  <c r="T113" i="29"/>
  <c r="S113" i="29"/>
  <c r="B113" i="29"/>
  <c r="A113" i="29"/>
  <c r="T112" i="29"/>
  <c r="S112" i="29"/>
  <c r="B112" i="29"/>
  <c r="A112" i="29"/>
  <c r="T111" i="29"/>
  <c r="S111" i="29"/>
  <c r="B111" i="29"/>
  <c r="A111" i="29"/>
  <c r="T110" i="29"/>
  <c r="S110" i="29"/>
  <c r="B110" i="29"/>
  <c r="A110" i="29"/>
  <c r="T109" i="29"/>
  <c r="S109" i="29"/>
  <c r="B109" i="29"/>
  <c r="A109" i="29"/>
  <c r="T108" i="29"/>
  <c r="S108" i="29"/>
  <c r="B108" i="29"/>
  <c r="A108" i="29"/>
  <c r="T107" i="29"/>
  <c r="S107" i="29"/>
  <c r="B107" i="29"/>
  <c r="A107" i="29"/>
  <c r="T106" i="29"/>
  <c r="S106" i="29"/>
  <c r="R106" i="29"/>
  <c r="Q106" i="29"/>
  <c r="P106" i="29"/>
  <c r="O106" i="29"/>
  <c r="N106" i="29"/>
  <c r="M106" i="29"/>
  <c r="L106" i="29"/>
  <c r="K106" i="29"/>
  <c r="J106" i="29"/>
  <c r="I106" i="29"/>
  <c r="H106" i="29"/>
  <c r="G106" i="29"/>
  <c r="B106" i="29"/>
  <c r="A106" i="29"/>
  <c r="T105" i="29"/>
  <c r="S105" i="29"/>
  <c r="R105" i="29"/>
  <c r="Q105" i="29"/>
  <c r="P105" i="29"/>
  <c r="O105" i="29"/>
  <c r="N105" i="29"/>
  <c r="M105" i="29"/>
  <c r="L105" i="29"/>
  <c r="K105" i="29"/>
  <c r="J105" i="29"/>
  <c r="I105" i="29"/>
  <c r="H105" i="29"/>
  <c r="G105" i="29"/>
  <c r="B105" i="29"/>
  <c r="A105" i="29"/>
  <c r="T104" i="29"/>
  <c r="S104" i="29"/>
  <c r="B104" i="29"/>
  <c r="A104" i="29"/>
  <c r="T103" i="29"/>
  <c r="S103" i="29"/>
  <c r="B103" i="29"/>
  <c r="A103" i="29"/>
  <c r="T102" i="29"/>
  <c r="S102" i="29"/>
  <c r="B102" i="29"/>
  <c r="A102" i="29"/>
  <c r="T101" i="29"/>
  <c r="S101" i="29"/>
  <c r="B101" i="29"/>
  <c r="A101" i="29"/>
  <c r="T100" i="29"/>
  <c r="S100" i="29"/>
  <c r="B100" i="29"/>
  <c r="A100" i="29"/>
  <c r="T99" i="29"/>
  <c r="S99" i="29"/>
  <c r="B99" i="29"/>
  <c r="A99" i="29"/>
  <c r="T98" i="29"/>
  <c r="S98" i="29"/>
  <c r="B98" i="29"/>
  <c r="A98" i="29"/>
  <c r="T97" i="29"/>
  <c r="S97" i="29"/>
  <c r="B97" i="29"/>
  <c r="A97" i="29"/>
  <c r="T96" i="29"/>
  <c r="S96" i="29"/>
  <c r="B96" i="29"/>
  <c r="A96" i="29"/>
  <c r="T95" i="29"/>
  <c r="S95" i="29"/>
  <c r="B95" i="29"/>
  <c r="A95" i="29"/>
  <c r="T94" i="29"/>
  <c r="S94" i="29"/>
  <c r="B94" i="29"/>
  <c r="A94" i="29"/>
  <c r="T93" i="29"/>
  <c r="S93" i="29"/>
  <c r="B93" i="29"/>
  <c r="A93" i="29"/>
  <c r="T92" i="29"/>
  <c r="S92" i="29"/>
  <c r="B92" i="29"/>
  <c r="A92" i="29"/>
  <c r="T91" i="29"/>
  <c r="S91" i="29"/>
  <c r="B91" i="29"/>
  <c r="A91" i="29"/>
  <c r="T90" i="29"/>
  <c r="S90" i="29"/>
  <c r="B90" i="29"/>
  <c r="A90" i="29"/>
  <c r="T89" i="29"/>
  <c r="S89" i="29"/>
  <c r="B89" i="29"/>
  <c r="A89" i="29"/>
  <c r="T88" i="29"/>
  <c r="S88" i="29"/>
  <c r="B88" i="29"/>
  <c r="A88" i="29"/>
  <c r="T87" i="29"/>
  <c r="S87" i="29"/>
  <c r="B87" i="29"/>
  <c r="A87" i="29"/>
  <c r="T86" i="29"/>
  <c r="S86" i="29"/>
  <c r="B86" i="29"/>
  <c r="A86" i="29"/>
  <c r="T85" i="29"/>
  <c r="T84" i="29"/>
  <c r="S84" i="29"/>
  <c r="R84" i="29"/>
  <c r="Q84" i="29"/>
  <c r="P84" i="29"/>
  <c r="O84" i="29"/>
  <c r="N84" i="29"/>
  <c r="M84" i="29"/>
  <c r="T83" i="29"/>
  <c r="S83" i="29"/>
  <c r="B83" i="29"/>
  <c r="R82" i="29"/>
  <c r="Q82" i="29"/>
  <c r="P82" i="29"/>
  <c r="O82" i="29"/>
  <c r="N82" i="29"/>
  <c r="M82" i="29"/>
  <c r="L82" i="29"/>
  <c r="K82" i="29"/>
  <c r="J82" i="29"/>
  <c r="I82" i="29"/>
  <c r="H82" i="29"/>
  <c r="G82" i="29"/>
  <c r="B66" i="29"/>
  <c r="S65" i="29"/>
  <c r="T65" i="29" s="1"/>
  <c r="S64" i="29"/>
  <c r="T64" i="29" s="1"/>
  <c r="B64" i="29"/>
  <c r="S63" i="29"/>
  <c r="T63" i="29" s="1"/>
  <c r="B63" i="29"/>
  <c r="S62" i="29"/>
  <c r="T62" i="29" s="1"/>
  <c r="B62" i="29"/>
  <c r="B61" i="29"/>
  <c r="B60" i="29"/>
  <c r="S59" i="29"/>
  <c r="T59" i="29" s="1"/>
  <c r="B59" i="29"/>
  <c r="S58" i="29"/>
  <c r="T58" i="29" s="1"/>
  <c r="B58" i="29"/>
  <c r="S57" i="29"/>
  <c r="T57" i="29" s="1"/>
  <c r="B57" i="29"/>
  <c r="S56" i="29"/>
  <c r="T56" i="29" s="1"/>
  <c r="B56" i="29"/>
  <c r="R55" i="29"/>
  <c r="Q55" i="29"/>
  <c r="P55" i="29"/>
  <c r="O55" i="29"/>
  <c r="N55" i="29"/>
  <c r="M55" i="29"/>
  <c r="L55" i="29"/>
  <c r="K55" i="29"/>
  <c r="J55" i="29"/>
  <c r="I55" i="29"/>
  <c r="H55" i="29"/>
  <c r="G55" i="29"/>
  <c r="B55" i="29"/>
  <c r="B54" i="29"/>
  <c r="B53" i="29"/>
  <c r="S52" i="29"/>
  <c r="T52" i="29" s="1"/>
  <c r="B52" i="29"/>
  <c r="S51" i="29"/>
  <c r="T51" i="29" s="1"/>
  <c r="B51" i="29"/>
  <c r="T50" i="29"/>
  <c r="S50" i="29"/>
  <c r="B50" i="29"/>
  <c r="T49" i="29"/>
  <c r="S49" i="29"/>
  <c r="B49" i="29"/>
  <c r="S48" i="29"/>
  <c r="T48" i="29" s="1"/>
  <c r="B48" i="29"/>
  <c r="S47" i="29"/>
  <c r="T47" i="29" s="1"/>
  <c r="B47" i="29"/>
  <c r="S46" i="29"/>
  <c r="T46" i="29" s="1"/>
  <c r="B46" i="29"/>
  <c r="S45" i="29"/>
  <c r="T45" i="29" s="1"/>
  <c r="B45" i="29"/>
  <c r="S44" i="29"/>
  <c r="T44" i="29" s="1"/>
  <c r="B44" i="29"/>
  <c r="S43" i="29"/>
  <c r="T43" i="29" s="1"/>
  <c r="B43" i="29"/>
  <c r="S42" i="29"/>
  <c r="T42" i="29" s="1"/>
  <c r="B42" i="29"/>
  <c r="S41" i="29"/>
  <c r="T41" i="29" s="1"/>
  <c r="B41" i="29"/>
  <c r="R40" i="29"/>
  <c r="Q40" i="29"/>
  <c r="P40" i="29"/>
  <c r="O40" i="29"/>
  <c r="N40" i="29"/>
  <c r="M40" i="29"/>
  <c r="L40" i="29"/>
  <c r="L29" i="29" s="1"/>
  <c r="K40" i="29"/>
  <c r="K29" i="29" s="1"/>
  <c r="J40" i="29"/>
  <c r="J29" i="29" s="1"/>
  <c r="I40" i="29"/>
  <c r="H40" i="29"/>
  <c r="G40" i="29"/>
  <c r="S40" i="29" s="1"/>
  <c r="T40" i="29" s="1"/>
  <c r="B40" i="29"/>
  <c r="S39" i="29"/>
  <c r="T39" i="29" s="1"/>
  <c r="B39" i="29"/>
  <c r="T38" i="29"/>
  <c r="S38" i="29"/>
  <c r="B38" i="29"/>
  <c r="T37" i="29"/>
  <c r="S37" i="29"/>
  <c r="B37" i="29"/>
  <c r="S36" i="29"/>
  <c r="T36" i="29" s="1"/>
  <c r="B36" i="29"/>
  <c r="T35" i="29"/>
  <c r="S35" i="29"/>
  <c r="B35" i="29"/>
  <c r="S34" i="29"/>
  <c r="T34" i="29" s="1"/>
  <c r="B34" i="29"/>
  <c r="S33" i="29"/>
  <c r="T33" i="29" s="1"/>
  <c r="B33" i="29"/>
  <c r="S32" i="29"/>
  <c r="T32" i="29" s="1"/>
  <c r="B32" i="29"/>
  <c r="S31" i="29"/>
  <c r="T31" i="29" s="1"/>
  <c r="B31" i="29"/>
  <c r="R30" i="29"/>
  <c r="R29" i="29" s="1"/>
  <c r="Q30" i="29"/>
  <c r="Q29" i="29" s="1"/>
  <c r="P30" i="29"/>
  <c r="P29" i="29" s="1"/>
  <c r="O30" i="29"/>
  <c r="O29" i="29" s="1"/>
  <c r="N30" i="29"/>
  <c r="M30" i="29"/>
  <c r="L30" i="29"/>
  <c r="K30" i="29"/>
  <c r="J30" i="29"/>
  <c r="I30" i="29"/>
  <c r="I29" i="29" s="1"/>
  <c r="H30" i="29"/>
  <c r="H29" i="29" s="1"/>
  <c r="G30" i="29"/>
  <c r="B30" i="29"/>
  <c r="N29" i="29"/>
  <c r="M29" i="29"/>
  <c r="B29" i="29"/>
  <c r="S28" i="29"/>
  <c r="T28" i="29" s="1"/>
  <c r="B28" i="29"/>
  <c r="T27" i="29"/>
  <c r="S27" i="29"/>
  <c r="B27" i="29"/>
  <c r="S26" i="29"/>
  <c r="T26" i="29" s="1"/>
  <c r="B26" i="29"/>
  <c r="S25" i="29"/>
  <c r="T25" i="29" s="1"/>
  <c r="B25" i="29"/>
  <c r="S24" i="29"/>
  <c r="T24" i="29" s="1"/>
  <c r="B24" i="29"/>
  <c r="S23" i="29"/>
  <c r="T23" i="29" s="1"/>
  <c r="B23" i="29"/>
  <c r="S22" i="29"/>
  <c r="T22" i="29" s="1"/>
  <c r="B22" i="29"/>
  <c r="S21" i="29"/>
  <c r="T21" i="29" s="1"/>
  <c r="B21" i="29"/>
  <c r="S20" i="29"/>
  <c r="T20" i="29" s="1"/>
  <c r="B20" i="29"/>
  <c r="R19" i="29"/>
  <c r="Q19" i="29"/>
  <c r="P19" i="29"/>
  <c r="O19" i="29"/>
  <c r="N19" i="29"/>
  <c r="M19" i="29"/>
  <c r="L19" i="29"/>
  <c r="K19" i="29"/>
  <c r="J19" i="29"/>
  <c r="I19" i="29"/>
  <c r="I10" i="29" s="1"/>
  <c r="H19" i="29"/>
  <c r="H10" i="29" s="1"/>
  <c r="G19" i="29"/>
  <c r="B19" i="29"/>
  <c r="S18" i="29"/>
  <c r="T18" i="29" s="1"/>
  <c r="B18" i="29"/>
  <c r="S17" i="29"/>
  <c r="T17" i="29" s="1"/>
  <c r="B17" i="29"/>
  <c r="S16" i="29"/>
  <c r="T16" i="29" s="1"/>
  <c r="B16" i="29"/>
  <c r="S15" i="29"/>
  <c r="T15" i="29" s="1"/>
  <c r="B15" i="29"/>
  <c r="S14" i="29"/>
  <c r="T14" i="29" s="1"/>
  <c r="B14" i="29"/>
  <c r="S13" i="29"/>
  <c r="T13" i="29" s="1"/>
  <c r="B13" i="29"/>
  <c r="T12" i="29"/>
  <c r="S12" i="29"/>
  <c r="B12" i="29"/>
  <c r="R11" i="29"/>
  <c r="Q11" i="29"/>
  <c r="P11" i="29"/>
  <c r="O11" i="29"/>
  <c r="N11" i="29"/>
  <c r="M11" i="29"/>
  <c r="M10" i="29" s="1"/>
  <c r="L11" i="29"/>
  <c r="K11" i="29"/>
  <c r="J11" i="29"/>
  <c r="I11" i="29"/>
  <c r="H11" i="29"/>
  <c r="G11" i="29"/>
  <c r="B11" i="29"/>
  <c r="R10" i="29"/>
  <c r="L10" i="29"/>
  <c r="K10" i="29"/>
  <c r="J10" i="29"/>
  <c r="B10" i="29"/>
  <c r="T9" i="29"/>
  <c r="S8" i="29"/>
  <c r="R8" i="29"/>
  <c r="Q8" i="29"/>
  <c r="P8" i="29"/>
  <c r="O8" i="29"/>
  <c r="N8" i="29"/>
  <c r="M8" i="29"/>
  <c r="L8" i="29"/>
  <c r="L84" i="29" s="1"/>
  <c r="K8" i="29"/>
  <c r="K84" i="29" s="1"/>
  <c r="J8" i="29"/>
  <c r="J84" i="29" s="1"/>
  <c r="I8" i="29"/>
  <c r="I84" i="29" s="1"/>
  <c r="H8" i="29"/>
  <c r="H84" i="29" s="1"/>
  <c r="G8" i="29"/>
  <c r="G84" i="29" s="1"/>
  <c r="S7" i="29"/>
  <c r="B7" i="29"/>
  <c r="R5" i="29"/>
  <c r="Q5" i="29"/>
  <c r="P5" i="29"/>
  <c r="O5" i="29"/>
  <c r="N5" i="29"/>
  <c r="M5" i="29"/>
  <c r="L5" i="29"/>
  <c r="K5" i="29"/>
  <c r="J5" i="29"/>
  <c r="I5" i="29"/>
  <c r="H5" i="29"/>
  <c r="G5" i="29"/>
  <c r="E4" i="29"/>
  <c r="E3" i="29"/>
  <c r="E2" i="29"/>
  <c r="T142" i="26"/>
  <c r="S142" i="26"/>
  <c r="R142" i="26"/>
  <c r="Q142" i="26"/>
  <c r="P142" i="26"/>
  <c r="O142" i="26"/>
  <c r="N142" i="26"/>
  <c r="M142" i="26"/>
  <c r="L142" i="26"/>
  <c r="K142" i="26"/>
  <c r="J142" i="26"/>
  <c r="I142" i="26"/>
  <c r="H142" i="26"/>
  <c r="G142" i="26"/>
  <c r="B142" i="26"/>
  <c r="A142" i="26"/>
  <c r="T141" i="26"/>
  <c r="S141" i="26"/>
  <c r="T140" i="26"/>
  <c r="S140" i="26"/>
  <c r="B140" i="26"/>
  <c r="A140" i="26"/>
  <c r="T139" i="26"/>
  <c r="S139" i="26"/>
  <c r="B139" i="26"/>
  <c r="A139" i="26"/>
  <c r="T138" i="26"/>
  <c r="S138" i="26"/>
  <c r="B138" i="26"/>
  <c r="A138" i="26"/>
  <c r="T137" i="26"/>
  <c r="S137" i="26"/>
  <c r="R137" i="26"/>
  <c r="Q137" i="26"/>
  <c r="P137" i="26"/>
  <c r="O137" i="26"/>
  <c r="N137" i="26"/>
  <c r="M137" i="26"/>
  <c r="L137" i="26"/>
  <c r="K137" i="26"/>
  <c r="J137" i="26"/>
  <c r="I137" i="26"/>
  <c r="H137" i="26"/>
  <c r="G137" i="26"/>
  <c r="B137" i="26"/>
  <c r="A137" i="26"/>
  <c r="T136" i="26"/>
  <c r="S136" i="26"/>
  <c r="R136" i="26"/>
  <c r="Q136" i="26"/>
  <c r="P136" i="26"/>
  <c r="O136" i="26"/>
  <c r="N136" i="26"/>
  <c r="M136" i="26"/>
  <c r="L136" i="26"/>
  <c r="K136" i="26"/>
  <c r="J136" i="26"/>
  <c r="I136" i="26"/>
  <c r="H136" i="26"/>
  <c r="G136" i="26"/>
  <c r="B136" i="26"/>
  <c r="A136" i="26"/>
  <c r="T135" i="26"/>
  <c r="S135" i="26"/>
  <c r="T134" i="26"/>
  <c r="S134" i="26"/>
  <c r="B134" i="26"/>
  <c r="A134" i="26"/>
  <c r="T133" i="26"/>
  <c r="S133" i="26"/>
  <c r="B133" i="26"/>
  <c r="A133" i="26"/>
  <c r="T132" i="26"/>
  <c r="S132" i="26"/>
  <c r="B132" i="26"/>
  <c r="A132" i="26"/>
  <c r="T131" i="26"/>
  <c r="S131" i="26"/>
  <c r="R131" i="26"/>
  <c r="Q131" i="26"/>
  <c r="P131" i="26"/>
  <c r="O131" i="26"/>
  <c r="N131" i="26"/>
  <c r="M131" i="26"/>
  <c r="L131" i="26"/>
  <c r="K131" i="26"/>
  <c r="J131" i="26"/>
  <c r="I131" i="26"/>
  <c r="H131" i="26"/>
  <c r="G131" i="26"/>
  <c r="B131" i="26"/>
  <c r="A131" i="26"/>
  <c r="T130" i="26"/>
  <c r="S130" i="26"/>
  <c r="R130" i="26"/>
  <c r="Q130" i="26"/>
  <c r="P130" i="26"/>
  <c r="O130" i="26"/>
  <c r="N130" i="26"/>
  <c r="M130" i="26"/>
  <c r="L130" i="26"/>
  <c r="K130" i="26"/>
  <c r="J130" i="26"/>
  <c r="I130" i="26"/>
  <c r="H130" i="26"/>
  <c r="G130" i="26"/>
  <c r="B130" i="26"/>
  <c r="A130" i="26"/>
  <c r="T129" i="26"/>
  <c r="S129" i="26"/>
  <c r="R129" i="26"/>
  <c r="Q129" i="26"/>
  <c r="P129" i="26"/>
  <c r="O129" i="26"/>
  <c r="N129" i="26"/>
  <c r="M129" i="26"/>
  <c r="L129" i="26"/>
  <c r="K129" i="26"/>
  <c r="J129" i="26"/>
  <c r="I129" i="26"/>
  <c r="H129" i="26"/>
  <c r="G129" i="26"/>
  <c r="B129" i="26"/>
  <c r="A129" i="26"/>
  <c r="T128" i="26"/>
  <c r="S128" i="26"/>
  <c r="B128" i="26"/>
  <c r="A128" i="26"/>
  <c r="T127" i="26"/>
  <c r="S127" i="26"/>
  <c r="B127" i="26"/>
  <c r="A127" i="26"/>
  <c r="T126" i="26"/>
  <c r="S126" i="26"/>
  <c r="B126" i="26"/>
  <c r="A126" i="26"/>
  <c r="T125" i="26"/>
  <c r="S125" i="26"/>
  <c r="B125" i="26"/>
  <c r="A125" i="26"/>
  <c r="T124" i="26"/>
  <c r="S124" i="26"/>
  <c r="B124" i="26"/>
  <c r="A124" i="26"/>
  <c r="T123" i="26"/>
  <c r="S123" i="26"/>
  <c r="B123" i="26"/>
  <c r="A123" i="26"/>
  <c r="T122" i="26"/>
  <c r="S122" i="26"/>
  <c r="B122" i="26"/>
  <c r="A122" i="26"/>
  <c r="T121" i="26"/>
  <c r="S121" i="26"/>
  <c r="B121" i="26"/>
  <c r="A121" i="26"/>
  <c r="T120" i="26"/>
  <c r="S120" i="26"/>
  <c r="B120" i="26"/>
  <c r="A120" i="26"/>
  <c r="T119" i="26"/>
  <c r="S119" i="26"/>
  <c r="B119" i="26"/>
  <c r="A119" i="26"/>
  <c r="T118" i="26"/>
  <c r="S118" i="26"/>
  <c r="B118" i="26"/>
  <c r="A118" i="26"/>
  <c r="T117" i="26"/>
  <c r="S117" i="26"/>
  <c r="B117" i="26"/>
  <c r="A117" i="26"/>
  <c r="T116" i="26"/>
  <c r="S116" i="26"/>
  <c r="R116" i="26"/>
  <c r="Q116" i="26"/>
  <c r="P116" i="26"/>
  <c r="O116" i="26"/>
  <c r="N116" i="26"/>
  <c r="M116" i="26"/>
  <c r="L116" i="26"/>
  <c r="K116" i="26"/>
  <c r="J116" i="26"/>
  <c r="I116" i="26"/>
  <c r="H116" i="26"/>
  <c r="G116" i="26"/>
  <c r="B116" i="26"/>
  <c r="A116" i="26"/>
  <c r="T115" i="26"/>
  <c r="S115" i="26"/>
  <c r="B115" i="26"/>
  <c r="A115" i="26"/>
  <c r="T114" i="26"/>
  <c r="S114" i="26"/>
  <c r="B114" i="26"/>
  <c r="A114" i="26"/>
  <c r="T113" i="26"/>
  <c r="S113" i="26"/>
  <c r="B113" i="26"/>
  <c r="A113" i="26"/>
  <c r="T112" i="26"/>
  <c r="S112" i="26"/>
  <c r="B112" i="26"/>
  <c r="A112" i="26"/>
  <c r="T111" i="26"/>
  <c r="S111" i="26"/>
  <c r="B111" i="26"/>
  <c r="A111" i="26"/>
  <c r="T110" i="26"/>
  <c r="S110" i="26"/>
  <c r="B110" i="26"/>
  <c r="A110" i="26"/>
  <c r="T109" i="26"/>
  <c r="S109" i="26"/>
  <c r="B109" i="26"/>
  <c r="A109" i="26"/>
  <c r="T108" i="26"/>
  <c r="S108" i="26"/>
  <c r="B108" i="26"/>
  <c r="A108" i="26"/>
  <c r="T107" i="26"/>
  <c r="S107" i="26"/>
  <c r="B107" i="26"/>
  <c r="A107" i="26"/>
  <c r="T106" i="26"/>
  <c r="S106" i="26"/>
  <c r="R106" i="26"/>
  <c r="Q106" i="26"/>
  <c r="P106" i="26"/>
  <c r="O106" i="26"/>
  <c r="N106" i="26"/>
  <c r="M106" i="26"/>
  <c r="L106" i="26"/>
  <c r="K106" i="26"/>
  <c r="J106" i="26"/>
  <c r="I106" i="26"/>
  <c r="H106" i="26"/>
  <c r="G106" i="26"/>
  <c r="B106" i="26"/>
  <c r="A106" i="26"/>
  <c r="T105" i="26"/>
  <c r="S105" i="26"/>
  <c r="R105" i="26"/>
  <c r="Q105" i="26"/>
  <c r="P105" i="26"/>
  <c r="O105" i="26"/>
  <c r="N105" i="26"/>
  <c r="M105" i="26"/>
  <c r="L105" i="26"/>
  <c r="K105" i="26"/>
  <c r="J105" i="26"/>
  <c r="I105" i="26"/>
  <c r="H105" i="26"/>
  <c r="G105" i="26"/>
  <c r="B105" i="26"/>
  <c r="A105" i="26"/>
  <c r="T104" i="26"/>
  <c r="S104" i="26"/>
  <c r="B104" i="26"/>
  <c r="A104" i="26"/>
  <c r="T103" i="26"/>
  <c r="S103" i="26"/>
  <c r="B103" i="26"/>
  <c r="A103" i="26"/>
  <c r="T102" i="26"/>
  <c r="S102" i="26"/>
  <c r="B102" i="26"/>
  <c r="A102" i="26"/>
  <c r="T101" i="26"/>
  <c r="S101" i="26"/>
  <c r="B101" i="26"/>
  <c r="A101" i="26"/>
  <c r="T100" i="26"/>
  <c r="S100" i="26"/>
  <c r="B100" i="26"/>
  <c r="A100" i="26"/>
  <c r="T99" i="26"/>
  <c r="S99" i="26"/>
  <c r="B99" i="26"/>
  <c r="A99" i="26"/>
  <c r="T98" i="26"/>
  <c r="S98" i="26"/>
  <c r="B98" i="26"/>
  <c r="A98" i="26"/>
  <c r="T97" i="26"/>
  <c r="S97" i="26"/>
  <c r="B97" i="26"/>
  <c r="A97" i="26"/>
  <c r="T96" i="26"/>
  <c r="S96" i="26"/>
  <c r="B96" i="26"/>
  <c r="A96" i="26"/>
  <c r="T95" i="26"/>
  <c r="S95" i="26"/>
  <c r="R95" i="26"/>
  <c r="Q95" i="26"/>
  <c r="P95" i="26"/>
  <c r="O95" i="26"/>
  <c r="N95" i="26"/>
  <c r="M95" i="26"/>
  <c r="L95" i="26"/>
  <c r="K95" i="26"/>
  <c r="J95" i="26"/>
  <c r="I95" i="26"/>
  <c r="H95" i="26"/>
  <c r="G95" i="26"/>
  <c r="B95" i="26"/>
  <c r="A95" i="26"/>
  <c r="T94" i="26"/>
  <c r="S94" i="26"/>
  <c r="B94" i="26"/>
  <c r="A94" i="26"/>
  <c r="T93" i="26"/>
  <c r="S93" i="26"/>
  <c r="B93" i="26"/>
  <c r="A93" i="26"/>
  <c r="T92" i="26"/>
  <c r="S92" i="26"/>
  <c r="B92" i="26"/>
  <c r="A92" i="26"/>
  <c r="T91" i="26"/>
  <c r="S91" i="26"/>
  <c r="B91" i="26"/>
  <c r="A91" i="26"/>
  <c r="T90" i="26"/>
  <c r="S90" i="26"/>
  <c r="B90" i="26"/>
  <c r="A90" i="26"/>
  <c r="T89" i="26"/>
  <c r="S89" i="26"/>
  <c r="B89" i="26"/>
  <c r="A89" i="26"/>
  <c r="T88" i="26"/>
  <c r="S88" i="26"/>
  <c r="B88" i="26"/>
  <c r="A88" i="26"/>
  <c r="T87" i="26"/>
  <c r="S87" i="26"/>
  <c r="R87" i="26"/>
  <c r="Q87" i="26"/>
  <c r="P87" i="26"/>
  <c r="O87" i="26"/>
  <c r="N87" i="26"/>
  <c r="M87" i="26"/>
  <c r="L87" i="26"/>
  <c r="K87" i="26"/>
  <c r="J87" i="26"/>
  <c r="I87" i="26"/>
  <c r="H87" i="26"/>
  <c r="G87" i="26"/>
  <c r="B87" i="26"/>
  <c r="A87" i="26"/>
  <c r="T86" i="26"/>
  <c r="S86" i="26"/>
  <c r="R86" i="26"/>
  <c r="Q86" i="26"/>
  <c r="P86" i="26"/>
  <c r="O86" i="26"/>
  <c r="N86" i="26"/>
  <c r="M86" i="26"/>
  <c r="L86" i="26"/>
  <c r="K86" i="26"/>
  <c r="J86" i="26"/>
  <c r="I86" i="26"/>
  <c r="H86" i="26"/>
  <c r="G86" i="26"/>
  <c r="B86" i="26"/>
  <c r="A86" i="26"/>
  <c r="T85" i="26"/>
  <c r="T84" i="26"/>
  <c r="S84" i="26"/>
  <c r="R84" i="26"/>
  <c r="Q84" i="26"/>
  <c r="P84" i="26"/>
  <c r="O84" i="26"/>
  <c r="N84" i="26"/>
  <c r="M84" i="26"/>
  <c r="S83" i="26"/>
  <c r="B83" i="26"/>
  <c r="R82" i="26"/>
  <c r="Q82" i="26"/>
  <c r="P82" i="26"/>
  <c r="O82" i="26"/>
  <c r="N82" i="26"/>
  <c r="M82" i="26"/>
  <c r="L82" i="26"/>
  <c r="K82" i="26"/>
  <c r="J82" i="26"/>
  <c r="I82" i="26"/>
  <c r="H82" i="26"/>
  <c r="G82" i="26"/>
  <c r="T66" i="26"/>
  <c r="S66" i="26"/>
  <c r="R66" i="26"/>
  <c r="Q66" i="26"/>
  <c r="P66" i="26"/>
  <c r="O66" i="26"/>
  <c r="N66" i="26"/>
  <c r="M66" i="26"/>
  <c r="L66" i="26"/>
  <c r="K66" i="26"/>
  <c r="J66" i="26"/>
  <c r="I66" i="26"/>
  <c r="H66" i="26"/>
  <c r="G66" i="26"/>
  <c r="B66" i="26"/>
  <c r="T65" i="26"/>
  <c r="S65" i="26"/>
  <c r="T64" i="26"/>
  <c r="S64" i="26"/>
  <c r="B64" i="26"/>
  <c r="T63" i="26"/>
  <c r="S63" i="26"/>
  <c r="B63" i="26"/>
  <c r="T62" i="26"/>
  <c r="S62" i="26"/>
  <c r="B62" i="26"/>
  <c r="T61" i="26"/>
  <c r="S61" i="26"/>
  <c r="R61" i="26"/>
  <c r="Q61" i="26"/>
  <c r="P61" i="26"/>
  <c r="O61" i="26"/>
  <c r="N61" i="26"/>
  <c r="M61" i="26"/>
  <c r="L61" i="26"/>
  <c r="K61" i="26"/>
  <c r="J61" i="26"/>
  <c r="I61" i="26"/>
  <c r="H61" i="26"/>
  <c r="G61" i="26"/>
  <c r="B61" i="26"/>
  <c r="T60" i="26"/>
  <c r="S60" i="26"/>
  <c r="R60" i="26"/>
  <c r="Q60" i="26"/>
  <c r="P60" i="26"/>
  <c r="O60" i="26"/>
  <c r="N60" i="26"/>
  <c r="M60" i="26"/>
  <c r="L60" i="26"/>
  <c r="K60" i="26"/>
  <c r="J60" i="26"/>
  <c r="I60" i="26"/>
  <c r="H60" i="26"/>
  <c r="G60" i="26"/>
  <c r="B60" i="26"/>
  <c r="T59" i="26"/>
  <c r="S59" i="26"/>
  <c r="B59" i="26"/>
  <c r="T58" i="26"/>
  <c r="S58" i="26"/>
  <c r="B58" i="26"/>
  <c r="T57" i="26"/>
  <c r="S57" i="26"/>
  <c r="B57" i="26"/>
  <c r="T56" i="26"/>
  <c r="S56" i="26"/>
  <c r="B56" i="26"/>
  <c r="T55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B55" i="26"/>
  <c r="T54" i="26"/>
  <c r="S54" i="26"/>
  <c r="R54" i="26"/>
  <c r="Q54" i="26"/>
  <c r="P54" i="26"/>
  <c r="O54" i="26"/>
  <c r="N54" i="26"/>
  <c r="M54" i="26"/>
  <c r="L54" i="26"/>
  <c r="K54" i="26"/>
  <c r="J54" i="26"/>
  <c r="I54" i="26"/>
  <c r="H54" i="26"/>
  <c r="G54" i="26"/>
  <c r="B54" i="26"/>
  <c r="T53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B53" i="26"/>
  <c r="T52" i="26"/>
  <c r="S52" i="26"/>
  <c r="B52" i="26"/>
  <c r="T51" i="26"/>
  <c r="S51" i="26"/>
  <c r="B51" i="26"/>
  <c r="T50" i="26"/>
  <c r="S50" i="26"/>
  <c r="B50" i="26"/>
  <c r="T49" i="26"/>
  <c r="S49" i="26"/>
  <c r="B49" i="26"/>
  <c r="T48" i="26"/>
  <c r="S48" i="26"/>
  <c r="B48" i="26"/>
  <c r="T47" i="26"/>
  <c r="S47" i="26"/>
  <c r="B47" i="26"/>
  <c r="T46" i="26"/>
  <c r="S46" i="26"/>
  <c r="B46" i="26"/>
  <c r="T45" i="26"/>
  <c r="S45" i="26"/>
  <c r="B45" i="26"/>
  <c r="T44" i="26"/>
  <c r="S44" i="26"/>
  <c r="B44" i="26"/>
  <c r="T43" i="26"/>
  <c r="S43" i="26"/>
  <c r="B43" i="26"/>
  <c r="T42" i="26"/>
  <c r="S42" i="26"/>
  <c r="B42" i="26"/>
  <c r="T41" i="26"/>
  <c r="S41" i="26"/>
  <c r="B41" i="26"/>
  <c r="T40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B40" i="26"/>
  <c r="T39" i="26"/>
  <c r="S39" i="26"/>
  <c r="B39" i="26"/>
  <c r="T38" i="26"/>
  <c r="S38" i="26"/>
  <c r="B38" i="26"/>
  <c r="T37" i="26"/>
  <c r="S37" i="26"/>
  <c r="B37" i="26"/>
  <c r="T36" i="26"/>
  <c r="S36" i="26"/>
  <c r="B36" i="26"/>
  <c r="T35" i="26"/>
  <c r="S35" i="26"/>
  <c r="B35" i="26"/>
  <c r="T34" i="26"/>
  <c r="S34" i="26"/>
  <c r="B34" i="26"/>
  <c r="T33" i="26"/>
  <c r="S33" i="26"/>
  <c r="B33" i="26"/>
  <c r="T32" i="26"/>
  <c r="S32" i="26"/>
  <c r="B32" i="26"/>
  <c r="T31" i="26"/>
  <c r="S31" i="26"/>
  <c r="B31" i="26"/>
  <c r="T30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B30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B29" i="26"/>
  <c r="T28" i="26"/>
  <c r="S28" i="26"/>
  <c r="B28" i="26"/>
  <c r="T27" i="26"/>
  <c r="S27" i="26"/>
  <c r="B27" i="26"/>
  <c r="T26" i="26"/>
  <c r="S26" i="26"/>
  <c r="B26" i="26"/>
  <c r="T25" i="26"/>
  <c r="S25" i="26"/>
  <c r="B25" i="26"/>
  <c r="T24" i="26"/>
  <c r="S24" i="26"/>
  <c r="B24" i="26"/>
  <c r="T23" i="26"/>
  <c r="S23" i="26"/>
  <c r="B23" i="26"/>
  <c r="T22" i="26"/>
  <c r="S22" i="26"/>
  <c r="B22" i="26"/>
  <c r="T21" i="26"/>
  <c r="S21" i="26"/>
  <c r="B21" i="26"/>
  <c r="T20" i="26"/>
  <c r="S20" i="26"/>
  <c r="B20" i="26"/>
  <c r="T19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B19" i="26"/>
  <c r="T18" i="26"/>
  <c r="S18" i="26"/>
  <c r="B18" i="26"/>
  <c r="T17" i="26"/>
  <c r="S17" i="26"/>
  <c r="B17" i="26"/>
  <c r="T16" i="26"/>
  <c r="S16" i="26"/>
  <c r="B16" i="26"/>
  <c r="T15" i="26"/>
  <c r="S15" i="26"/>
  <c r="B15" i="26"/>
  <c r="T14" i="26"/>
  <c r="S14" i="26"/>
  <c r="B14" i="26"/>
  <c r="T13" i="26"/>
  <c r="S13" i="26"/>
  <c r="B13" i="26"/>
  <c r="T12" i="26"/>
  <c r="S12" i="26"/>
  <c r="B12" i="26"/>
  <c r="T11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B11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B10" i="26"/>
  <c r="T9" i="26"/>
  <c r="S8" i="26"/>
  <c r="R8" i="26"/>
  <c r="Q8" i="26"/>
  <c r="P8" i="26"/>
  <c r="O8" i="26"/>
  <c r="N8" i="26"/>
  <c r="M8" i="26"/>
  <c r="L8" i="26"/>
  <c r="L84" i="26" s="1"/>
  <c r="K8" i="26"/>
  <c r="K84" i="26" s="1"/>
  <c r="J8" i="26"/>
  <c r="J84" i="26" s="1"/>
  <c r="I8" i="26"/>
  <c r="I84" i="26" s="1"/>
  <c r="H8" i="26"/>
  <c r="H84" i="26" s="1"/>
  <c r="G8" i="26"/>
  <c r="G84" i="26" s="1"/>
  <c r="S7" i="26"/>
  <c r="B7" i="26"/>
  <c r="R5" i="26"/>
  <c r="Q5" i="26"/>
  <c r="P5" i="26"/>
  <c r="O5" i="26"/>
  <c r="N5" i="26"/>
  <c r="M5" i="26"/>
  <c r="L5" i="26"/>
  <c r="K5" i="26"/>
  <c r="J5" i="26"/>
  <c r="I5" i="26"/>
  <c r="H5" i="26"/>
  <c r="G5" i="26"/>
  <c r="E4" i="26"/>
  <c r="E3" i="26"/>
  <c r="E2" i="26"/>
  <c r="E21" i="1"/>
  <c r="D21" i="1"/>
  <c r="E17" i="1"/>
  <c r="D17" i="1"/>
  <c r="E13" i="1"/>
  <c r="E4" i="1"/>
  <c r="E3" i="1"/>
  <c r="E2" i="1"/>
  <c r="T67" i="3"/>
  <c r="S67" i="3"/>
  <c r="Q67" i="3"/>
  <c r="P67" i="3"/>
  <c r="M67" i="3"/>
  <c r="L67" i="3"/>
  <c r="J67" i="3"/>
  <c r="I67" i="3"/>
  <c r="B67" i="3"/>
  <c r="T66" i="3"/>
  <c r="S66" i="3"/>
  <c r="Q66" i="3"/>
  <c r="P66" i="3"/>
  <c r="M66" i="3"/>
  <c r="L66" i="3"/>
  <c r="J66" i="3"/>
  <c r="I66" i="3"/>
  <c r="B66" i="3"/>
  <c r="T65" i="3"/>
  <c r="S65" i="3"/>
  <c r="Q65" i="3"/>
  <c r="P65" i="3"/>
  <c r="M65" i="3"/>
  <c r="L65" i="3"/>
  <c r="J65" i="3"/>
  <c r="I65" i="3"/>
  <c r="B65" i="3"/>
  <c r="T64" i="3"/>
  <c r="S64" i="3"/>
  <c r="Q64" i="3"/>
  <c r="P64" i="3"/>
  <c r="M64" i="3"/>
  <c r="L64" i="3"/>
  <c r="J64" i="3"/>
  <c r="I64" i="3"/>
  <c r="B64" i="3"/>
  <c r="T63" i="3"/>
  <c r="S63" i="3"/>
  <c r="Q63" i="3"/>
  <c r="P63" i="3"/>
  <c r="M63" i="3"/>
  <c r="L63" i="3"/>
  <c r="J63" i="3"/>
  <c r="I63" i="3"/>
  <c r="B63" i="3"/>
  <c r="T62" i="3"/>
  <c r="S62" i="3"/>
  <c r="Q62" i="3"/>
  <c r="P62" i="3"/>
  <c r="M62" i="3"/>
  <c r="L62" i="3"/>
  <c r="J62" i="3"/>
  <c r="I62" i="3"/>
  <c r="B62" i="3"/>
  <c r="M61" i="3"/>
  <c r="L61" i="3"/>
  <c r="J61" i="3"/>
  <c r="I61" i="3"/>
  <c r="B61" i="3"/>
  <c r="T60" i="3"/>
  <c r="S60" i="3"/>
  <c r="Q60" i="3"/>
  <c r="P60" i="3"/>
  <c r="M60" i="3"/>
  <c r="L60" i="3"/>
  <c r="J60" i="3"/>
  <c r="I60" i="3"/>
  <c r="B60" i="3"/>
  <c r="T59" i="3"/>
  <c r="S59" i="3"/>
  <c r="Q59" i="3"/>
  <c r="P59" i="3"/>
  <c r="M59" i="3"/>
  <c r="L59" i="3"/>
  <c r="J59" i="3"/>
  <c r="I59" i="3"/>
  <c r="B59" i="3"/>
  <c r="T58" i="3"/>
  <c r="S58" i="3"/>
  <c r="Q58" i="3"/>
  <c r="P58" i="3"/>
  <c r="M58" i="3"/>
  <c r="L58" i="3"/>
  <c r="J58" i="3"/>
  <c r="I58" i="3"/>
  <c r="B58" i="3"/>
  <c r="T57" i="3"/>
  <c r="S57" i="3"/>
  <c r="Q57" i="3"/>
  <c r="P57" i="3"/>
  <c r="M57" i="3"/>
  <c r="L57" i="3"/>
  <c r="J57" i="3"/>
  <c r="I57" i="3"/>
  <c r="B57" i="3"/>
  <c r="T56" i="3"/>
  <c r="S56" i="3"/>
  <c r="Q56" i="3"/>
  <c r="P56" i="3"/>
  <c r="M56" i="3"/>
  <c r="L56" i="3"/>
  <c r="J56" i="3"/>
  <c r="I56" i="3"/>
  <c r="B56" i="3"/>
  <c r="T55" i="3"/>
  <c r="S55" i="3"/>
  <c r="Q55" i="3"/>
  <c r="P55" i="3"/>
  <c r="M55" i="3"/>
  <c r="L55" i="3"/>
  <c r="J55" i="3"/>
  <c r="I55" i="3"/>
  <c r="B55" i="3"/>
  <c r="T54" i="3"/>
  <c r="S54" i="3"/>
  <c r="Q54" i="3"/>
  <c r="P54" i="3"/>
  <c r="M54" i="3"/>
  <c r="L54" i="3"/>
  <c r="J54" i="3"/>
  <c r="I54" i="3"/>
  <c r="B54" i="3"/>
  <c r="T53" i="3"/>
  <c r="S53" i="3"/>
  <c r="Q53" i="3"/>
  <c r="P53" i="3"/>
  <c r="M53" i="3"/>
  <c r="L53" i="3"/>
  <c r="J53" i="3"/>
  <c r="I53" i="3"/>
  <c r="B53" i="3"/>
  <c r="T52" i="3"/>
  <c r="S52" i="3"/>
  <c r="Q52" i="3"/>
  <c r="P52" i="3"/>
  <c r="M52" i="3"/>
  <c r="L52" i="3"/>
  <c r="J52" i="3"/>
  <c r="I52" i="3"/>
  <c r="B52" i="3"/>
  <c r="T51" i="3"/>
  <c r="S51" i="3"/>
  <c r="Q51" i="3"/>
  <c r="P51" i="3"/>
  <c r="M51" i="3"/>
  <c r="L51" i="3"/>
  <c r="J51" i="3"/>
  <c r="I51" i="3"/>
  <c r="B51" i="3"/>
  <c r="T50" i="3"/>
  <c r="S50" i="3"/>
  <c r="Q50" i="3"/>
  <c r="P50" i="3"/>
  <c r="M50" i="3"/>
  <c r="L50" i="3"/>
  <c r="J50" i="3"/>
  <c r="I50" i="3"/>
  <c r="B50" i="3"/>
  <c r="T49" i="3"/>
  <c r="S49" i="3"/>
  <c r="Q49" i="3"/>
  <c r="P49" i="3"/>
  <c r="M49" i="3"/>
  <c r="L49" i="3"/>
  <c r="J49" i="3"/>
  <c r="I49" i="3"/>
  <c r="B49" i="3"/>
  <c r="T48" i="3"/>
  <c r="S48" i="3"/>
  <c r="Q48" i="3"/>
  <c r="P48" i="3"/>
  <c r="M48" i="3"/>
  <c r="L48" i="3"/>
  <c r="J48" i="3"/>
  <c r="I48" i="3"/>
  <c r="B48" i="3"/>
  <c r="T47" i="3"/>
  <c r="S47" i="3"/>
  <c r="Q47" i="3"/>
  <c r="P47" i="3"/>
  <c r="M47" i="3"/>
  <c r="L47" i="3"/>
  <c r="J47" i="3"/>
  <c r="I47" i="3"/>
  <c r="B47" i="3"/>
  <c r="T46" i="3"/>
  <c r="S46" i="3"/>
  <c r="Q46" i="3"/>
  <c r="P46" i="3"/>
  <c r="M46" i="3"/>
  <c r="L46" i="3"/>
  <c r="J46" i="3"/>
  <c r="I46" i="3"/>
  <c r="B46" i="3"/>
  <c r="T45" i="3"/>
  <c r="S45" i="3"/>
  <c r="Q45" i="3"/>
  <c r="P45" i="3"/>
  <c r="M45" i="3"/>
  <c r="L45" i="3"/>
  <c r="J45" i="3"/>
  <c r="I45" i="3"/>
  <c r="B45" i="3"/>
  <c r="T44" i="3"/>
  <c r="S44" i="3"/>
  <c r="Q44" i="3"/>
  <c r="P44" i="3"/>
  <c r="M44" i="3"/>
  <c r="L44" i="3"/>
  <c r="J44" i="3"/>
  <c r="I44" i="3"/>
  <c r="B44" i="3"/>
  <c r="T43" i="3"/>
  <c r="S43" i="3"/>
  <c r="Q43" i="3"/>
  <c r="P43" i="3"/>
  <c r="M43" i="3"/>
  <c r="L43" i="3"/>
  <c r="J43" i="3"/>
  <c r="I43" i="3"/>
  <c r="B43" i="3"/>
  <c r="T42" i="3"/>
  <c r="S42" i="3"/>
  <c r="Q42" i="3"/>
  <c r="P42" i="3"/>
  <c r="M42" i="3"/>
  <c r="L42" i="3"/>
  <c r="J42" i="3"/>
  <c r="I42" i="3"/>
  <c r="B42" i="3"/>
  <c r="T41" i="3"/>
  <c r="S41" i="3"/>
  <c r="Q41" i="3"/>
  <c r="P41" i="3"/>
  <c r="M41" i="3"/>
  <c r="L41" i="3"/>
  <c r="J41" i="3"/>
  <c r="I41" i="3"/>
  <c r="B41" i="3"/>
  <c r="T40" i="3"/>
  <c r="S40" i="3"/>
  <c r="Q40" i="3"/>
  <c r="P40" i="3"/>
  <c r="M40" i="3"/>
  <c r="L40" i="3"/>
  <c r="J40" i="3"/>
  <c r="I40" i="3"/>
  <c r="B40" i="3"/>
  <c r="T39" i="3"/>
  <c r="S39" i="3"/>
  <c r="Q39" i="3"/>
  <c r="P39" i="3"/>
  <c r="M39" i="3"/>
  <c r="L39" i="3"/>
  <c r="J39" i="3"/>
  <c r="I39" i="3"/>
  <c r="B39" i="3"/>
  <c r="T38" i="3"/>
  <c r="S38" i="3"/>
  <c r="Q38" i="3"/>
  <c r="P38" i="3"/>
  <c r="M38" i="3"/>
  <c r="L38" i="3"/>
  <c r="J38" i="3"/>
  <c r="I38" i="3"/>
  <c r="B38" i="3"/>
  <c r="T37" i="3"/>
  <c r="S37" i="3"/>
  <c r="Q37" i="3"/>
  <c r="P37" i="3"/>
  <c r="M37" i="3"/>
  <c r="L37" i="3"/>
  <c r="J37" i="3"/>
  <c r="I37" i="3"/>
  <c r="B37" i="3"/>
  <c r="T36" i="3"/>
  <c r="S36" i="3"/>
  <c r="Q36" i="3"/>
  <c r="P36" i="3"/>
  <c r="M36" i="3"/>
  <c r="L36" i="3"/>
  <c r="J36" i="3"/>
  <c r="I36" i="3"/>
  <c r="B36" i="3"/>
  <c r="T35" i="3"/>
  <c r="S35" i="3"/>
  <c r="Q35" i="3"/>
  <c r="P35" i="3"/>
  <c r="M35" i="3"/>
  <c r="L35" i="3"/>
  <c r="J35" i="3"/>
  <c r="I35" i="3"/>
  <c r="B35" i="3"/>
  <c r="T34" i="3"/>
  <c r="S34" i="3"/>
  <c r="Q34" i="3"/>
  <c r="P34" i="3"/>
  <c r="M34" i="3"/>
  <c r="L34" i="3"/>
  <c r="J34" i="3"/>
  <c r="I34" i="3"/>
  <c r="B34" i="3"/>
  <c r="T33" i="3"/>
  <c r="S33" i="3"/>
  <c r="Q33" i="3"/>
  <c r="P33" i="3"/>
  <c r="M33" i="3"/>
  <c r="L33" i="3"/>
  <c r="J33" i="3"/>
  <c r="I33" i="3"/>
  <c r="B33" i="3"/>
  <c r="T32" i="3"/>
  <c r="S32" i="3"/>
  <c r="Q32" i="3"/>
  <c r="P32" i="3"/>
  <c r="M32" i="3"/>
  <c r="L32" i="3"/>
  <c r="J32" i="3"/>
  <c r="I32" i="3"/>
  <c r="B32" i="3"/>
  <c r="T31" i="3"/>
  <c r="S31" i="3"/>
  <c r="Q31" i="3"/>
  <c r="P31" i="3"/>
  <c r="M31" i="3"/>
  <c r="L31" i="3"/>
  <c r="J31" i="3"/>
  <c r="I31" i="3"/>
  <c r="B31" i="3"/>
  <c r="T30" i="3"/>
  <c r="S30" i="3"/>
  <c r="Q30" i="3"/>
  <c r="P30" i="3"/>
  <c r="M30" i="3"/>
  <c r="L30" i="3"/>
  <c r="J30" i="3"/>
  <c r="I30" i="3"/>
  <c r="B30" i="3"/>
  <c r="T29" i="3"/>
  <c r="S29" i="3"/>
  <c r="Q29" i="3"/>
  <c r="P29" i="3"/>
  <c r="M29" i="3"/>
  <c r="L29" i="3"/>
  <c r="J29" i="3"/>
  <c r="I29" i="3"/>
  <c r="B29" i="3"/>
  <c r="T28" i="3"/>
  <c r="S28" i="3"/>
  <c r="Q28" i="3"/>
  <c r="P28" i="3"/>
  <c r="M28" i="3"/>
  <c r="L28" i="3"/>
  <c r="J28" i="3"/>
  <c r="I28" i="3"/>
  <c r="B28" i="3"/>
  <c r="T27" i="3"/>
  <c r="S27" i="3"/>
  <c r="Q27" i="3"/>
  <c r="P27" i="3"/>
  <c r="M27" i="3"/>
  <c r="L27" i="3"/>
  <c r="J27" i="3"/>
  <c r="I27" i="3"/>
  <c r="B27" i="3"/>
  <c r="T26" i="3"/>
  <c r="S26" i="3"/>
  <c r="Q26" i="3"/>
  <c r="P26" i="3"/>
  <c r="M26" i="3"/>
  <c r="L26" i="3"/>
  <c r="J26" i="3"/>
  <c r="I26" i="3"/>
  <c r="B26" i="3"/>
  <c r="T25" i="3"/>
  <c r="S25" i="3"/>
  <c r="Q25" i="3"/>
  <c r="P25" i="3"/>
  <c r="M25" i="3"/>
  <c r="L25" i="3"/>
  <c r="J25" i="3"/>
  <c r="I25" i="3"/>
  <c r="B25" i="3"/>
  <c r="T24" i="3"/>
  <c r="S24" i="3"/>
  <c r="Q24" i="3"/>
  <c r="P24" i="3"/>
  <c r="M24" i="3"/>
  <c r="L24" i="3"/>
  <c r="J24" i="3"/>
  <c r="I24" i="3"/>
  <c r="B24" i="3"/>
  <c r="T23" i="3"/>
  <c r="S23" i="3"/>
  <c r="Q23" i="3"/>
  <c r="P23" i="3"/>
  <c r="M23" i="3"/>
  <c r="L23" i="3"/>
  <c r="J23" i="3"/>
  <c r="I23" i="3"/>
  <c r="B23" i="3"/>
  <c r="T22" i="3"/>
  <c r="S22" i="3"/>
  <c r="Q22" i="3"/>
  <c r="P22" i="3"/>
  <c r="M22" i="3"/>
  <c r="L22" i="3"/>
  <c r="J22" i="3"/>
  <c r="I22" i="3"/>
  <c r="B22" i="3"/>
  <c r="T21" i="3"/>
  <c r="S21" i="3"/>
  <c r="Q21" i="3"/>
  <c r="P21" i="3"/>
  <c r="M21" i="3"/>
  <c r="L21" i="3"/>
  <c r="J21" i="3"/>
  <c r="I21" i="3"/>
  <c r="B21" i="3"/>
  <c r="T20" i="3"/>
  <c r="S20" i="3"/>
  <c r="Q20" i="3"/>
  <c r="P20" i="3"/>
  <c r="M20" i="3"/>
  <c r="L20" i="3"/>
  <c r="J20" i="3"/>
  <c r="I20" i="3"/>
  <c r="B20" i="3"/>
  <c r="T19" i="3"/>
  <c r="S19" i="3"/>
  <c r="Q19" i="3"/>
  <c r="P19" i="3"/>
  <c r="M19" i="3"/>
  <c r="L19" i="3"/>
  <c r="J19" i="3"/>
  <c r="I19" i="3"/>
  <c r="B19" i="3"/>
  <c r="T18" i="3"/>
  <c r="S18" i="3"/>
  <c r="Q18" i="3"/>
  <c r="P18" i="3"/>
  <c r="M18" i="3"/>
  <c r="L18" i="3"/>
  <c r="J18" i="3"/>
  <c r="I18" i="3"/>
  <c r="B18" i="3"/>
  <c r="T17" i="3"/>
  <c r="S17" i="3"/>
  <c r="Q17" i="3"/>
  <c r="P17" i="3"/>
  <c r="M17" i="3"/>
  <c r="L17" i="3"/>
  <c r="J17" i="3"/>
  <c r="I17" i="3"/>
  <c r="B17" i="3"/>
  <c r="T16" i="3"/>
  <c r="S16" i="3"/>
  <c r="Q16" i="3"/>
  <c r="P16" i="3"/>
  <c r="M16" i="3"/>
  <c r="L16" i="3"/>
  <c r="J16" i="3"/>
  <c r="I16" i="3"/>
  <c r="B16" i="3"/>
  <c r="T15" i="3"/>
  <c r="S15" i="3"/>
  <c r="Q15" i="3"/>
  <c r="P15" i="3"/>
  <c r="M15" i="3"/>
  <c r="L15" i="3"/>
  <c r="J15" i="3"/>
  <c r="I15" i="3"/>
  <c r="B15" i="3"/>
  <c r="T14" i="3"/>
  <c r="S14" i="3"/>
  <c r="Q14" i="3"/>
  <c r="P14" i="3"/>
  <c r="M14" i="3"/>
  <c r="L14" i="3"/>
  <c r="J14" i="3"/>
  <c r="I14" i="3"/>
  <c r="B14" i="3"/>
  <c r="T13" i="3"/>
  <c r="S13" i="3"/>
  <c r="Q13" i="3"/>
  <c r="P13" i="3"/>
  <c r="M13" i="3"/>
  <c r="L13" i="3"/>
  <c r="J13" i="3"/>
  <c r="I13" i="3"/>
  <c r="B13" i="3"/>
  <c r="T12" i="3"/>
  <c r="S12" i="3"/>
  <c r="Q12" i="3"/>
  <c r="P12" i="3"/>
  <c r="M12" i="3"/>
  <c r="L12" i="3"/>
  <c r="J12" i="3"/>
  <c r="I12" i="3"/>
  <c r="B12" i="3"/>
  <c r="T11" i="3"/>
  <c r="S11" i="3"/>
  <c r="Q11" i="3"/>
  <c r="P11" i="3"/>
  <c r="M11" i="3"/>
  <c r="L11" i="3"/>
  <c r="J11" i="3"/>
  <c r="I11" i="3"/>
  <c r="B11" i="3"/>
  <c r="T10" i="3"/>
  <c r="S10" i="3"/>
  <c r="Q10" i="3"/>
  <c r="P10" i="3"/>
  <c r="M10" i="3"/>
  <c r="L10" i="3"/>
  <c r="J10" i="3"/>
  <c r="I10" i="3"/>
  <c r="B10" i="3"/>
  <c r="S8" i="3"/>
  <c r="P8" i="3"/>
  <c r="O8" i="3"/>
  <c r="N8" i="3"/>
  <c r="L8" i="3"/>
  <c r="I8" i="3"/>
  <c r="H8" i="3"/>
  <c r="G8" i="3"/>
  <c r="N7" i="3"/>
  <c r="R6" i="3"/>
  <c r="N6" i="3"/>
  <c r="O6" i="3" s="1"/>
  <c r="E4" i="3"/>
  <c r="E3" i="3"/>
  <c r="E2" i="3"/>
  <c r="B66" i="11"/>
  <c r="B65" i="11"/>
  <c r="B64" i="11"/>
  <c r="T63" i="11"/>
  <c r="B63" i="11"/>
  <c r="B62" i="11"/>
  <c r="B61" i="11"/>
  <c r="B60" i="11"/>
  <c r="B59" i="11"/>
  <c r="B58" i="11"/>
  <c r="B57" i="11"/>
  <c r="P56" i="11"/>
  <c r="B56" i="11"/>
  <c r="B55" i="11"/>
  <c r="B54" i="11"/>
  <c r="B53" i="11"/>
  <c r="Q52" i="11"/>
  <c r="P52" i="11"/>
  <c r="G52" i="11"/>
  <c r="M52" i="11" s="1"/>
  <c r="B52" i="11"/>
  <c r="S51" i="11"/>
  <c r="Q51" i="11"/>
  <c r="P51" i="11"/>
  <c r="B51" i="11"/>
  <c r="B50" i="11"/>
  <c r="B49" i="11"/>
  <c r="B48" i="11"/>
  <c r="B47" i="11"/>
  <c r="B46" i="11"/>
  <c r="S45" i="11"/>
  <c r="Q45" i="11"/>
  <c r="P45" i="11"/>
  <c r="B45" i="11"/>
  <c r="T44" i="11"/>
  <c r="P44" i="11"/>
  <c r="B44" i="11"/>
  <c r="T43" i="11"/>
  <c r="S43" i="11"/>
  <c r="Q43" i="11"/>
  <c r="P43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T27" i="11"/>
  <c r="S27" i="11"/>
  <c r="Q27" i="11"/>
  <c r="P27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S8" i="11"/>
  <c r="P8" i="11"/>
  <c r="O8" i="11"/>
  <c r="N8" i="11"/>
  <c r="L8" i="11"/>
  <c r="I8" i="11"/>
  <c r="H8" i="11"/>
  <c r="G8" i="11"/>
  <c r="R6" i="11"/>
  <c r="N6" i="11"/>
  <c r="O6" i="11" s="1"/>
  <c r="E4" i="11"/>
  <c r="E3" i="11"/>
  <c r="E2" i="11"/>
  <c r="O29" i="28" l="1"/>
  <c r="N29" i="11" s="1"/>
  <c r="N30" i="11"/>
  <c r="O10" i="28"/>
  <c r="N10" i="11" s="1"/>
  <c r="N19" i="11"/>
  <c r="G64" i="11"/>
  <c r="M64" i="11" s="1"/>
  <c r="G48" i="11"/>
  <c r="L48" i="11" s="1"/>
  <c r="N29" i="28"/>
  <c r="T90" i="28"/>
  <c r="T95" i="28"/>
  <c r="T100" i="28"/>
  <c r="T105" i="28"/>
  <c r="T110" i="28"/>
  <c r="T115" i="28"/>
  <c r="T120" i="28"/>
  <c r="T125" i="28"/>
  <c r="T130" i="28"/>
  <c r="T138" i="28"/>
  <c r="T141" i="28"/>
  <c r="T88" i="28"/>
  <c r="T93" i="28"/>
  <c r="T98" i="28"/>
  <c r="T103" i="28"/>
  <c r="T108" i="28"/>
  <c r="T113" i="28"/>
  <c r="T118" i="28"/>
  <c r="T123" i="28"/>
  <c r="T128" i="28"/>
  <c r="T133" i="28"/>
  <c r="T136" i="28"/>
  <c r="T86" i="28"/>
  <c r="T91" i="28"/>
  <c r="T96" i="28"/>
  <c r="T101" i="28"/>
  <c r="T106" i="28"/>
  <c r="T111" i="28"/>
  <c r="T116" i="28"/>
  <c r="T121" i="28"/>
  <c r="T126" i="28"/>
  <c r="T131" i="28"/>
  <c r="T139" i="28"/>
  <c r="G44" i="11"/>
  <c r="L44" i="11" s="1"/>
  <c r="G20" i="11"/>
  <c r="I20" i="11" s="1"/>
  <c r="G24" i="11"/>
  <c r="L24" i="11" s="1"/>
  <c r="N10" i="28"/>
  <c r="G43" i="11"/>
  <c r="I43" i="11" s="1"/>
  <c r="G42" i="11"/>
  <c r="M42" i="11" s="1"/>
  <c r="G65" i="11"/>
  <c r="M65" i="11" s="1"/>
  <c r="G51" i="11"/>
  <c r="M51" i="11" s="1"/>
  <c r="M29" i="28"/>
  <c r="Q46" i="11"/>
  <c r="S46" i="11"/>
  <c r="M10" i="28"/>
  <c r="P62" i="11"/>
  <c r="G62" i="11"/>
  <c r="L62" i="11" s="1"/>
  <c r="P59" i="11"/>
  <c r="G26" i="11"/>
  <c r="J26" i="11" s="1"/>
  <c r="G28" i="11"/>
  <c r="J28" i="11" s="1"/>
  <c r="Q62" i="11"/>
  <c r="S62" i="11"/>
  <c r="G59" i="11"/>
  <c r="J59" i="11" s="1"/>
  <c r="Q59" i="11"/>
  <c r="G56" i="11"/>
  <c r="J56" i="11" s="1"/>
  <c r="S59" i="11"/>
  <c r="G57" i="11"/>
  <c r="M57" i="11" s="1"/>
  <c r="T56" i="11"/>
  <c r="Q44" i="11"/>
  <c r="T52" i="11"/>
  <c r="T51" i="11"/>
  <c r="G45" i="11"/>
  <c r="I45" i="11" s="1"/>
  <c r="I52" i="11"/>
  <c r="T48" i="11"/>
  <c r="T45" i="11"/>
  <c r="L29" i="28"/>
  <c r="T28" i="11"/>
  <c r="T24" i="11"/>
  <c r="S55" i="29"/>
  <c r="T55" i="29" s="1"/>
  <c r="M48" i="11"/>
  <c r="S52" i="11"/>
  <c r="K53" i="29"/>
  <c r="K54" i="29" s="1"/>
  <c r="L53" i="29"/>
  <c r="S30" i="29"/>
  <c r="T30" i="29" s="1"/>
  <c r="R53" i="29"/>
  <c r="R54" i="29" s="1"/>
  <c r="J53" i="29"/>
  <c r="J54" i="29" s="1"/>
  <c r="I53" i="29"/>
  <c r="I60" i="29" s="1"/>
  <c r="I66" i="29" s="1"/>
  <c r="I61" i="29" s="1"/>
  <c r="G29" i="29"/>
  <c r="M53" i="29"/>
  <c r="M60" i="29" s="1"/>
  <c r="M66" i="29" s="1"/>
  <c r="M61" i="29" s="1"/>
  <c r="H53" i="29"/>
  <c r="H60" i="29" s="1"/>
  <c r="H66" i="29" s="1"/>
  <c r="H61" i="29" s="1"/>
  <c r="N10" i="29"/>
  <c r="N53" i="29" s="1"/>
  <c r="N54" i="29" s="1"/>
  <c r="O10" i="29"/>
  <c r="O53" i="29" s="1"/>
  <c r="O60" i="29" s="1"/>
  <c r="O66" i="29" s="1"/>
  <c r="O61" i="29" s="1"/>
  <c r="S19" i="29"/>
  <c r="T19" i="29" s="1"/>
  <c r="P10" i="29"/>
  <c r="P53" i="29" s="1"/>
  <c r="P54" i="29" s="1"/>
  <c r="G10" i="29"/>
  <c r="Q10" i="29"/>
  <c r="Q53" i="29" s="1"/>
  <c r="Q60" i="29" s="1"/>
  <c r="Q66" i="29" s="1"/>
  <c r="Q61" i="29" s="1"/>
  <c r="L60" i="29"/>
  <c r="L54" i="29"/>
  <c r="J60" i="29"/>
  <c r="J66" i="29" s="1"/>
  <c r="J61" i="29" s="1"/>
  <c r="K60" i="29"/>
  <c r="K66" i="29" s="1"/>
  <c r="K61" i="29" s="1"/>
  <c r="S11" i="29"/>
  <c r="T11" i="29" s="1"/>
  <c r="S63" i="11"/>
  <c r="G63" i="11"/>
  <c r="L63" i="11" s="1"/>
  <c r="G41" i="11"/>
  <c r="M41" i="11" s="1"/>
  <c r="G49" i="11"/>
  <c r="L49" i="11" s="1"/>
  <c r="G25" i="11"/>
  <c r="L25" i="11" s="1"/>
  <c r="I44" i="11"/>
  <c r="S40" i="28"/>
  <c r="G40" i="11" s="1"/>
  <c r="G46" i="11"/>
  <c r="M46" i="11" s="1"/>
  <c r="G50" i="11"/>
  <c r="L50" i="11" s="1"/>
  <c r="J52" i="11"/>
  <c r="L52" i="11"/>
  <c r="S55" i="28"/>
  <c r="T55" i="28" s="1"/>
  <c r="G58" i="11"/>
  <c r="M58" i="11" s="1"/>
  <c r="Q55" i="11"/>
  <c r="T55" i="11"/>
  <c r="T47" i="11"/>
  <c r="T40" i="11"/>
  <c r="G27" i="11"/>
  <c r="J27" i="11" s="1"/>
  <c r="J24" i="11"/>
  <c r="Q28" i="11"/>
  <c r="S28" i="11"/>
  <c r="L11" i="28"/>
  <c r="L10" i="28" s="1"/>
  <c r="H11" i="28"/>
  <c r="S14" i="28"/>
  <c r="T14" i="28" s="1"/>
  <c r="S18" i="28"/>
  <c r="T18" i="28" s="1"/>
  <c r="T13" i="11"/>
  <c r="G11" i="28"/>
  <c r="G10" i="28" s="1"/>
  <c r="J11" i="28"/>
  <c r="J10" i="28" s="1"/>
  <c r="T64" i="11"/>
  <c r="T49" i="11"/>
  <c r="S41" i="11"/>
  <c r="Q65" i="11"/>
  <c r="P57" i="11"/>
  <c r="P25" i="11"/>
  <c r="Q56" i="11"/>
  <c r="P24" i="11"/>
  <c r="Q41" i="11"/>
  <c r="P65" i="11"/>
  <c r="I25" i="11"/>
  <c r="N7" i="11"/>
  <c r="R8" i="11"/>
  <c r="G271" i="2"/>
  <c r="D15" i="1" s="1"/>
  <c r="G274" i="2"/>
  <c r="G11" i="1" s="1"/>
  <c r="G275" i="2"/>
  <c r="G15" i="1" s="1"/>
  <c r="R8" i="3"/>
  <c r="Q64" i="11"/>
  <c r="P40" i="11"/>
  <c r="S15" i="28"/>
  <c r="G15" i="11" s="1"/>
  <c r="M15" i="11" s="1"/>
  <c r="P38" i="11"/>
  <c r="T38" i="11"/>
  <c r="T35" i="11"/>
  <c r="S35" i="11"/>
  <c r="Q35" i="11"/>
  <c r="P15" i="11"/>
  <c r="T15" i="11"/>
  <c r="T31" i="28"/>
  <c r="G31" i="11"/>
  <c r="L31" i="11" s="1"/>
  <c r="K29" i="28"/>
  <c r="T34" i="28"/>
  <c r="G34" i="11"/>
  <c r="J34" i="11" s="1"/>
  <c r="T39" i="28"/>
  <c r="G39" i="11"/>
  <c r="L39" i="11" s="1"/>
  <c r="T12" i="11"/>
  <c r="S12" i="11"/>
  <c r="Q12" i="11"/>
  <c r="P12" i="11"/>
  <c r="S21" i="11"/>
  <c r="P21" i="11"/>
  <c r="Q21" i="11"/>
  <c r="T21" i="11"/>
  <c r="T37" i="11"/>
  <c r="S37" i="11"/>
  <c r="Q14" i="11"/>
  <c r="T14" i="11"/>
  <c r="P32" i="11"/>
  <c r="J20" i="11"/>
  <c r="S17" i="28"/>
  <c r="T17" i="28" s="1"/>
  <c r="Q16" i="11"/>
  <c r="G37" i="11"/>
  <c r="M37" i="11" s="1"/>
  <c r="S16" i="28"/>
  <c r="G16" i="11" s="1"/>
  <c r="Q22" i="11"/>
  <c r="P31" i="11"/>
  <c r="Q23" i="11"/>
  <c r="T16" i="11"/>
  <c r="S32" i="28"/>
  <c r="T32" i="28" s="1"/>
  <c r="J30" i="28"/>
  <c r="J29" i="28" s="1"/>
  <c r="S35" i="28"/>
  <c r="G35" i="11" s="1"/>
  <c r="S36" i="28"/>
  <c r="T36" i="28" s="1"/>
  <c r="I30" i="28"/>
  <c r="I29" i="28" s="1"/>
  <c r="T36" i="11"/>
  <c r="S23" i="28"/>
  <c r="K11" i="28"/>
  <c r="S21" i="28"/>
  <c r="T21" i="28" s="1"/>
  <c r="S12" i="28"/>
  <c r="T12" i="28" s="1"/>
  <c r="T17" i="11"/>
  <c r="T32" i="11"/>
  <c r="S24" i="11"/>
  <c r="S16" i="11"/>
  <c r="T58" i="11"/>
  <c r="T50" i="11"/>
  <c r="T42" i="11"/>
  <c r="S34" i="11"/>
  <c r="T65" i="11"/>
  <c r="T25" i="11"/>
  <c r="P16" i="11"/>
  <c r="P64" i="11"/>
  <c r="Q26" i="11"/>
  <c r="P18" i="11"/>
  <c r="Q25" i="11"/>
  <c r="T41" i="11"/>
  <c r="S57" i="11"/>
  <c r="T57" i="11"/>
  <c r="S65" i="11"/>
  <c r="S25" i="11"/>
  <c r="P63" i="11"/>
  <c r="P39" i="11"/>
  <c r="P55" i="11"/>
  <c r="Q63" i="11"/>
  <c r="P41" i="11"/>
  <c r="S47" i="11"/>
  <c r="S26" i="11"/>
  <c r="Q18" i="11"/>
  <c r="T26" i="11"/>
  <c r="P58" i="11"/>
  <c r="P42" i="11"/>
  <c r="Q58" i="11"/>
  <c r="S18" i="11"/>
  <c r="Q42" i="11"/>
  <c r="T34" i="11"/>
  <c r="P34" i="11"/>
  <c r="S58" i="11"/>
  <c r="S48" i="11" s="1"/>
  <c r="P26" i="11"/>
  <c r="Q34" i="11"/>
  <c r="S42" i="11"/>
  <c r="L42" i="11"/>
  <c r="I24" i="11"/>
  <c r="J48" i="11"/>
  <c r="S55" i="11"/>
  <c r="J47" i="11"/>
  <c r="I47" i="11"/>
  <c r="M47" i="11"/>
  <c r="L47" i="11"/>
  <c r="T47" i="28"/>
  <c r="P50" i="11"/>
  <c r="P49" i="11"/>
  <c r="Q50" i="11"/>
  <c r="P48" i="11"/>
  <c r="Q49" i="11"/>
  <c r="P47" i="11"/>
  <c r="I48" i="11"/>
  <c r="Q48" i="11"/>
  <c r="S50" i="11"/>
  <c r="P46" i="11"/>
  <c r="S49" i="11"/>
  <c r="Q40" i="11"/>
  <c r="S40" i="11"/>
  <c r="T22" i="28"/>
  <c r="G22" i="11"/>
  <c r="T20" i="11"/>
  <c r="K19" i="28"/>
  <c r="M20" i="11"/>
  <c r="P23" i="11"/>
  <c r="P20" i="11"/>
  <c r="S23" i="11"/>
  <c r="Q20" i="11"/>
  <c r="H19" i="28"/>
  <c r="P14" i="11"/>
  <c r="Q15" i="11"/>
  <c r="T18" i="11"/>
  <c r="P13" i="11"/>
  <c r="I11" i="28"/>
  <c r="I10" i="28" s="1"/>
  <c r="S13" i="28"/>
  <c r="Q13" i="11"/>
  <c r="S15" i="11"/>
  <c r="S14" i="11"/>
  <c r="S13" i="11"/>
  <c r="M38" i="11"/>
  <c r="L38" i="11"/>
  <c r="J38" i="11"/>
  <c r="I38" i="11"/>
  <c r="P37" i="11"/>
  <c r="Q38" i="11"/>
  <c r="S33" i="28"/>
  <c r="T38" i="28"/>
  <c r="S31" i="11"/>
  <c r="Q37" i="11"/>
  <c r="S39" i="11"/>
  <c r="T31" i="11"/>
  <c r="P35" i="11"/>
  <c r="S38" i="11"/>
  <c r="T39" i="11"/>
  <c r="G30" i="28"/>
  <c r="H30" i="28"/>
  <c r="H29" i="28" s="1"/>
  <c r="G272" i="2"/>
  <c r="D19" i="1" s="1"/>
  <c r="G276" i="2"/>
  <c r="G19" i="1" s="1"/>
  <c r="G246" i="2"/>
  <c r="E255" i="2"/>
  <c r="G255" i="2" s="1"/>
  <c r="F255" i="2"/>
  <c r="L65" i="11" l="1"/>
  <c r="I65" i="11"/>
  <c r="L43" i="11"/>
  <c r="O53" i="28"/>
  <c r="O54" i="28" s="1"/>
  <c r="N54" i="11" s="1"/>
  <c r="O60" i="28"/>
  <c r="N53" i="11"/>
  <c r="I64" i="11"/>
  <c r="J64" i="11"/>
  <c r="L64" i="11"/>
  <c r="I42" i="11"/>
  <c r="J44" i="11"/>
  <c r="M43" i="11"/>
  <c r="M44" i="11"/>
  <c r="M24" i="11"/>
  <c r="L20" i="11"/>
  <c r="N53" i="28"/>
  <c r="N54" i="28"/>
  <c r="L41" i="11"/>
  <c r="J43" i="11"/>
  <c r="L28" i="11"/>
  <c r="L26" i="11"/>
  <c r="J65" i="11"/>
  <c r="J51" i="11"/>
  <c r="J42" i="11"/>
  <c r="L51" i="11"/>
  <c r="I51" i="11"/>
  <c r="M59" i="11"/>
  <c r="I59" i="11"/>
  <c r="I62" i="11"/>
  <c r="I28" i="11"/>
  <c r="M26" i="11"/>
  <c r="I26" i="11"/>
  <c r="M53" i="28"/>
  <c r="M54" i="28" s="1"/>
  <c r="M50" i="11"/>
  <c r="M28" i="11"/>
  <c r="J25" i="11"/>
  <c r="J62" i="11"/>
  <c r="M62" i="11"/>
  <c r="I57" i="11"/>
  <c r="I58" i="11"/>
  <c r="I49" i="11"/>
  <c r="I41" i="11"/>
  <c r="J41" i="11"/>
  <c r="L53" i="28"/>
  <c r="J39" i="11"/>
  <c r="M63" i="11"/>
  <c r="I56" i="11"/>
  <c r="L59" i="11"/>
  <c r="L56" i="11"/>
  <c r="M56" i="11"/>
  <c r="L57" i="11"/>
  <c r="J57" i="11"/>
  <c r="G55" i="11"/>
  <c r="L55" i="11" s="1"/>
  <c r="J49" i="11"/>
  <c r="I50" i="11"/>
  <c r="M45" i="11"/>
  <c r="J45" i="11"/>
  <c r="J50" i="11"/>
  <c r="L45" i="11"/>
  <c r="I37" i="11"/>
  <c r="M25" i="11"/>
  <c r="G14" i="11"/>
  <c r="I14" i="11" s="1"/>
  <c r="H10" i="28"/>
  <c r="H53" i="28" s="1"/>
  <c r="H54" i="28" s="1"/>
  <c r="I54" i="29"/>
  <c r="O54" i="29"/>
  <c r="R60" i="29"/>
  <c r="R66" i="29" s="1"/>
  <c r="R61" i="29" s="1"/>
  <c r="N60" i="29"/>
  <c r="N66" i="29" s="1"/>
  <c r="N61" i="29" s="1"/>
  <c r="M54" i="29"/>
  <c r="S29" i="29"/>
  <c r="T29" i="29" s="1"/>
  <c r="Q54" i="29"/>
  <c r="H54" i="29"/>
  <c r="G53" i="29"/>
  <c r="G60" i="29" s="1"/>
  <c r="S10" i="29"/>
  <c r="T10" i="29" s="1"/>
  <c r="P60" i="29"/>
  <c r="P66" i="29" s="1"/>
  <c r="P61" i="29" s="1"/>
  <c r="L66" i="29"/>
  <c r="I63" i="11"/>
  <c r="J63" i="11"/>
  <c r="J58" i="11"/>
  <c r="L58" i="11"/>
  <c r="M40" i="11"/>
  <c r="I40" i="11"/>
  <c r="J40" i="11"/>
  <c r="L40" i="11"/>
  <c r="T40" i="28"/>
  <c r="J46" i="11"/>
  <c r="I46" i="11"/>
  <c r="L46" i="11"/>
  <c r="M49" i="11"/>
  <c r="J37" i="11"/>
  <c r="I27" i="11"/>
  <c r="M27" i="11"/>
  <c r="L27" i="11"/>
  <c r="L37" i="11"/>
  <c r="S11" i="11"/>
  <c r="G21" i="11"/>
  <c r="L21" i="11" s="1"/>
  <c r="G18" i="11"/>
  <c r="J18" i="11" s="1"/>
  <c r="I15" i="11"/>
  <c r="T15" i="28"/>
  <c r="J15" i="11"/>
  <c r="L15" i="11"/>
  <c r="T16" i="28"/>
  <c r="G36" i="11"/>
  <c r="I36" i="11" s="1"/>
  <c r="I34" i="11"/>
  <c r="L34" i="11"/>
  <c r="M34" i="11"/>
  <c r="G32" i="11"/>
  <c r="L32" i="11" s="1"/>
  <c r="G12" i="11"/>
  <c r="M12" i="11" s="1"/>
  <c r="Q36" i="11"/>
  <c r="T22" i="11"/>
  <c r="P22" i="11"/>
  <c r="S22" i="11"/>
  <c r="M39" i="11"/>
  <c r="I39" i="11"/>
  <c r="P36" i="11"/>
  <c r="Q17" i="11"/>
  <c r="P17" i="11"/>
  <c r="S17" i="11"/>
  <c r="S36" i="11"/>
  <c r="I53" i="28"/>
  <c r="I54" i="28" s="1"/>
  <c r="T35" i="28"/>
  <c r="G17" i="11"/>
  <c r="M17" i="11" s="1"/>
  <c r="K10" i="28"/>
  <c r="T23" i="28"/>
  <c r="G23" i="11"/>
  <c r="S32" i="11"/>
  <c r="Q32" i="11"/>
  <c r="M31" i="11"/>
  <c r="J31" i="11"/>
  <c r="I31" i="11"/>
  <c r="S19" i="28"/>
  <c r="M22" i="11"/>
  <c r="J22" i="11"/>
  <c r="I22" i="11"/>
  <c r="L22" i="11"/>
  <c r="M16" i="11"/>
  <c r="L16" i="11"/>
  <c r="I16" i="11"/>
  <c r="J16" i="11"/>
  <c r="T13" i="28"/>
  <c r="G13" i="11"/>
  <c r="S11" i="28"/>
  <c r="G11" i="11" s="1"/>
  <c r="L35" i="11"/>
  <c r="J35" i="11"/>
  <c r="I35" i="11"/>
  <c r="M35" i="11"/>
  <c r="J53" i="28"/>
  <c r="Q33" i="11"/>
  <c r="P33" i="11"/>
  <c r="S33" i="11"/>
  <c r="T33" i="11"/>
  <c r="T30" i="11"/>
  <c r="S30" i="11"/>
  <c r="Q30" i="11"/>
  <c r="P30" i="11"/>
  <c r="G29" i="28"/>
  <c r="S30" i="28"/>
  <c r="G33" i="11"/>
  <c r="T33" i="28"/>
  <c r="K8" i="3"/>
  <c r="K8" i="11"/>
  <c r="F254" i="2"/>
  <c r="E254" i="2"/>
  <c r="G254" i="2" s="1"/>
  <c r="B7" i="11" s="1"/>
  <c r="G7" i="11"/>
  <c r="O66" i="28" l="1"/>
  <c r="N60" i="11"/>
  <c r="N60" i="28"/>
  <c r="J55" i="11"/>
  <c r="L14" i="11"/>
  <c r="M60" i="28"/>
  <c r="L54" i="28"/>
  <c r="I55" i="11"/>
  <c r="M55" i="11"/>
  <c r="L60" i="28"/>
  <c r="L66" i="28" s="1"/>
  <c r="L61" i="28" s="1"/>
  <c r="M32" i="11"/>
  <c r="I32" i="11"/>
  <c r="T11" i="11"/>
  <c r="M14" i="11"/>
  <c r="J14" i="11"/>
  <c r="G54" i="29"/>
  <c r="S53" i="29"/>
  <c r="S60" i="29" s="1"/>
  <c r="T53" i="29"/>
  <c r="G66" i="29"/>
  <c r="L61" i="29"/>
  <c r="S54" i="29"/>
  <c r="T54" i="29" s="1"/>
  <c r="M21" i="11"/>
  <c r="I21" i="11"/>
  <c r="J36" i="11"/>
  <c r="L36" i="11"/>
  <c r="M36" i="11"/>
  <c r="J21" i="11"/>
  <c r="P11" i="11"/>
  <c r="Q11" i="11"/>
  <c r="L12" i="11"/>
  <c r="M18" i="11"/>
  <c r="L18" i="11"/>
  <c r="I18" i="11"/>
  <c r="I12" i="11"/>
  <c r="J12" i="11"/>
  <c r="J32" i="11"/>
  <c r="J17" i="11"/>
  <c r="I17" i="11"/>
  <c r="H60" i="28"/>
  <c r="H66" i="28" s="1"/>
  <c r="H61" i="28" s="1"/>
  <c r="K53" i="28"/>
  <c r="L23" i="11"/>
  <c r="I23" i="11"/>
  <c r="M23" i="11"/>
  <c r="J23" i="11"/>
  <c r="S10" i="28"/>
  <c r="S19" i="11"/>
  <c r="Q19" i="11"/>
  <c r="P19" i="11"/>
  <c r="T19" i="11"/>
  <c r="L17" i="11"/>
  <c r="I60" i="28"/>
  <c r="I66" i="28" s="1"/>
  <c r="I61" i="28" s="1"/>
  <c r="G19" i="11"/>
  <c r="T19" i="28"/>
  <c r="T11" i="28"/>
  <c r="M13" i="11"/>
  <c r="L13" i="11"/>
  <c r="J13" i="11"/>
  <c r="I13" i="11"/>
  <c r="J54" i="28"/>
  <c r="J60" i="28"/>
  <c r="D16" i="1"/>
  <c r="E16" i="1" s="1"/>
  <c r="T29" i="11"/>
  <c r="S29" i="11"/>
  <c r="Q29" i="11"/>
  <c r="P29" i="11"/>
  <c r="J33" i="11"/>
  <c r="I33" i="11"/>
  <c r="M33" i="11"/>
  <c r="L33" i="11"/>
  <c r="G30" i="11"/>
  <c r="T30" i="28"/>
  <c r="G53" i="28"/>
  <c r="S29" i="28"/>
  <c r="G29" i="11" s="1"/>
  <c r="O61" i="28" l="1"/>
  <c r="N61" i="11" s="1"/>
  <c r="N66" i="11"/>
  <c r="N66" i="28"/>
  <c r="M66" i="28"/>
  <c r="G61" i="29"/>
  <c r="T60" i="29"/>
  <c r="S66" i="29"/>
  <c r="T66" i="29" s="1"/>
  <c r="T10" i="28"/>
  <c r="G10" i="11"/>
  <c r="S10" i="11"/>
  <c r="Q10" i="11"/>
  <c r="P10" i="11"/>
  <c r="T10" i="11"/>
  <c r="D12" i="1"/>
  <c r="E12" i="1" s="1"/>
  <c r="P53" i="11"/>
  <c r="K54" i="28"/>
  <c r="T54" i="11" s="1"/>
  <c r="K60" i="28"/>
  <c r="K66" i="28" s="1"/>
  <c r="J19" i="11"/>
  <c r="M19" i="11"/>
  <c r="L19" i="11"/>
  <c r="I19" i="11"/>
  <c r="L11" i="11"/>
  <c r="J11" i="11"/>
  <c r="I11" i="11"/>
  <c r="M11" i="11"/>
  <c r="T29" i="28"/>
  <c r="G60" i="28"/>
  <c r="G66" i="28" s="1"/>
  <c r="G61" i="28" s="1"/>
  <c r="S53" i="28"/>
  <c r="G54" i="28"/>
  <c r="M30" i="11"/>
  <c r="L30" i="11"/>
  <c r="J30" i="11"/>
  <c r="I30" i="11"/>
  <c r="J66" i="28"/>
  <c r="L10" i="11" l="1"/>
  <c r="I10" i="11"/>
  <c r="N61" i="28"/>
  <c r="M61" i="28"/>
  <c r="J10" i="11"/>
  <c r="S61" i="29"/>
  <c r="T61" i="29" s="1"/>
  <c r="M10" i="11"/>
  <c r="G12" i="1"/>
  <c r="H12" i="1" s="1"/>
  <c r="Q53" i="11"/>
  <c r="S53" i="11"/>
  <c r="T53" i="11"/>
  <c r="D20" i="1"/>
  <c r="E20" i="1" s="1"/>
  <c r="S54" i="28"/>
  <c r="G54" i="11" s="1"/>
  <c r="S54" i="11"/>
  <c r="P54" i="11"/>
  <c r="Q54" i="11"/>
  <c r="S60" i="11"/>
  <c r="T53" i="28"/>
  <c r="S60" i="28"/>
  <c r="G53" i="11"/>
  <c r="P60" i="11"/>
  <c r="J61" i="28"/>
  <c r="M29" i="11"/>
  <c r="L29" i="11"/>
  <c r="J29" i="11"/>
  <c r="I29" i="11"/>
  <c r="G16" i="1"/>
  <c r="H16" i="1" s="1"/>
  <c r="T54" i="28" l="1"/>
  <c r="T60" i="11"/>
  <c r="K61" i="28"/>
  <c r="T61" i="11" s="1"/>
  <c r="S66" i="11"/>
  <c r="Q60" i="11"/>
  <c r="G20" i="1"/>
  <c r="H20" i="1" s="1"/>
  <c r="M53" i="11"/>
  <c r="L53" i="11"/>
  <c r="J53" i="11"/>
  <c r="I53" i="11"/>
  <c r="S66" i="28"/>
  <c r="T60" i="28"/>
  <c r="G60" i="11"/>
  <c r="M54" i="11"/>
  <c r="L54" i="11"/>
  <c r="J54" i="11"/>
  <c r="I54" i="11"/>
  <c r="P61" i="11" l="1"/>
  <c r="Q61" i="11"/>
  <c r="S61" i="11"/>
  <c r="S61" i="28"/>
  <c r="T61" i="28" s="1"/>
  <c r="T66" i="11"/>
  <c r="P66" i="11"/>
  <c r="Q66" i="11"/>
  <c r="M60" i="11"/>
  <c r="L60" i="11"/>
  <c r="J60" i="11"/>
  <c r="I60" i="11"/>
  <c r="T66" i="28"/>
  <c r="G66" i="11"/>
  <c r="G61" i="11" l="1"/>
  <c r="M61" i="11" s="1"/>
  <c r="J66" i="11"/>
  <c r="I66" i="11"/>
  <c r="M66" i="11"/>
  <c r="L66" i="11"/>
  <c r="I61" i="11" l="1"/>
  <c r="J61" i="11"/>
  <c r="L6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Tatjana Minic</author>
  </authors>
  <commentList>
    <comment ref="EX167" authorId="0" shapeId="0" xr:uid="{00000000-0006-0000-0C00-000001000000}">
      <text>
        <r>
          <rPr>
            <b/>
            <sz val="9"/>
            <rFont val="Tahoma"/>
            <family val="2"/>
          </rPr>
          <t>Tatjana Minic:</t>
        </r>
        <r>
          <rPr>
            <sz val="9"/>
            <rFont val="Tahoma"/>
            <family val="2"/>
          </rPr>
          <t xml:space="preserve">
uplaćeno za EPCG</t>
        </r>
      </text>
    </comment>
  </commentList>
</comments>
</file>

<file path=xl/sharedStrings.xml><?xml version="1.0" encoding="utf-8"?>
<sst xmlns="http://schemas.openxmlformats.org/spreadsheetml/2006/main" count="1955" uniqueCount="893">
  <si>
    <t>Analitika Jan-Dec 2014</t>
  </si>
  <si>
    <t>Jan - Dec 2014</t>
  </si>
  <si>
    <t>mil. €</t>
  </si>
  <si>
    <t>%</t>
  </si>
  <si>
    <t>4630p</t>
  </si>
  <si>
    <t>% BDP</t>
  </si>
  <si>
    <t xml:space="preserve"> </t>
  </si>
  <si>
    <t xml:space="preserve">  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</si>
  <si>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</si>
  <si>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</si>
  <si>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</si>
  <si>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</si>
  <si>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</si>
  <si>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</si>
  <si>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</si>
  <si>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</si>
  <si>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</si>
  <si>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</si>
  <si>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</si>
  <si>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</si>
  <si>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Primici od otplate kredita</t>
  </si>
  <si>
    <t>451p</t>
  </si>
  <si>
    <t>Pozajmice i krediti</t>
  </si>
  <si>
    <t>73p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</si>
  <si>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</si>
  <si>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</si>
  <si>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</si>
  <si>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</si>
  <si>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</si>
  <si>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</si>
  <si>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</si>
  <si>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</si>
  <si>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</si>
  <si>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</si>
  <si>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</si>
  <si>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</si>
  <si>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</si>
  <si>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</si>
  <si>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</si>
  <si>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</si>
  <si>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</si>
  <si>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</si>
  <si>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</si>
  <si>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</si>
  <si>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</si>
  <si>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</si>
  <si>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</si>
  <si>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</si>
  <si>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</si>
  <si>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</si>
  <si>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</si>
  <si>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</si>
  <si>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</si>
  <si>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</si>
  <si>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</si>
  <si>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</si>
  <si>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</si>
  <si>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</si>
  <si>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</si>
  <si>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</si>
  <si>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</si>
  <si>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</si>
  <si>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</si>
  <si>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</si>
  <si>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</si>
  <si>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</si>
  <si>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</si>
  <si>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</si>
  <si>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</si>
  <si>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</si>
  <si>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</si>
  <si>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</si>
  <si>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</si>
  <si>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</si>
  <si>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</si>
  <si>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</si>
  <si>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</si>
  <si>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</si>
  <si>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</si>
  <si>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</si>
  <si>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</si>
  <si>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</si>
  <si>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</si>
  <si>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</si>
  <si>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</si>
  <si>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</si>
  <si>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</si>
  <si>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</si>
  <si>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</si>
  <si>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</si>
  <si>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</si>
  <si>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</si>
  <si>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</si>
  <si>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</si>
  <si>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</si>
  <si>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</si>
  <si>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Crna Gora</t>
  </si>
  <si>
    <t>Ministarstvo finansija</t>
  </si>
  <si>
    <t>Direktorat za državni budžet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</si>
  <si>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</si>
  <si>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</si>
  <si>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</si>
  <si>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</si>
  <si>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</si>
  <si>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</si>
  <si>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</si>
  <si>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</si>
  <si>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</si>
  <si>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</si>
  <si>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</si>
  <si>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</si>
  <si>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Ostvarenje budžeta</t>
  </si>
  <si>
    <t>BDP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</si>
  <si>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</si>
  <si>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</si>
  <si>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</si>
  <si>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</si>
  <si>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</si>
  <si>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</si>
  <si>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</si>
  <si>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</si>
  <si>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</si>
  <si>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</si>
  <si>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</si>
  <si>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</si>
  <si>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Jan - Dec</t>
  </si>
  <si>
    <t>Prihodi budžeta</t>
  </si>
  <si>
    <t>Porezi</t>
  </si>
  <si>
    <t>Porez na dohodak fizičkih lica</t>
  </si>
  <si>
    <t>Porez na dobit pravnih lica</t>
  </si>
  <si>
    <t>Porez na promet nepokretnosti</t>
  </si>
  <si>
    <t>Porez na dodatu vrijednost</t>
  </si>
  <si>
    <t>Akcize</t>
  </si>
  <si>
    <t>Porez na međunarodnu trgovinu i transakcije</t>
  </si>
  <si>
    <t>Ostali državni porezi</t>
  </si>
  <si>
    <t>Doprinosi</t>
  </si>
  <si>
    <t>Doprinosi za penzijsko i invalidsko osiguranje</t>
  </si>
  <si>
    <t>Doprinosi za zdravstveno osiguranje</t>
  </si>
  <si>
    <t>Doprinosi za osiguranje od nezaposlenosti</t>
  </si>
  <si>
    <t>Ostali doprinosi</t>
  </si>
  <si>
    <t>Takse</t>
  </si>
  <si>
    <t>Naknade</t>
  </si>
  <si>
    <t>Ostali prihodi</t>
  </si>
  <si>
    <t>Primici od otplate kredita i sredstva prenesena iz prethodne godine</t>
  </si>
  <si>
    <t>Donacije i transferi</t>
  </si>
  <si>
    <t>Izdaci budžeta</t>
  </si>
  <si>
    <t>Tekući izdaci</t>
  </si>
  <si>
    <t>Bruto zarade i doprinosi na teret poslodavca</t>
  </si>
  <si>
    <t>Ostala lična primanja</t>
  </si>
  <si>
    <t>Rashodi za materijal</t>
  </si>
  <si>
    <t>Rashodi za usluge</t>
  </si>
  <si>
    <t>Rashodi za tekuće održavanje</t>
  </si>
  <si>
    <t>Kamate</t>
  </si>
  <si>
    <t>Renta</t>
  </si>
  <si>
    <t>Subvencije</t>
  </si>
  <si>
    <t>Ostali izdaci</t>
  </si>
  <si>
    <t>Transferi za socijalnu zaštitu</t>
  </si>
  <si>
    <t>Prava iz oblasti socijalne zaštite</t>
  </si>
  <si>
    <t>Sredstva za tehnološke viškove</t>
  </si>
  <si>
    <t>Prava iz oblasti penzijskog i invalidskog osiguranja</t>
  </si>
  <si>
    <t>Ostala prava iz oblasti zdravstvene zaštite</t>
  </si>
  <si>
    <t>Ostala prava iz zdravstvenog osiguranja</t>
  </si>
  <si>
    <t xml:space="preserve">Transferi institucijama, pojedincima, nevladinom i javnom sektoru </t>
  </si>
  <si>
    <t>Kapitalni izdaci</t>
  </si>
  <si>
    <t>Rezerve</t>
  </si>
  <si>
    <t>Otplata garancija</t>
  </si>
  <si>
    <t>Otplata obaveza iz prethodnog perioda</t>
  </si>
  <si>
    <t>Neto povećanje obaveza</t>
  </si>
  <si>
    <t>Suficit / deficit</t>
  </si>
  <si>
    <t>Primarni suficit/deficit</t>
  </si>
  <si>
    <t>Otplata dugova</t>
  </si>
  <si>
    <t>Otplata hartija od vrijednosti i kredita rezidentima</t>
  </si>
  <si>
    <t>Otplata hartija od vrijednosti i kredita nerezidentima</t>
  </si>
  <si>
    <t>Izdaci za kupovinu hartija od vrijednosti</t>
  </si>
  <si>
    <t>Nedostajuća sredstva</t>
  </si>
  <si>
    <t>Finansiranje</t>
  </si>
  <si>
    <t>Pozajmice i krediti od domaćih izvora</t>
  </si>
  <si>
    <t>Pozajmice i krediti od inostranih izvora</t>
  </si>
  <si>
    <t>Primici od prodaje imovine</t>
  </si>
  <si>
    <t>Povećanje / smanjenje depozita</t>
  </si>
  <si>
    <t>Plan ostvarenja budžeta</t>
  </si>
  <si>
    <t>Budžetski izdaci</t>
  </si>
  <si>
    <t>Tekuća budžetska potrošnja</t>
  </si>
  <si>
    <t>Kapitalni budžet</t>
  </si>
  <si>
    <t>Otplata obaveza iz prethodnih godina</t>
  </si>
  <si>
    <t>Net increase of liabilities</t>
  </si>
  <si>
    <t>Primarni bilans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</si>
  <si>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</si>
  <si>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</si>
  <si>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</si>
  <si>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</si>
  <si>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</si>
  <si>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</si>
  <si>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</si>
  <si>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</si>
  <si>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</si>
  <si>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</si>
  <si>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</si>
  <si>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</si>
  <si>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Kapitalni izdaci u tekućem budžetu</t>
  </si>
  <si>
    <t>Korigovani suficit/deficit</t>
  </si>
  <si>
    <t>Primary surplus/deficit</t>
  </si>
  <si>
    <t>Capital Expenditure for securities</t>
  </si>
  <si>
    <t>OSTVARENJE BUDŽETA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</si>
  <si>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</si>
  <si>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</si>
  <si>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</si>
  <si>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</si>
  <si>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</si>
  <si>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</si>
  <si>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</si>
  <si>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</si>
  <si>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</si>
  <si>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</si>
  <si>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</si>
  <si>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</si>
  <si>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</si>
  <si>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</si>
  <si>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</si>
  <si>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</si>
  <si>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</si>
  <si>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</si>
  <si>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</si>
  <si>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</si>
  <si>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</si>
  <si>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</si>
  <si>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</si>
  <si>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</si>
  <si>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</si>
  <si>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</si>
  <si>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</si>
  <si>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</si>
  <si>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</si>
  <si>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</si>
  <si>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</si>
  <si>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</si>
  <si>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</si>
  <si>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</si>
  <si>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</si>
  <si>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</si>
  <si>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</si>
  <si>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</si>
  <si>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</si>
  <si>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</si>
  <si>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</si>
  <si>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</si>
  <si>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</si>
  <si>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</si>
  <si>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</si>
  <si>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</si>
  <si>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</si>
  <si>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</si>
  <si>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</si>
  <si>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</si>
  <si>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</si>
  <si>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</si>
  <si>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</si>
  <si>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</si>
  <si>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</si>
  <si>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</si>
  <si>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</si>
  <si>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</si>
  <si>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</si>
  <si>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</si>
  <si>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</si>
  <si>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</si>
  <si>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</si>
  <si>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</si>
  <si>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</si>
  <si>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</si>
  <si>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</si>
  <si>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</si>
  <si>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</si>
  <si>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</si>
  <si>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</si>
  <si>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</si>
  <si>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</si>
  <si>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</si>
  <si>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</si>
  <si>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</si>
  <si>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</si>
  <si>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</si>
  <si>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</si>
  <si>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</si>
  <si>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</si>
  <si>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</si>
  <si>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</si>
  <si>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</si>
  <si>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</si>
  <si>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</si>
  <si>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</si>
  <si>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</si>
  <si>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</si>
  <si>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</si>
  <si>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</si>
  <si>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</si>
  <si>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</si>
  <si>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</si>
  <si>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</si>
  <si>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</si>
  <si>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</si>
  <si>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</si>
  <si>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</si>
  <si>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</si>
  <si>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</si>
  <si>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</si>
  <si>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</si>
  <si>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</si>
  <si>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</si>
  <si>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</si>
  <si>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</si>
  <si>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</si>
  <si>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</si>
  <si>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</si>
  <si>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</si>
  <si>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</si>
  <si>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</si>
  <si>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</si>
  <si>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</si>
  <si>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</si>
  <si>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</si>
  <si>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</si>
  <si>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</si>
  <si>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</si>
  <si>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</si>
  <si>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</si>
  <si>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</si>
  <si>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</si>
  <si>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</si>
  <si>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</si>
  <si>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</si>
  <si>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</si>
  <si>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</si>
  <si>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</si>
  <si>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</si>
  <si>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</si>
  <si>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</si>
  <si>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</si>
  <si>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</si>
  <si>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</si>
  <si>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</si>
  <si>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</si>
  <si>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</si>
  <si>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</si>
  <si>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</si>
  <si>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</si>
  <si>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</si>
  <si>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</si>
  <si>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PRIMICI</t>
  </si>
  <si>
    <t>Tekući prihodi</t>
  </si>
  <si>
    <t>Ostali republički porezi</t>
  </si>
  <si>
    <t>Administrativne takse</t>
  </si>
  <si>
    <t>Sudske takse</t>
  </si>
  <si>
    <t>Boravišne takse</t>
  </si>
  <si>
    <t>Ostale takse</t>
  </si>
  <si>
    <t>Naknade za korišćenje dobara od opšteg interesa</t>
  </si>
  <si>
    <t>Naknade za korišćenje prirodnih dobara</t>
  </si>
  <si>
    <t>71209,41 </t>
  </si>
  <si>
    <t>Ekološke naknade</t>
  </si>
  <si>
    <t>Naknade za priređivanje igara na sreću</t>
  </si>
  <si>
    <t>162,784,38 </t>
  </si>
  <si>
    <t>164,923,78 </t>
  </si>
  <si>
    <t>301,562,06 </t>
  </si>
  <si>
    <t>473,691,07 </t>
  </si>
  <si>
    <t>Naknada za puteve</t>
  </si>
  <si>
    <t>Ostale naknade</t>
  </si>
  <si>
    <t>Prihodi od kapitala</t>
  </si>
  <si>
    <t>Novčane kazne i oduzete imovinske koristi</t>
  </si>
  <si>
    <t>Prihodi koje organi ostvaruju vršenjem svoje djelatnosti</t>
  </si>
  <si>
    <t>Primici od prodaje nefinansijske imovine</t>
  </si>
  <si>
    <t>Primici od prodaje finansijske imovine</t>
  </si>
  <si>
    <t>Sredstva prenesena iz prethodne godine</t>
  </si>
  <si>
    <t>Donacije</t>
  </si>
  <si>
    <t>Transferi</t>
  </si>
  <si>
    <t xml:space="preserve">Pozajmice i krediti </t>
  </si>
  <si>
    <t>IZDACI</t>
  </si>
  <si>
    <t>Neto zarade</t>
  </si>
  <si>
    <t>Porez na zarade</t>
  </si>
  <si>
    <t>Doprinosi na teret zaposlenog</t>
  </si>
  <si>
    <t>Doprinosi na teret poslodavca</t>
  </si>
  <si>
    <t>Opštinski prirez</t>
  </si>
  <si>
    <t>Naknada za zimnicu</t>
  </si>
  <si>
    <t>Naknada za stanovanje i odvojen život</t>
  </si>
  <si>
    <t>Naknada za prevoz</t>
  </si>
  <si>
    <t>Jubilarne nagrade</t>
  </si>
  <si>
    <t>Otpremnine</t>
  </si>
  <si>
    <t>Naknada skupstinskim poslanicima</t>
  </si>
  <si>
    <t>Administrativni materijal</t>
  </si>
  <si>
    <t>Materijal za zdravstvenu zaštitu</t>
  </si>
  <si>
    <t>Materijal za posebne namjene</t>
  </si>
  <si>
    <t>Rashodi za energiju</t>
  </si>
  <si>
    <t>Rashodi za gorivo</t>
  </si>
  <si>
    <t>Ostali rashodi za materijal</t>
  </si>
  <si>
    <t>Službena putovanja</t>
  </si>
  <si>
    <t>Reprezentacija</t>
  </si>
  <si>
    <t>Komunikacione usluge</t>
  </si>
  <si>
    <t>Bankarske usluge i negativne kursne razlike</t>
  </si>
  <si>
    <t>Usluge prevoza</t>
  </si>
  <si>
    <t>Advokatske, notarske i pravne usluge</t>
  </si>
  <si>
    <t>Konsultantske usluge, projekti i studije</t>
  </si>
  <si>
    <t>Usluge stručnog usavršavanja</t>
  </si>
  <si>
    <t>Ostale usluge</t>
  </si>
  <si>
    <t>Tekuće održavanje javne infrastrukture</t>
  </si>
  <si>
    <t>Tekuće održavanje građevinskih objekata</t>
  </si>
  <si>
    <t>Tekuće održavanje opreme</t>
  </si>
  <si>
    <t>Kamate rezidentima</t>
  </si>
  <si>
    <t>Kamate nerezidentima</t>
  </si>
  <si>
    <t>Zakup objekata</t>
  </si>
  <si>
    <t>Zakup opreme</t>
  </si>
  <si>
    <t>Zakup zemljišta</t>
  </si>
  <si>
    <t>Subvencije za proizvodnju i pružanje usluga</t>
  </si>
  <si>
    <t>Izvozne subvencije</t>
  </si>
  <si>
    <t>Uvozne subvencije</t>
  </si>
  <si>
    <t>Izdaci po osnovu isplate ugovora o djelu</t>
  </si>
  <si>
    <t>Izdaci po osnovu troškova sudskih postupaka</t>
  </si>
  <si>
    <t>Izrada i održavanje softvera</t>
  </si>
  <si>
    <t>Osiguranje</t>
  </si>
  <si>
    <t>Kontribucije za članstvo u domaćim i međunarodnim organizacijama</t>
  </si>
  <si>
    <t>Komunalne naknade</t>
  </si>
  <si>
    <t>Kazne</t>
  </si>
  <si>
    <t>Ostalo</t>
  </si>
  <si>
    <t>Dječiji dodaci</t>
  </si>
  <si>
    <t>Boračko invalidska zaštita</t>
  </si>
  <si>
    <t>Materijalno obezbjeđenje porodice</t>
  </si>
  <si>
    <t>Porodiljska odsustva</t>
  </si>
  <si>
    <t>Tuđa njega i pomoć</t>
  </si>
  <si>
    <t>Ishrana djece u predškolskim ustanovama</t>
  </si>
  <si>
    <t>Izdržavanje štićenika u domovima</t>
  </si>
  <si>
    <t>Ost pr iz ob soc,zaš</t>
  </si>
  <si>
    <t>Garantovane zarade</t>
  </si>
  <si>
    <t>Otpremnine za tehnološke viškove</t>
  </si>
  <si>
    <t>Dokup staža</t>
  </si>
  <si>
    <t>Naknade nezaposlenim licima</t>
  </si>
  <si>
    <t>Starosna penzija</t>
  </si>
  <si>
    <t>Invalidska penzija</t>
  </si>
  <si>
    <t>Porodična penzija</t>
  </si>
  <si>
    <t>Dodaci</t>
  </si>
  <si>
    <t>Ostala prava</t>
  </si>
  <si>
    <t>Doprinos za zdravstvenu zaštitu penzionera</t>
  </si>
  <si>
    <t>Liječenje van Crne Gore</t>
  </si>
  <si>
    <t>Ortopedske sprave i pomagala</t>
  </si>
  <si>
    <t>Naknade za bolovanje preko 60 dana</t>
  </si>
  <si>
    <t>Naknade za putne troškove osiguranika</t>
  </si>
  <si>
    <t xml:space="preserve">Transferi za zdravstvenu zaštitu </t>
  </si>
  <si>
    <t>Transferi obrazovanju</t>
  </si>
  <si>
    <t>Transferi institucijama kulture i sporta</t>
  </si>
  <si>
    <t>Transferi nevladinim organizacijama</t>
  </si>
  <si>
    <t>Transferi političkim partijama, strankama i udruženjima</t>
  </si>
  <si>
    <t>Transferi za jednokratne socijalne pomoći</t>
  </si>
  <si>
    <t>Transferi za lična primanja pripravnika</t>
  </si>
  <si>
    <t>Ostali transferi pojedincima</t>
  </si>
  <si>
    <t>Ostali transferi institucijama</t>
  </si>
  <si>
    <t xml:space="preserve">Ostali transferi </t>
  </si>
  <si>
    <t>Transferi Fondu penzijskog i invalidskog osiguranja</t>
  </si>
  <si>
    <t>Transferi Fondu zdravstva</t>
  </si>
  <si>
    <t>Transferi zavodu za zapošljavanje</t>
  </si>
  <si>
    <t>Transferi opštinama</t>
  </si>
  <si>
    <t>Transferi budžetu države</t>
  </si>
  <si>
    <t>Transferi javnim preduzećima</t>
  </si>
  <si>
    <t xml:space="preserve">Kapitalni izdaci </t>
  </si>
  <si>
    <t>Izdaci za infrastrukturu opšeg značaja</t>
  </si>
  <si>
    <t>Izdaci za lokalnu infrastrukturu</t>
  </si>
  <si>
    <t>Izdaci za građevinske objekte</t>
  </si>
  <si>
    <t>Izdaci za uređenje zemljišta</t>
  </si>
  <si>
    <t>Izdaci za opremu</t>
  </si>
  <si>
    <t>Izdaci za investiciono održavanje</t>
  </si>
  <si>
    <t>Izdaci za zalihe</t>
  </si>
  <si>
    <t>Ostali kapitalni izdaci</t>
  </si>
  <si>
    <t>Krediti i pozajmice</t>
  </si>
  <si>
    <t>Pozajmice i krediti nefinansijskim institucijama</t>
  </si>
  <si>
    <t>Pozajmice i krediti finansijskim institucijama</t>
  </si>
  <si>
    <t>Pozajmice i krediti pojedincima</t>
  </si>
  <si>
    <t>Pozajmice i krediti vanbudžetskim fondovima i opštinama</t>
  </si>
  <si>
    <t>Ostale pozajmice i krediti</t>
  </si>
  <si>
    <t>Otplata duga</t>
  </si>
  <si>
    <t>Otplata garancija u zemlji</t>
  </si>
  <si>
    <t>Otplata garancija u inostranstvu</t>
  </si>
  <si>
    <t>Tekuća budžetska rezerva</t>
  </si>
  <si>
    <t>Stalna budžetska rezerva</t>
  </si>
  <si>
    <t>Ostale rezerve</t>
  </si>
  <si>
    <t>PLAN OSTVARENJA BUDŽETA</t>
  </si>
  <si>
    <t>2006-01p</t>
  </si>
  <si>
    <t>2006-02p</t>
  </si>
  <si>
    <t>2006-03p</t>
  </si>
  <si>
    <t>2006-04p</t>
  </si>
  <si>
    <t>2006-05p</t>
  </si>
  <si>
    <t>2006-06p</t>
  </si>
  <si>
    <t>2006-07p</t>
  </si>
  <si>
    <t>2006-08p</t>
  </si>
  <si>
    <t>2006-09p</t>
  </si>
  <si>
    <t>2006-10p</t>
  </si>
  <si>
    <t>2006-11p</t>
  </si>
  <si>
    <t>2006-12p</t>
  </si>
  <si>
    <t>2007-01p</t>
  </si>
  <si>
    <t>2007-02p</t>
  </si>
  <si>
    <t>2007-03p</t>
  </si>
  <si>
    <t>2007-04p</t>
  </si>
  <si>
    <t>2007-05p</t>
  </si>
  <si>
    <t>2007-06p</t>
  </si>
  <si>
    <t>2007-07p</t>
  </si>
  <si>
    <t>2007-08p</t>
  </si>
  <si>
    <t>2007-09p</t>
  </si>
  <si>
    <t>2007-10p</t>
  </si>
  <si>
    <t>2007-11p</t>
  </si>
  <si>
    <t>2007-12p</t>
  </si>
  <si>
    <t>2008-01p</t>
  </si>
  <si>
    <t>2008-02p</t>
  </si>
  <si>
    <t>2008-03p</t>
  </si>
  <si>
    <t>2008-04p</t>
  </si>
  <si>
    <t>2008-05p</t>
  </si>
  <si>
    <t>2008-06p</t>
  </si>
  <si>
    <t>2008-07p</t>
  </si>
  <si>
    <t>2008-08p</t>
  </si>
  <si>
    <t>2008-09p</t>
  </si>
  <si>
    <t>2008-10p</t>
  </si>
  <si>
    <t>2008-11p</t>
  </si>
  <si>
    <t>2008-12p</t>
  </si>
  <si>
    <t>2009-01p</t>
  </si>
  <si>
    <t>2009-02p</t>
  </si>
  <si>
    <t>2009-03p</t>
  </si>
  <si>
    <t>2009-04p</t>
  </si>
  <si>
    <t>2009-05p</t>
  </si>
  <si>
    <t>2009-06p</t>
  </si>
  <si>
    <t>2009-07p</t>
  </si>
  <si>
    <t>2009-08p</t>
  </si>
  <si>
    <t>2009-09p</t>
  </si>
  <si>
    <t>2009-10p</t>
  </si>
  <si>
    <t>2009-11p</t>
  </si>
  <si>
    <t>2009-12p</t>
  </si>
  <si>
    <t>2010-01p</t>
  </si>
  <si>
    <t>2010-02p</t>
  </si>
  <si>
    <t>2010-03p</t>
  </si>
  <si>
    <t>2010-04p</t>
  </si>
  <si>
    <t>2010-05p</t>
  </si>
  <si>
    <t>2010-06p</t>
  </si>
  <si>
    <t>2010-07p</t>
  </si>
  <si>
    <t>2010-08p</t>
  </si>
  <si>
    <t>2010-09p</t>
  </si>
  <si>
    <t>2010-10p</t>
  </si>
  <si>
    <t>2010-11p</t>
  </si>
  <si>
    <t>2010-12p</t>
  </si>
  <si>
    <t>2011-01p</t>
  </si>
  <si>
    <t>2011-02p</t>
  </si>
  <si>
    <t>2011-03p</t>
  </si>
  <si>
    <t>2011-04p</t>
  </si>
  <si>
    <t>2011-05p</t>
  </si>
  <si>
    <t>2011-06p</t>
  </si>
  <si>
    <t>2011-07p</t>
  </si>
  <si>
    <t>2011-08p</t>
  </si>
  <si>
    <t>2011-09p</t>
  </si>
  <si>
    <t>2011-10p</t>
  </si>
  <si>
    <t>2011-11p</t>
  </si>
  <si>
    <t>2011-12p</t>
  </si>
  <si>
    <t>2012-01p</t>
  </si>
  <si>
    <t>2012-02p</t>
  </si>
  <si>
    <t>2012-03p</t>
  </si>
  <si>
    <t>2012-04p</t>
  </si>
  <si>
    <t>2012-05p</t>
  </si>
  <si>
    <t>2012-06p</t>
  </si>
  <si>
    <t>2012-07p</t>
  </si>
  <si>
    <t>2012-08p</t>
  </si>
  <si>
    <t>2012-09p</t>
  </si>
  <si>
    <t>2012-10p</t>
  </si>
  <si>
    <t>2012-11p</t>
  </si>
  <si>
    <t>2012-12p</t>
  </si>
  <si>
    <t>2013-01p</t>
  </si>
  <si>
    <t>2013-02p</t>
  </si>
  <si>
    <t>2013-03p</t>
  </si>
  <si>
    <t>2013-04p</t>
  </si>
  <si>
    <t>2013-05p</t>
  </si>
  <si>
    <t>2013-06p</t>
  </si>
  <si>
    <t>2013-07p</t>
  </si>
  <si>
    <t>2013-08p</t>
  </si>
  <si>
    <t>2013-09p</t>
  </si>
  <si>
    <t>2013-10p</t>
  </si>
  <si>
    <t>2013-11p</t>
  </si>
  <si>
    <t>2013-12p</t>
  </si>
  <si>
    <t>2014-01p</t>
  </si>
  <si>
    <t>2014-02p</t>
  </si>
  <si>
    <t>2014-03p</t>
  </si>
  <si>
    <t>2014-04p</t>
  </si>
  <si>
    <t>2014-05p</t>
  </si>
  <si>
    <t>2014-06p</t>
  </si>
  <si>
    <t>2014-07p</t>
  </si>
  <si>
    <t>2014-08p</t>
  </si>
  <si>
    <t>2014-09p</t>
  </si>
  <si>
    <t>2014-10p</t>
  </si>
  <si>
    <t>2014-11p</t>
  </si>
  <si>
    <t>2014-12p</t>
  </si>
  <si>
    <t>2015-01p</t>
  </si>
  <si>
    <t>2015-02p</t>
  </si>
  <si>
    <t>2015-03p</t>
  </si>
  <si>
    <t>2015-04p</t>
  </si>
  <si>
    <t>2015-05p</t>
  </si>
  <si>
    <t>2015-06p</t>
  </si>
  <si>
    <t>2015-07p</t>
  </si>
  <si>
    <t>2015-08p</t>
  </si>
  <si>
    <t>2015-09p</t>
  </si>
  <si>
    <t>2015-10p</t>
  </si>
  <si>
    <t>2015-11p</t>
  </si>
  <si>
    <t>2015-12p</t>
  </si>
  <si>
    <t>2016-01p</t>
  </si>
  <si>
    <t>2016-02p</t>
  </si>
  <si>
    <t>2016-03p</t>
  </si>
  <si>
    <t>2016-04p</t>
  </si>
  <si>
    <t>2016-05p</t>
  </si>
  <si>
    <t>2016-06p</t>
  </si>
  <si>
    <t>2016-07p</t>
  </si>
  <si>
    <t>2016-08p</t>
  </si>
  <si>
    <t>2016-09p</t>
  </si>
  <si>
    <t>2016-10p</t>
  </si>
  <si>
    <t>2016-11p</t>
  </si>
  <si>
    <t>2016-12p</t>
  </si>
  <si>
    <t>4218p</t>
  </si>
  <si>
    <t>Ostala prava iz oblasti socijalne zaštite</t>
  </si>
  <si>
    <t>jezik</t>
  </si>
  <si>
    <t>mjesec</t>
  </si>
  <si>
    <t>Crnogorski</t>
  </si>
  <si>
    <t>Engleski</t>
  </si>
  <si>
    <t>godina</t>
  </si>
  <si>
    <t>naslov</t>
  </si>
  <si>
    <t>Montenegro</t>
  </si>
  <si>
    <t>Ministry of Finance</t>
  </si>
  <si>
    <t>Directorate for State Budget</t>
  </si>
  <si>
    <t>dugmići</t>
  </si>
  <si>
    <t>Analitika</t>
  </si>
  <si>
    <t>Analytics Tab</t>
  </si>
  <si>
    <t>Mjesečni podaci 2022</t>
  </si>
  <si>
    <t>Montly Data 2022</t>
  </si>
  <si>
    <t>Mjesečni podaci 2021</t>
  </si>
  <si>
    <t>Montly Data 2021</t>
  </si>
  <si>
    <t>Mjesečni podaci 2020</t>
  </si>
  <si>
    <t>Montly Data 2020</t>
  </si>
  <si>
    <t>Mjesečni podaci 2019</t>
  </si>
  <si>
    <t>Montly Data 2019</t>
  </si>
  <si>
    <t>Mjesečni podaci 2018</t>
  </si>
  <si>
    <t>Montly Data 2018</t>
  </si>
  <si>
    <t>Mjesečni podaci 2017</t>
  </si>
  <si>
    <t>Montly Data 2017</t>
  </si>
  <si>
    <t>Mjesečni podaci 2016</t>
  </si>
  <si>
    <t>Montly Data 2016</t>
  </si>
  <si>
    <t>Mjesečni podaci 2015</t>
  </si>
  <si>
    <t>Montly Data 2015</t>
  </si>
  <si>
    <t>Mjesečni podaci 2014</t>
  </si>
  <si>
    <t>Montly Data 2014</t>
  </si>
  <si>
    <t>Mjesečni podaci 2013</t>
  </si>
  <si>
    <t>Montly Data 2013</t>
  </si>
  <si>
    <t>Mjesečni podaci 2012</t>
  </si>
  <si>
    <t>Montly Data 2012</t>
  </si>
  <si>
    <t>Mjesečni podaci 2011</t>
  </si>
  <si>
    <t>Montly Data 2011</t>
  </si>
  <si>
    <t>Istorijski podaci, od 2006</t>
  </si>
  <si>
    <t>Historical Data, since 2006</t>
  </si>
  <si>
    <t>Javni dug</t>
  </si>
  <si>
    <t>Public Debt</t>
  </si>
  <si>
    <t>Plan</t>
  </si>
  <si>
    <t>Ostvarenje</t>
  </si>
  <si>
    <t>Execution-preliminary</t>
  </si>
  <si>
    <t>Početak</t>
  </si>
  <si>
    <t>Welcome tab</t>
  </si>
  <si>
    <t>Total Revenues</t>
  </si>
  <si>
    <t>Current Revenues</t>
  </si>
  <si>
    <t>Taxes</t>
  </si>
  <si>
    <t>Personal Income Tax</t>
  </si>
  <si>
    <t>Corporate Income Tax</t>
  </si>
  <si>
    <t xml:space="preserve">Taxes on Sales of Property </t>
  </si>
  <si>
    <t>Value Added Tax</t>
  </si>
  <si>
    <t>Excises</t>
  </si>
  <si>
    <t>Tax on International Trade and Transactions</t>
  </si>
  <si>
    <t>Other Republic Taxes</t>
  </si>
  <si>
    <t>Contributions</t>
  </si>
  <si>
    <t>Contributions for Pension and Disability Insurance</t>
  </si>
  <si>
    <t>Contributions for Health Insurance</t>
  </si>
  <si>
    <t>Contributions for  Unemployment Insurance</t>
  </si>
  <si>
    <t>Other contributions</t>
  </si>
  <si>
    <t>Duties</t>
  </si>
  <si>
    <t>Administrative Duties</t>
  </si>
  <si>
    <t>Court Duties</t>
  </si>
  <si>
    <t>Residential Duties</t>
  </si>
  <si>
    <t>Registracione takse</t>
  </si>
  <si>
    <t>Registration Duties</t>
  </si>
  <si>
    <t>Lokalne komunalne takse</t>
  </si>
  <si>
    <t>Local Duties</t>
  </si>
  <si>
    <t>Other duties</t>
  </si>
  <si>
    <t>Fees</t>
  </si>
  <si>
    <t>Fees for Use of Goods of Common Interest</t>
  </si>
  <si>
    <t>Fees for Use of Natural Resources</t>
  </si>
  <si>
    <t>Ecological Fees</t>
  </si>
  <si>
    <t>Fees for Organizing Games of Chance</t>
  </si>
  <si>
    <t>Naknade za korišćenje građevinskog zemljišta</t>
  </si>
  <si>
    <t>Fees for Usage of Construction Land</t>
  </si>
  <si>
    <t xml:space="preserve">Naknade za uređivanje i izgradnju građevinskog zemljišta </t>
  </si>
  <si>
    <t xml:space="preserve">Fees for Regulation and Upkeep of Construction Land </t>
  </si>
  <si>
    <t xml:space="preserve">Naknade za izgradnju i održavanje lokalnih puteva i drugih javnih objekata od opštinskog značaja </t>
  </si>
  <si>
    <t>Fees for Construction and Upkeep of Local Roads and Other Local Facilities</t>
  </si>
  <si>
    <t>Road fees</t>
  </si>
  <si>
    <t>Other fees</t>
  </si>
  <si>
    <t>Other revenues</t>
  </si>
  <si>
    <t>Revenues from Capital</t>
  </si>
  <si>
    <t>Fines and Seized Property Gains</t>
  </si>
  <si>
    <t>Revenues from Government Body Activities</t>
  </si>
  <si>
    <t>Samodoprinosi</t>
  </si>
  <si>
    <t>Self contributions</t>
  </si>
  <si>
    <t>Other Revenues</t>
  </si>
  <si>
    <t>Revenues from Selling Assets</t>
  </si>
  <si>
    <t>Revenues from Selling Non-Financial Assets</t>
  </si>
  <si>
    <t>Revenues from Selling Financial Assets</t>
  </si>
  <si>
    <t>Receipts from Repayment of Loans and Funds Carried over from Previous Year</t>
  </si>
  <si>
    <t>Receipts from Repayment of Loans</t>
  </si>
  <si>
    <t>Funds Carried over from Previous Year</t>
  </si>
  <si>
    <t>Grants and Transfers</t>
  </si>
  <si>
    <t>Grants</t>
  </si>
  <si>
    <t>Transfers</t>
  </si>
  <si>
    <t>Loans and borrowings</t>
  </si>
  <si>
    <t>Domestic Loans and Borrowings</t>
  </si>
  <si>
    <t>Foreign Loans and Borrowings</t>
  </si>
  <si>
    <t>Total Expenditures</t>
  </si>
  <si>
    <t>Current Budgetary Consumption</t>
  </si>
  <si>
    <t>Current Expenditures</t>
  </si>
  <si>
    <t>Gross Salaries and Contributions</t>
  </si>
  <si>
    <t>Net Salaries</t>
  </si>
  <si>
    <t>Contributions Charged to Employee</t>
  </si>
  <si>
    <t>Contributions Charged to Employer</t>
  </si>
  <si>
    <t>Surtax on PIT</t>
  </si>
  <si>
    <t>Other Personal Income</t>
  </si>
  <si>
    <t>Compensation for Meals</t>
  </si>
  <si>
    <t>Compensation for Living Costs and Separate Living</t>
  </si>
  <si>
    <t>Compensation for Transport</t>
  </si>
  <si>
    <t>Annual awards</t>
  </si>
  <si>
    <t>Compensation for Early Retirement</t>
  </si>
  <si>
    <t>Parliament Members Compensation</t>
  </si>
  <si>
    <t>Other Compensations</t>
  </si>
  <si>
    <t xml:space="preserve">Other </t>
  </si>
  <si>
    <t>Expenditures for Supplies</t>
  </si>
  <si>
    <t>Administrative Supplies</t>
  </si>
  <si>
    <t>Health Protection Supplies</t>
  </si>
  <si>
    <t>Special Supplies</t>
  </si>
  <si>
    <t>Expenditures for Energy</t>
  </si>
  <si>
    <t>Expenditures for Fuel</t>
  </si>
  <si>
    <t>Other Expenditures for Supplies</t>
  </si>
  <si>
    <t>Expenditures for Services</t>
  </si>
  <si>
    <t>Business trips</t>
  </si>
  <si>
    <t>Representation Costs</t>
  </si>
  <si>
    <t>Communication Services</t>
  </si>
  <si>
    <t>Bank Services and FX Conversion Loss</t>
  </si>
  <si>
    <t>Transport Services</t>
  </si>
  <si>
    <t>Legal Services (lawyers, notars and others)</t>
  </si>
  <si>
    <t>Consultancy Services</t>
  </si>
  <si>
    <t>Professional Training Services</t>
  </si>
  <si>
    <t>Other Services</t>
  </si>
  <si>
    <t>Current Maintenance</t>
  </si>
  <si>
    <t>Current Maintenance of Public Infrastructure</t>
  </si>
  <si>
    <t>Current Maintenance of Buildings</t>
  </si>
  <si>
    <t>Current Maintenance of Equipment</t>
  </si>
  <si>
    <t>Interests</t>
  </si>
  <si>
    <t>Interests on Domestic Debt</t>
  </si>
  <si>
    <t>Interests on Foreign Debt</t>
  </si>
  <si>
    <t>Rent</t>
  </si>
  <si>
    <t>Rent of Real Estate</t>
  </si>
  <si>
    <t>Rent of Equipment</t>
  </si>
  <si>
    <t>Rent of Property</t>
  </si>
  <si>
    <t>Subsidies</t>
  </si>
  <si>
    <t>Production and Services Subsidies</t>
  </si>
  <si>
    <t>Export Subsidies</t>
  </si>
  <si>
    <t>Import Subsidies</t>
  </si>
  <si>
    <t>Other expenditures</t>
  </si>
  <si>
    <t xml:space="preserve">Expenditures for Service Contracts </t>
  </si>
  <si>
    <t>Expenditures for Judicial Proceeding</t>
  </si>
  <si>
    <t>Expenditures for Software Maintenance</t>
  </si>
  <si>
    <t>Insurance</t>
  </si>
  <si>
    <t>Contribution for Domestic and International Institutions Membership</t>
  </si>
  <si>
    <t>Utility Charges</t>
  </si>
  <si>
    <t>Penalties</t>
  </si>
  <si>
    <t>Others</t>
  </si>
  <si>
    <t>Social Security Transfers</t>
  </si>
  <si>
    <t>Social Security</t>
  </si>
  <si>
    <t>Children benefits</t>
  </si>
  <si>
    <t>Veteran and disability benefits</t>
  </si>
  <si>
    <t>Assistance for the Family</t>
  </si>
  <si>
    <t>Maternity leave</t>
  </si>
  <si>
    <t>Care and Assistance Benefits</t>
  </si>
  <si>
    <t>Pre-school Meal Plans</t>
  </si>
  <si>
    <t>Support to Nurse Homes</t>
  </si>
  <si>
    <t>Other rights from social protection</t>
  </si>
  <si>
    <t>Funds for redundant labor</t>
  </si>
  <si>
    <t>Guaranteed Earnings</t>
  </si>
  <si>
    <t>Redundant Labor Benefits</t>
  </si>
  <si>
    <t>Additional Insurance Payment</t>
  </si>
  <si>
    <t>Compensation to Unemployed</t>
  </si>
  <si>
    <t>Other</t>
  </si>
  <si>
    <t>Pension and Disability Insurance</t>
  </si>
  <si>
    <t>Age pension</t>
  </si>
  <si>
    <t>Disability pension</t>
  </si>
  <si>
    <t>Family pension</t>
  </si>
  <si>
    <t>Compensations</t>
  </si>
  <si>
    <t>Addendums</t>
  </si>
  <si>
    <t>Other rughts</t>
  </si>
  <si>
    <t>Contribution to Health Protection of Pensioners</t>
  </si>
  <si>
    <t>Other Health Care Transfers</t>
  </si>
  <si>
    <t>Health Treatment Abroad</t>
  </si>
  <si>
    <t>Other Health Care Insurance</t>
  </si>
  <si>
    <t>Orthopedic Devices and Supplies</t>
  </si>
  <si>
    <t xml:space="preserve">Compensation for Health Leave </t>
  </si>
  <si>
    <t>Compensation for Travel Costs of Insured Person</t>
  </si>
  <si>
    <t xml:space="preserve">Transfers to Institutions, Individuals, NGO and Public Sector </t>
  </si>
  <si>
    <t>Transfers for Health Protection</t>
  </si>
  <si>
    <t>Transfer for Education</t>
  </si>
  <si>
    <t>Transfers for Culture and Sports</t>
  </si>
  <si>
    <t>Transfers to NGOs</t>
  </si>
  <si>
    <t>Transfers to Political Parties</t>
  </si>
  <si>
    <t>Transfers for Non-refundable Social Help</t>
  </si>
  <si>
    <t>Trasfers for Intern's Salary</t>
  </si>
  <si>
    <t>Other Transfers to Individuals</t>
  </si>
  <si>
    <t>Other Transfers to Institutions</t>
  </si>
  <si>
    <t>Other Transfers</t>
  </si>
  <si>
    <t>Transfers to Fund for Pension and Disability Insurance</t>
  </si>
  <si>
    <t>Transfers to Health Fund</t>
  </si>
  <si>
    <t>Transfers to Employment Fund</t>
  </si>
  <si>
    <t>Transfers to Municipalities</t>
  </si>
  <si>
    <t>Transfers to State Budget</t>
  </si>
  <si>
    <t>Transfers to State Owned Enterprises</t>
  </si>
  <si>
    <t>Capital Expenditure</t>
  </si>
  <si>
    <t>Capital Expenditure for Public Infrastructure</t>
  </si>
  <si>
    <t>Capital Expenditure for Local Infrastructure</t>
  </si>
  <si>
    <t>Capital Expenditure for Building Construction</t>
  </si>
  <si>
    <t>Capital Expenditure for Land Construction/Improvement</t>
  </si>
  <si>
    <t>Capital Expenditure for Equipment</t>
  </si>
  <si>
    <t>Capital Expenditure for Investment Upkeep</t>
  </si>
  <si>
    <t>Capital Expenditure for Stock</t>
  </si>
  <si>
    <t>Capital Expenditure for Securities</t>
  </si>
  <si>
    <t>Other Capital Expenditure</t>
  </si>
  <si>
    <t>Credits and Borrowings</t>
  </si>
  <si>
    <t>Credits and Borrowings to Non-Financial Institutions</t>
  </si>
  <si>
    <t>Credits and Borrowings to Financial Institutions</t>
  </si>
  <si>
    <t>Credits and Borrowings to Individuals</t>
  </si>
  <si>
    <t>Credits and Borrowings to Municipalities and State Funds</t>
  </si>
  <si>
    <t>Other Credits and Borrowings</t>
  </si>
  <si>
    <t>Repayment of Debt</t>
  </si>
  <si>
    <t>Repayment of Domestic Debt</t>
  </si>
  <si>
    <t>Repayment of Foreign Debt</t>
  </si>
  <si>
    <t>Repayment of Guarantees</t>
  </si>
  <si>
    <t>Repayment of Domestic Guarantees</t>
  </si>
  <si>
    <t>Repayment of Foreign Guarantees</t>
  </si>
  <si>
    <t>Repayments of liabilities form the previous period</t>
  </si>
  <si>
    <t>Reserves</t>
  </si>
  <si>
    <t>Current Budget Reserve</t>
  </si>
  <si>
    <t>Permanent Budget Reserve</t>
  </si>
  <si>
    <t>Other Reserves</t>
  </si>
  <si>
    <t>Surplus / deficit</t>
  </si>
  <si>
    <t>Financing needs</t>
  </si>
  <si>
    <t>Financing</t>
  </si>
  <si>
    <t>Increase / decrease of deposits</t>
  </si>
  <si>
    <t>mjeseci</t>
  </si>
  <si>
    <t>January</t>
  </si>
  <si>
    <t>i</t>
  </si>
  <si>
    <t>February</t>
  </si>
  <si>
    <t>opšte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</si>
  <si>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</si>
  <si>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</si>
  <si>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</si>
  <si>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</si>
  <si>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</si>
  <si>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</si>
  <si>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</si>
  <si>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</si>
  <si>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</si>
  <si>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GDP</t>
  </si>
  <si>
    <t>Budget Execution-preliminary</t>
  </si>
  <si>
    <t>Planned Budget Execution</t>
  </si>
  <si>
    <t>Execution</t>
  </si>
  <si>
    <t>Odstupanje</t>
  </si>
  <si>
    <t>Deviation</t>
  </si>
  <si>
    <t>Realizacija budžeta</t>
  </si>
  <si>
    <t>Budget realization</t>
  </si>
  <si>
    <t>Uvodni</t>
  </si>
  <si>
    <t>Prihodi za mjesec</t>
  </si>
  <si>
    <t>Revenues for</t>
  </si>
  <si>
    <t>Rashodi za mjesec</t>
  </si>
  <si>
    <t>Expenditures for</t>
  </si>
  <si>
    <t>Suficit/Deficit za mjesec</t>
  </si>
  <si>
    <t>Deficit for</t>
  </si>
  <si>
    <t>Prihodi za period Januar -</t>
  </si>
  <si>
    <t>Revenues for period January -</t>
  </si>
  <si>
    <t>Rashodi za period Januar -</t>
  </si>
  <si>
    <t>Expenditures for period January -</t>
  </si>
  <si>
    <t>Suficit/Deficit za period Januar -</t>
  </si>
  <si>
    <t>Surplus/Deficit for period January -</t>
  </si>
  <si>
    <t>Stanje javnog duga (% BDP)</t>
  </si>
  <si>
    <t>Public debt (% GDP)</t>
  </si>
  <si>
    <t>Pregled</t>
  </si>
  <si>
    <t>Breakdown</t>
  </si>
  <si>
    <r>
      <rPr>
        <sz val="11"/>
        <color rgb="FF000000"/>
        <rFont val="Calibri"/>
        <family val="2"/>
        <scheme val="minor"/>
      </rPr>
      <t xml:space="preserve">Kontakt:
</t>
    </r>
    <r>
      <rPr>
        <sz val="9"/>
        <color rgb="FF000000"/>
        <rFont val="Calibri"/>
        <family val="2"/>
        <scheme val="minor"/>
      </rPr>
      <t xml:space="preserve">
</t>
    </r>
    <r>
      <rPr>
        <i/>
        <sz val="9"/>
        <color rgb="FF000000"/>
        <rFont val="Calibri"/>
        <family val="2"/>
        <scheme val="minor"/>
      </rPr>
      <t>e-mail: mf@mif.gov.me
tel/fax: 00 382 20 242 835</t>
    </r>
  </si>
  <si>
    <t>Contact:
e-mail: mf@mif.gov.me
tel/fax: 00 382 20 242 835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</si>
</sst>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(* #,##0.00_);_(* \(#,##0.00\);_(* &quot;-&quot;??_);_(@_)"/>
    <numFmt numFmtId="164" formatCode="_-* #,##0.00\ _R_S_D_-;\-* #,##0.00\ _R_S_D_-;_-* &quot;-&quot;??\ _R_S_D_-;_-@_-"/>
    <numFmt numFmtId="165" formatCode="_-* #,##0.00\ &quot;RSD&quot;_-;\-* #,##0.00\ &quot;RSD&quot;_-;_-* &quot;-&quot;??\ &quot;RSD&quot;_-;_-@_-"/>
    <numFmt numFmtId="166" formatCode="&quot;   &quot;@"/>
    <numFmt numFmtId="167" formatCode="&quot;      &quot;@"/>
    <numFmt numFmtId="168" formatCode="&quot;         &quot;@"/>
    <numFmt numFmtId="169" formatCode="&quot;            &quot;@"/>
    <numFmt numFmtId="170" formatCode="_-* #,##0.00\ _€_-;\-* #,##0.00\ _€_-;_-* &quot;-&quot;??\ _€_-;_-@_-"/>
    <numFmt numFmtId="171" formatCode="_-* #,##0.00\ _k_n_-;\-* #,##0.00\ _k_n_-;_-* &quot;-&quot;??\ _k_n_-;_-@_-"/>
    <numFmt numFmtId="172" formatCode="[&gt;0.05]#,##0.0;[&lt;-0.05]\-#,##0.0;\-\-&quot; &quot;;"/>
    <numFmt numFmtId="173" formatCode="[&gt;0.5]#,##0;[&lt;-0.5]\-#,##0;\-\-&quot; &quot;;"/>
    <numFmt numFmtId="174" formatCode="#,##0.0"/>
    <numFmt numFmtId="175" formatCode="[Black]#,##0.0;[Black]\-#,##0.0;;"/>
    <numFmt numFmtId="176" formatCode="#,##0.0,,"/>
    <numFmt numFmtId="177" formatCode="#,##0.00,,"/>
    <numFmt numFmtId="178" formatCode="0.0%"/>
    <numFmt numFmtId="179" formatCode="0.0"/>
    <numFmt numFmtId="180" formatCode="0.00,,"/>
    <numFmt numFmtId="181" formatCode="#,##0.00\ _D_i_n_."/>
    <numFmt numFmtId="182" formatCode="#,##0,,"/>
    <numFmt numFmtId="183" formatCode="0.0000"/>
    <numFmt numFmtId="184" formatCode="#,##0.00000000"/>
  </numFmts>
  <fonts count="81">
    <font>
      <sz val="11"/>
      <color theme="1"/>
      <name val="Calibri"/>
      <charset val="13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.5"/>
      <color theme="1"/>
      <name val="Arial"/>
      <family val="2"/>
    </font>
    <font>
      <sz val="8"/>
      <color theme="0" tint="-0.34998626667073579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9.5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"/>
      <color indexed="8"/>
      <name val="Courier"/>
      <charset val="238"/>
    </font>
    <font>
      <i/>
      <sz val="1"/>
      <color indexed="8"/>
      <name val="Courier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0"/>
      <name val="CTimesRoman"/>
      <charset val="134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name val="Tms Rmn"/>
      <charset val="134"/>
    </font>
    <font>
      <sz val="10"/>
      <name val="Tms Rmn"/>
      <charset val="134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sz val="9"/>
      <name val="Times New Roman"/>
      <family val="1"/>
    </font>
    <font>
      <sz val="12"/>
      <name val="Arial"/>
      <family val="2"/>
    </font>
    <font>
      <b/>
      <sz val="18"/>
      <color theme="3"/>
      <name val="Cambria"/>
      <family val="1"/>
      <scheme val="major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17600024414813E-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8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dashed">
        <color auto="1"/>
      </top>
      <bottom style="dashed">
        <color auto="1"/>
      </bottom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/>
      <right style="double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double">
        <color auto="1"/>
      </right>
      <top style="dashed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 style="dashed">
        <color auto="1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5">
    <xf numFmtId="0" fontId="0" fillId="0" borderId="0"/>
    <xf numFmtId="164" fontId="79" fillId="0" borderId="0" applyFont="0" applyFill="0" applyBorder="0" applyAlignment="0" applyProtection="0"/>
    <xf numFmtId="165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167" fontId="44" fillId="0" borderId="0" applyFont="0" applyFill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5" fillId="24" borderId="0" applyNumberFormat="0" applyBorder="0" applyAlignment="0" applyProtection="0"/>
    <xf numFmtId="0" fontId="43" fillId="12" borderId="0" applyNumberFormat="0" applyBorder="0" applyAlignment="0" applyProtection="0"/>
    <xf numFmtId="0" fontId="43" fillId="14" borderId="0" applyNumberFormat="0" applyBorder="0" applyAlignment="0" applyProtection="0"/>
    <xf numFmtId="0" fontId="43" fillId="14" borderId="0" applyNumberFormat="0" applyBorder="0" applyAlignment="0" applyProtection="0"/>
    <xf numFmtId="0" fontId="45" fillId="25" borderId="0" applyNumberFormat="0" applyBorder="0" applyAlignment="0" applyProtection="0"/>
    <xf numFmtId="0" fontId="43" fillId="14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5" fillId="26" borderId="0" applyNumberFormat="0" applyBorder="0" applyAlignment="0" applyProtection="0"/>
    <xf numFmtId="0" fontId="43" fillId="16" borderId="0" applyNumberFormat="0" applyBorder="0" applyAlignment="0" applyProtection="0"/>
    <xf numFmtId="0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5" fillId="27" borderId="0" applyNumberFormat="0" applyBorder="0" applyAlignment="0" applyProtection="0"/>
    <xf numFmtId="0" fontId="43" fillId="18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5" fillId="28" borderId="0" applyNumberFormat="0" applyBorder="0" applyAlignment="0" applyProtection="0"/>
    <xf numFmtId="0" fontId="43" fillId="20" borderId="0" applyNumberFormat="0" applyBorder="0" applyAlignment="0" applyProtection="0"/>
    <xf numFmtId="0" fontId="43" fillId="22" borderId="0" applyNumberFormat="0" applyBorder="0" applyAlignment="0" applyProtection="0"/>
    <xf numFmtId="0" fontId="43" fillId="22" borderId="0" applyNumberFormat="0" applyBorder="0" applyAlignment="0" applyProtection="0"/>
    <xf numFmtId="0" fontId="45" fillId="29" borderId="0" applyNumberFormat="0" applyBorder="0" applyAlignment="0" applyProtection="0"/>
    <xf numFmtId="0" fontId="43" fillId="22" borderId="0" applyNumberFormat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5" fillId="30" borderId="0" applyNumberFormat="0" applyBorder="0" applyAlignment="0" applyProtection="0"/>
    <xf numFmtId="0" fontId="43" fillId="13" borderId="0" applyNumberFormat="0" applyBorder="0" applyAlignment="0" applyProtection="0"/>
    <xf numFmtId="0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5" fillId="31" borderId="0" applyNumberFormat="0" applyBorder="0" applyAlignment="0" applyProtection="0"/>
    <xf numFmtId="0" fontId="43" fillId="15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5" fillId="32" borderId="0" applyNumberFormat="0" applyBorder="0" applyAlignment="0" applyProtection="0"/>
    <xf numFmtId="0" fontId="43" fillId="17" borderId="0" applyNumberFormat="0" applyBorder="0" applyAlignment="0" applyProtection="0"/>
    <xf numFmtId="0" fontId="43" fillId="19" borderId="0" applyNumberFormat="0" applyBorder="0" applyAlignment="0" applyProtection="0"/>
    <xf numFmtId="0" fontId="43" fillId="19" borderId="0" applyNumberFormat="0" applyBorder="0" applyAlignment="0" applyProtection="0"/>
    <xf numFmtId="0" fontId="45" fillId="27" borderId="0" applyNumberFormat="0" applyBorder="0" applyAlignment="0" applyProtection="0"/>
    <xf numFmtId="0" fontId="43" fillId="19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5" fillId="30" borderId="0" applyNumberFormat="0" applyBorder="0" applyAlignment="0" applyProtection="0"/>
    <xf numFmtId="0" fontId="43" fillId="21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5" fillId="33" borderId="0" applyNumberFormat="0" applyBorder="0" applyAlignment="0" applyProtection="0"/>
    <xf numFmtId="0" fontId="43" fillId="23" borderId="0" applyNumberFormat="0" applyBorder="0" applyAlignment="0" applyProtection="0"/>
    <xf numFmtId="0" fontId="46" fillId="34" borderId="0" applyNumberFormat="0" applyBorder="0" applyAlignment="0" applyProtection="0"/>
    <xf numFmtId="0" fontId="46" fillId="31" borderId="0" applyNumberFormat="0" applyBorder="0" applyAlignment="0" applyProtection="0"/>
    <xf numFmtId="0" fontId="46" fillId="32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41" borderId="0" applyNumberFormat="0" applyBorder="0" applyAlignment="0" applyProtection="0"/>
    <xf numFmtId="0" fontId="42" fillId="11" borderId="0" applyNumberFormat="0" applyBorder="0" applyAlignment="0" applyProtection="0"/>
    <xf numFmtId="0" fontId="47" fillId="25" borderId="0" applyNumberFormat="0" applyBorder="0" applyAlignment="0" applyProtection="0"/>
    <xf numFmtId="0" fontId="48" fillId="42" borderId="74" applyNumberFormat="0" applyAlignment="0" applyProtection="0"/>
    <xf numFmtId="0" fontId="49" fillId="43" borderId="75" applyNumberFormat="0" applyAlignment="0" applyProtection="0"/>
    <xf numFmtId="170" fontId="79" fillId="0" borderId="0" applyFont="0" applyFill="0" applyBorder="0" applyAlignment="0" applyProtection="0"/>
    <xf numFmtId="171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17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1" fillId="0" borderId="0" applyProtection="0"/>
    <xf numFmtId="0" fontId="45" fillId="0" borderId="0"/>
    <xf numFmtId="0" fontId="44" fillId="0" borderId="0"/>
    <xf numFmtId="0" fontId="44" fillId="0" borderId="0"/>
    <xf numFmtId="0" fontId="44" fillId="0" borderId="0"/>
    <xf numFmtId="0" fontId="52" fillId="0" borderId="0" applyNumberFormat="0" applyFill="0" applyBorder="0" applyAlignment="0" applyProtection="0"/>
    <xf numFmtId="0" fontId="53" fillId="0" borderId="0">
      <protection locked="0"/>
    </xf>
    <xf numFmtId="0" fontId="53" fillId="0" borderId="0">
      <protection locked="0"/>
    </xf>
    <xf numFmtId="0" fontId="54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4" fillId="0" borderId="0">
      <protection locked="0"/>
    </xf>
    <xf numFmtId="2" fontId="51" fillId="0" borderId="0" applyProtection="0"/>
    <xf numFmtId="0" fontId="55" fillId="26" borderId="0" applyNumberFormat="0" applyBorder="0" applyAlignment="0" applyProtection="0"/>
    <xf numFmtId="0" fontId="56" fillId="0" borderId="76" applyNumberFormat="0" applyFill="0" applyAlignment="0" applyProtection="0"/>
    <xf numFmtId="0" fontId="57" fillId="0" borderId="77" applyNumberFormat="0" applyFill="0" applyAlignment="0" applyProtection="0"/>
    <xf numFmtId="0" fontId="58" fillId="0" borderId="78" applyNumberFormat="0" applyFill="0" applyAlignment="0" applyProtection="0"/>
    <xf numFmtId="0" fontId="58" fillId="0" borderId="0" applyNumberFormat="0" applyFill="0" applyBorder="0" applyAlignment="0" applyProtection="0"/>
    <xf numFmtId="0" fontId="51" fillId="0" borderId="0" applyNumberFormat="0" applyFont="0" applyFill="0" applyBorder="0" applyAlignment="0" applyProtection="0"/>
    <xf numFmtId="0" fontId="59" fillId="0" borderId="0" applyProtection="0"/>
    <xf numFmtId="172" fontId="44" fillId="0" borderId="0" applyFont="0" applyFill="0" applyBorder="0" applyAlignment="0" applyProtection="0"/>
    <xf numFmtId="172" fontId="44" fillId="0" borderId="0" applyFont="0" applyFill="0" applyBorder="0" applyAlignment="0" applyProtection="0"/>
    <xf numFmtId="172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0" fontId="60" fillId="29" borderId="74" applyNumberFormat="0" applyAlignment="0" applyProtection="0"/>
    <xf numFmtId="0" fontId="61" fillId="0" borderId="0"/>
    <xf numFmtId="174" fontId="61" fillId="0" borderId="0"/>
    <xf numFmtId="0" fontId="62" fillId="0" borderId="79" applyNumberFormat="0" applyFill="0" applyAlignment="0" applyProtection="0"/>
    <xf numFmtId="0" fontId="63" fillId="44" borderId="0" applyNumberFormat="0" applyBorder="0" applyAlignment="0" applyProtection="0"/>
    <xf numFmtId="0" fontId="64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0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66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7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0" fillId="0" borderId="0"/>
    <xf numFmtId="0" fontId="50" fillId="0" borderId="0"/>
    <xf numFmtId="0" fontId="5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9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50" fillId="0" borderId="0"/>
    <xf numFmtId="0" fontId="43" fillId="0" borderId="0"/>
    <xf numFmtId="0" fontId="79" fillId="0" borderId="0"/>
    <xf numFmtId="0" fontId="43" fillId="0" borderId="0"/>
    <xf numFmtId="0" fontId="5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3" fillId="4" borderId="73" applyNumberFormat="0" applyFont="0" applyAlignment="0" applyProtection="0"/>
    <xf numFmtId="0" fontId="43" fillId="4" borderId="73" applyNumberFormat="0" applyFont="0" applyAlignment="0" applyProtection="0"/>
    <xf numFmtId="0" fontId="67" fillId="45" borderId="80" applyNumberFormat="0" applyFont="0" applyAlignment="0" applyProtection="0"/>
    <xf numFmtId="0" fontId="43" fillId="4" borderId="73" applyNumberFormat="0" applyFont="0" applyAlignment="0" applyProtection="0"/>
    <xf numFmtId="0" fontId="43" fillId="4" borderId="73" applyNumberFormat="0" applyFont="0" applyAlignment="0" applyProtection="0"/>
    <xf numFmtId="0" fontId="44" fillId="0" borderId="0"/>
    <xf numFmtId="0" fontId="68" fillId="42" borderId="81" applyNumberFormat="0" applyAlignment="0" applyProtection="0"/>
    <xf numFmtId="175" fontId="44" fillId="0" borderId="0" applyFont="0" applyFill="0" applyBorder="0" applyAlignment="0" applyProtection="0"/>
    <xf numFmtId="175" fontId="44" fillId="0" borderId="0" applyFont="0" applyFill="0" applyBorder="0" applyAlignment="0" applyProtection="0"/>
    <xf numFmtId="175" fontId="44" fillId="0" borderId="0" applyFont="0" applyFill="0" applyBorder="0" applyAlignment="0" applyProtection="0"/>
    <xf numFmtId="0" fontId="69" fillId="0" borderId="0"/>
    <xf numFmtId="0" fontId="70" fillId="0" borderId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82" applyNumberFormat="0" applyFill="0" applyAlignment="0" applyProtection="0"/>
    <xf numFmtId="0" fontId="74" fillId="0" borderId="0" applyNumberFormat="0" applyFill="0" applyBorder="0" applyAlignment="0" applyProtection="0"/>
  </cellStyleXfs>
  <cellXfs count="66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2" borderId="0" xfId="0" applyFont="1" applyFill="1"/>
    <xf numFmtId="0" fontId="2" fillId="5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4" fillId="6" borderId="1" xfId="0" applyFont="1" applyFill="1" applyBorder="1" applyProtection="1">
      <protection locked="0"/>
    </xf>
    <xf numFmtId="0" fontId="5" fillId="3" borderId="0" xfId="0" applyFont="1" applyFill="1"/>
    <xf numFmtId="0" fontId="5" fillId="4" borderId="0" xfId="0" applyFont="1" applyFill="1"/>
    <xf numFmtId="0" fontId="0" fillId="2" borderId="2" xfId="0" applyFill="1" applyBorder="1"/>
    <xf numFmtId="0" fontId="5" fillId="3" borderId="2" xfId="0" applyFont="1" applyFill="1" applyBorder="1"/>
    <xf numFmtId="0" fontId="5" fillId="4" borderId="2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5" fillId="2" borderId="3" xfId="0" applyFont="1" applyFill="1" applyBorder="1"/>
    <xf numFmtId="0" fontId="1" fillId="2" borderId="3" xfId="0" applyFont="1" applyFill="1" applyBorder="1"/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left" wrapText="1" indent="1"/>
    </xf>
    <xf numFmtId="0" fontId="7" fillId="4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wrapText="1" indent="2"/>
    </xf>
    <xf numFmtId="0" fontId="1" fillId="4" borderId="0" xfId="0" applyFont="1" applyFill="1" applyAlignment="1">
      <alignment horizontal="left" wrapText="1" indent="2"/>
    </xf>
    <xf numFmtId="0" fontId="8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wrapText="1" indent="2"/>
    </xf>
    <xf numFmtId="0" fontId="1" fillId="4" borderId="2" xfId="0" applyFont="1" applyFill="1" applyBorder="1" applyAlignment="1">
      <alignment horizontal="left" wrapText="1" indent="2"/>
    </xf>
    <xf numFmtId="0" fontId="6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 vertical="center" wrapText="1" indent="2"/>
    </xf>
    <xf numFmtId="0" fontId="6" fillId="3" borderId="0" xfId="0" applyFont="1" applyFill="1" applyAlignment="1">
      <alignment horizontal="justify" vertical="top" wrapText="1"/>
    </xf>
    <xf numFmtId="0" fontId="7" fillId="4" borderId="0" xfId="0" applyFont="1" applyFill="1" applyAlignment="1">
      <alignment horizontal="justify" vertical="top" wrapText="1"/>
    </xf>
    <xf numFmtId="0" fontId="8" fillId="3" borderId="0" xfId="0" applyFont="1" applyFill="1" applyAlignment="1">
      <alignment horizontal="left" vertical="top" wrapText="1" indent="1"/>
    </xf>
    <xf numFmtId="0" fontId="1" fillId="4" borderId="0" xfId="0" applyFont="1" applyFill="1" applyAlignment="1">
      <alignment horizontal="left" vertical="top" wrapText="1" indent="1"/>
    </xf>
    <xf numFmtId="0" fontId="8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top" wrapText="1" indent="1"/>
    </xf>
    <xf numFmtId="0" fontId="1" fillId="4" borderId="2" xfId="0" applyFont="1" applyFill="1" applyBorder="1" applyAlignment="1">
      <alignment horizontal="left" vertical="top" wrapText="1" indent="1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top" wrapText="1" indent="1"/>
    </xf>
    <xf numFmtId="0" fontId="1" fillId="4" borderId="4" xfId="0" applyFont="1" applyFill="1" applyBorder="1" applyAlignment="1">
      <alignment horizontal="left" vertical="top" wrapText="1" indent="1"/>
    </xf>
    <xf numFmtId="0" fontId="1" fillId="2" borderId="4" xfId="0" applyFont="1" applyFill="1" applyBorder="1"/>
    <xf numFmtId="0" fontId="0" fillId="3" borderId="3" xfId="0" applyFill="1" applyBorder="1"/>
    <xf numFmtId="0" fontId="0" fillId="4" borderId="3" xfId="0" applyFill="1" applyBorder="1"/>
    <xf numFmtId="0" fontId="0" fillId="3" borderId="2" xfId="0" applyFill="1" applyBorder="1"/>
    <xf numFmtId="0" fontId="8" fillId="2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vertical="center" wrapText="1"/>
    </xf>
    <xf numFmtId="0" fontId="0" fillId="4" borderId="5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wrapText="1"/>
    </xf>
    <xf numFmtId="0" fontId="13" fillId="2" borderId="0" xfId="0" applyFont="1" applyFill="1"/>
    <xf numFmtId="0" fontId="0" fillId="2" borderId="0" xfId="0" applyFill="1" applyAlignment="1">
      <alignment horizontal="right"/>
    </xf>
    <xf numFmtId="4" fontId="0" fillId="2" borderId="0" xfId="0" applyNumberFormat="1" applyFill="1"/>
    <xf numFmtId="0" fontId="0" fillId="2" borderId="0" xfId="0" applyFill="1" applyAlignment="1">
      <alignment horizontal="center"/>
    </xf>
    <xf numFmtId="0" fontId="0" fillId="2" borderId="7" xfId="0" applyFill="1" applyBorder="1"/>
    <xf numFmtId="0" fontId="0" fillId="2" borderId="6" xfId="0" applyFill="1" applyBorder="1"/>
    <xf numFmtId="4" fontId="13" fillId="2" borderId="7" xfId="0" applyNumberFormat="1" applyFont="1" applyFill="1" applyBorder="1" applyAlignment="1">
      <alignment vertical="center"/>
    </xf>
    <xf numFmtId="4" fontId="13" fillId="2" borderId="0" xfId="0" applyNumberFormat="1" applyFont="1" applyFill="1" applyAlignment="1">
      <alignment vertical="center"/>
    </xf>
    <xf numFmtId="4" fontId="13" fillId="2" borderId="6" xfId="0" applyNumberFormat="1" applyFont="1" applyFill="1" applyBorder="1" applyAlignment="1">
      <alignment vertical="center"/>
    </xf>
    <xf numFmtId="9" fontId="0" fillId="2" borderId="0" xfId="3" applyFont="1" applyFill="1" applyAlignment="1">
      <alignment horizontal="right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wrapText="1"/>
    </xf>
    <xf numFmtId="4" fontId="13" fillId="3" borderId="7" xfId="0" applyNumberFormat="1" applyFont="1" applyFill="1" applyBorder="1" applyAlignment="1">
      <alignment vertical="center"/>
    </xf>
    <xf numFmtId="4" fontId="13" fillId="3" borderId="0" xfId="0" applyNumberFormat="1" applyFont="1" applyFill="1" applyAlignment="1">
      <alignment vertical="center"/>
    </xf>
    <xf numFmtId="4" fontId="13" fillId="3" borderId="6" xfId="0" applyNumberFormat="1" applyFont="1" applyFill="1" applyBorder="1" applyAlignment="1">
      <alignment vertical="center"/>
    </xf>
    <xf numFmtId="0" fontId="13" fillId="3" borderId="0" xfId="0" applyFont="1" applyFill="1"/>
    <xf numFmtId="0" fontId="13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13" fillId="2" borderId="0" xfId="0" applyFont="1" applyFill="1" applyAlignment="1">
      <alignment horizontal="right"/>
    </xf>
    <xf numFmtId="0" fontId="13" fillId="0" borderId="0" xfId="0" applyFont="1"/>
    <xf numFmtId="9" fontId="13" fillId="2" borderId="0" xfId="3" applyFont="1" applyFill="1" applyAlignment="1">
      <alignment horizontal="right"/>
    </xf>
    <xf numFmtId="0" fontId="13" fillId="3" borderId="0" xfId="1" applyNumberFormat="1" applyFont="1" applyFill="1" applyAlignment="1">
      <alignment horizontal="right"/>
    </xf>
    <xf numFmtId="4" fontId="13" fillId="2" borderId="0" xfId="0" applyNumberFormat="1" applyFont="1" applyFill="1"/>
    <xf numFmtId="2" fontId="13" fillId="0" borderId="0" xfId="0" applyNumberFormat="1" applyFont="1"/>
    <xf numFmtId="0" fontId="1" fillId="2" borderId="0" xfId="0" applyFont="1" applyFill="1" applyAlignment="1">
      <alignment horizontal="right"/>
    </xf>
    <xf numFmtId="4" fontId="13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4" fontId="13" fillId="2" borderId="0" xfId="0" applyNumberFormat="1" applyFont="1" applyFill="1" applyAlignment="1">
      <alignment horizontal="right"/>
    </xf>
    <xf numFmtId="2" fontId="13" fillId="2" borderId="0" xfId="0" applyNumberFormat="1" applyFont="1" applyFill="1" applyAlignment="1">
      <alignment horizontal="right"/>
    </xf>
    <xf numFmtId="164" fontId="5" fillId="2" borderId="0" xfId="1" applyFont="1" applyFill="1" applyAlignment="1">
      <alignment horizontal="right"/>
    </xf>
    <xf numFmtId="176" fontId="13" fillId="2" borderId="0" xfId="0" applyNumberFormat="1" applyFont="1" applyFill="1" applyAlignment="1">
      <alignment horizontal="right"/>
    </xf>
    <xf numFmtId="165" fontId="0" fillId="2" borderId="0" xfId="2" applyFont="1" applyFill="1" applyAlignment="1">
      <alignment horizontal="right"/>
    </xf>
    <xf numFmtId="164" fontId="0" fillId="2" borderId="0" xfId="1" applyFont="1" applyFill="1"/>
    <xf numFmtId="4" fontId="15" fillId="2" borderId="0" xfId="0" applyNumberFormat="1" applyFont="1" applyFill="1" applyAlignment="1">
      <alignment vertical="center"/>
    </xf>
    <xf numFmtId="4" fontId="15" fillId="3" borderId="0" xfId="0" applyNumberFormat="1" applyFont="1" applyFill="1" applyAlignment="1">
      <alignment vertical="center"/>
    </xf>
    <xf numFmtId="4" fontId="13" fillId="3" borderId="0" xfId="0" applyNumberFormat="1" applyFont="1" applyFill="1"/>
    <xf numFmtId="0" fontId="16" fillId="3" borderId="0" xfId="0" applyFont="1" applyFill="1"/>
    <xf numFmtId="0" fontId="17" fillId="3" borderId="0" xfId="0" applyFont="1" applyFill="1"/>
    <xf numFmtId="4" fontId="17" fillId="3" borderId="0" xfId="0" applyNumberFormat="1" applyFont="1" applyFill="1"/>
    <xf numFmtId="4" fontId="18" fillId="3" borderId="0" xfId="0" applyNumberFormat="1" applyFont="1" applyFill="1" applyAlignment="1">
      <alignment horizontal="right" vertical="center"/>
    </xf>
    <xf numFmtId="4" fontId="19" fillId="2" borderId="0" xfId="0" applyNumberFormat="1" applyFont="1" applyFill="1" applyAlignment="1">
      <alignment horizontal="right" vertical="center"/>
    </xf>
    <xf numFmtId="4" fontId="0" fillId="3" borderId="0" xfId="0" applyNumberFormat="1" applyFill="1"/>
    <xf numFmtId="4" fontId="15" fillId="2" borderId="7" xfId="0" applyNumberFormat="1" applyFont="1" applyFill="1" applyBorder="1" applyAlignment="1">
      <alignment vertical="center"/>
    </xf>
    <xf numFmtId="4" fontId="15" fillId="2" borderId="6" xfId="0" applyNumberFormat="1" applyFont="1" applyFill="1" applyBorder="1" applyAlignment="1">
      <alignment vertical="center"/>
    </xf>
    <xf numFmtId="4" fontId="19" fillId="3" borderId="0" xfId="0" applyNumberFormat="1" applyFont="1" applyFill="1" applyAlignment="1">
      <alignment vertical="center"/>
    </xf>
    <xf numFmtId="4" fontId="14" fillId="2" borderId="7" xfId="0" applyNumberFormat="1" applyFont="1" applyFill="1" applyBorder="1" applyAlignment="1">
      <alignment vertical="center"/>
    </xf>
    <xf numFmtId="4" fontId="14" fillId="2" borderId="0" xfId="0" applyNumberFormat="1" applyFont="1" applyFill="1" applyAlignment="1">
      <alignment vertical="center"/>
    </xf>
    <xf numFmtId="4" fontId="14" fillId="2" borderId="6" xfId="0" applyNumberFormat="1" applyFont="1" applyFill="1" applyBorder="1" applyAlignment="1">
      <alignment vertical="center"/>
    </xf>
    <xf numFmtId="4" fontId="14" fillId="3" borderId="7" xfId="0" applyNumberFormat="1" applyFont="1" applyFill="1" applyBorder="1" applyAlignment="1">
      <alignment vertical="center"/>
    </xf>
    <xf numFmtId="4" fontId="14" fillId="3" borderId="0" xfId="0" applyNumberFormat="1" applyFont="1" applyFill="1" applyAlignment="1">
      <alignment vertical="center"/>
    </xf>
    <xf numFmtId="4" fontId="14" fillId="3" borderId="6" xfId="0" applyNumberFormat="1" applyFont="1" applyFill="1" applyBorder="1" applyAlignment="1">
      <alignment vertical="center"/>
    </xf>
    <xf numFmtId="0" fontId="2" fillId="3" borderId="0" xfId="0" applyFont="1" applyFill="1" applyAlignment="1">
      <alignment wrapText="1"/>
    </xf>
    <xf numFmtId="4" fontId="19" fillId="2" borderId="0" xfId="0" applyNumberFormat="1" applyFont="1" applyFill="1" applyAlignment="1">
      <alignment vertical="center"/>
    </xf>
    <xf numFmtId="4" fontId="18" fillId="2" borderId="0" xfId="0" applyNumberFormat="1" applyFont="1" applyFill="1" applyAlignment="1">
      <alignment horizontal="right" vertical="center"/>
    </xf>
    <xf numFmtId="4" fontId="20" fillId="2" borderId="0" xfId="0" applyNumberFormat="1" applyFont="1" applyFill="1" applyAlignment="1">
      <alignment vertical="center"/>
    </xf>
    <xf numFmtId="4" fontId="20" fillId="2" borderId="6" xfId="0" applyNumberFormat="1" applyFont="1" applyFill="1" applyBorder="1" applyAlignment="1">
      <alignment vertical="center"/>
    </xf>
    <xf numFmtId="4" fontId="21" fillId="2" borderId="7" xfId="0" applyNumberFormat="1" applyFont="1" applyFill="1" applyBorder="1" applyAlignment="1">
      <alignment vertical="center"/>
    </xf>
    <xf numFmtId="4" fontId="21" fillId="2" borderId="0" xfId="0" applyNumberFormat="1" applyFont="1" applyFill="1" applyAlignment="1">
      <alignment vertical="center"/>
    </xf>
    <xf numFmtId="4" fontId="21" fillId="2" borderId="6" xfId="0" applyNumberFormat="1" applyFont="1" applyFill="1" applyBorder="1" applyAlignment="1">
      <alignment vertical="center"/>
    </xf>
    <xf numFmtId="4" fontId="20" fillId="2" borderId="7" xfId="0" applyNumberFormat="1" applyFont="1" applyFill="1" applyBorder="1" applyAlignment="1">
      <alignment vertical="center"/>
    </xf>
    <xf numFmtId="4" fontId="20" fillId="2" borderId="0" xfId="0" applyNumberFormat="1" applyFont="1" applyFill="1"/>
    <xf numFmtId="4" fontId="20" fillId="5" borderId="0" xfId="0" applyNumberFormat="1" applyFont="1" applyFill="1"/>
    <xf numFmtId="0" fontId="20" fillId="5" borderId="0" xfId="0" applyFont="1" applyFill="1"/>
    <xf numFmtId="4" fontId="0" fillId="2" borderId="0" xfId="0" applyNumberFormat="1" applyFill="1" applyAlignment="1">
      <alignment horizontal="right"/>
    </xf>
    <xf numFmtId="4" fontId="22" fillId="0" borderId="0" xfId="0" applyNumberFormat="1" applyFont="1"/>
    <xf numFmtId="0" fontId="0" fillId="2" borderId="0" xfId="0" applyFill="1" applyAlignment="1">
      <alignment vertical="center"/>
    </xf>
    <xf numFmtId="0" fontId="23" fillId="7" borderId="0" xfId="0" applyFont="1" applyFill="1" applyAlignment="1">
      <alignment vertical="center"/>
    </xf>
    <xf numFmtId="0" fontId="5" fillId="7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24" fillId="2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5" fillId="7" borderId="0" xfId="0" applyFont="1" applyFill="1" applyAlignment="1" applyProtection="1">
      <alignment vertical="center"/>
      <protection hidden="1"/>
    </xf>
    <xf numFmtId="0" fontId="25" fillId="7" borderId="0" xfId="0" applyFont="1" applyFill="1" applyAlignment="1" applyProtection="1">
      <alignment horizontal="center" vertical="center"/>
      <protection hidden="1"/>
    </xf>
    <xf numFmtId="0" fontId="5" fillId="2" borderId="13" xfId="0" applyFont="1" applyFill="1" applyBorder="1" applyAlignment="1" applyProtection="1">
      <alignment vertical="center"/>
      <protection hidden="1"/>
    </xf>
    <xf numFmtId="176" fontId="5" fillId="2" borderId="14" xfId="0" applyNumberFormat="1" applyFont="1" applyFill="1" applyBorder="1" applyAlignment="1" applyProtection="1">
      <alignment vertical="center"/>
      <protection hidden="1"/>
    </xf>
    <xf numFmtId="0" fontId="5" fillId="7" borderId="0" xfId="0" applyFont="1" applyFill="1" applyAlignment="1" applyProtection="1">
      <alignment horizontal="center" vertical="center"/>
      <protection hidden="1"/>
    </xf>
    <xf numFmtId="0" fontId="26" fillId="7" borderId="0" xfId="0" applyFont="1" applyFill="1" applyAlignment="1" applyProtection="1">
      <alignment horizontal="center" vertical="top"/>
      <protection hidden="1"/>
    </xf>
    <xf numFmtId="0" fontId="26" fillId="7" borderId="15" xfId="0" applyFont="1" applyFill="1" applyBorder="1" applyAlignment="1" applyProtection="1">
      <alignment horizontal="center" vertical="center"/>
      <protection hidden="1"/>
    </xf>
    <xf numFmtId="0" fontId="26" fillId="7" borderId="16" xfId="0" applyFont="1" applyFill="1" applyBorder="1" applyAlignment="1" applyProtection="1">
      <alignment horizontal="center" vertical="center"/>
      <protection hidden="1"/>
    </xf>
    <xf numFmtId="0" fontId="27" fillId="7" borderId="0" xfId="0" applyFont="1" applyFill="1" applyAlignment="1" applyProtection="1">
      <alignment vertical="center"/>
      <protection hidden="1"/>
    </xf>
    <xf numFmtId="176" fontId="29" fillId="3" borderId="21" xfId="0" applyNumberFormat="1" applyFont="1" applyFill="1" applyBorder="1" applyAlignment="1" applyProtection="1">
      <alignment horizontal="center" vertical="center"/>
      <protection hidden="1"/>
    </xf>
    <xf numFmtId="177" fontId="30" fillId="8" borderId="20" xfId="0" applyNumberFormat="1" applyFont="1" applyFill="1" applyBorder="1" applyAlignment="1" applyProtection="1">
      <alignment horizontal="center" vertical="center"/>
      <protection hidden="1"/>
    </xf>
    <xf numFmtId="10" fontId="30" fillId="8" borderId="22" xfId="0" applyNumberFormat="1" applyFont="1" applyFill="1" applyBorder="1" applyAlignment="1" applyProtection="1">
      <alignment horizontal="center" vertical="center"/>
      <protection hidden="1"/>
    </xf>
    <xf numFmtId="176" fontId="31" fillId="7" borderId="25" xfId="0" applyNumberFormat="1" applyFont="1" applyFill="1" applyBorder="1" applyAlignment="1" applyProtection="1">
      <alignment horizontal="center" vertical="center"/>
      <protection hidden="1"/>
    </xf>
    <xf numFmtId="176" fontId="31" fillId="7" borderId="26" xfId="0" applyNumberFormat="1" applyFont="1" applyFill="1" applyBorder="1" applyAlignment="1" applyProtection="1">
      <alignment horizontal="center" vertical="center"/>
      <protection hidden="1"/>
    </xf>
    <xf numFmtId="177" fontId="32" fillId="9" borderId="23" xfId="0" applyNumberFormat="1" applyFont="1" applyFill="1" applyBorder="1" applyAlignment="1" applyProtection="1">
      <alignment horizontal="center" vertical="center"/>
      <protection hidden="1"/>
    </xf>
    <xf numFmtId="10" fontId="32" fillId="9" borderId="27" xfId="0" applyNumberFormat="1" applyFont="1" applyFill="1" applyBorder="1" applyAlignment="1" applyProtection="1">
      <alignment horizontal="center" vertical="center"/>
      <protection hidden="1"/>
    </xf>
    <xf numFmtId="176" fontId="13" fillId="2" borderId="0" xfId="0" applyNumberFormat="1" applyFont="1" applyFill="1" applyAlignment="1" applyProtection="1">
      <alignment horizontal="center" vertical="center"/>
      <protection hidden="1"/>
    </xf>
    <xf numFmtId="177" fontId="3" fillId="7" borderId="15" xfId="0" applyNumberFormat="1" applyFont="1" applyFill="1" applyBorder="1" applyAlignment="1" applyProtection="1">
      <alignment horizontal="center" vertical="center"/>
      <protection hidden="1"/>
    </xf>
    <xf numFmtId="10" fontId="3" fillId="7" borderId="16" xfId="0" applyNumberFormat="1" applyFont="1" applyFill="1" applyBorder="1" applyAlignment="1" applyProtection="1">
      <alignment horizontal="center" vertical="center"/>
      <protection hidden="1"/>
    </xf>
    <xf numFmtId="176" fontId="31" fillId="7" borderId="29" xfId="0" applyNumberFormat="1" applyFont="1" applyFill="1" applyBorder="1" applyAlignment="1" applyProtection="1">
      <alignment horizontal="center" vertical="center"/>
      <protection hidden="1"/>
    </xf>
    <xf numFmtId="177" fontId="32" fillId="9" borderId="28" xfId="0" applyNumberFormat="1" applyFont="1" applyFill="1" applyBorder="1" applyAlignment="1" applyProtection="1">
      <alignment horizontal="center" vertical="center"/>
      <protection hidden="1"/>
    </xf>
    <xf numFmtId="10" fontId="32" fillId="9" borderId="30" xfId="0" applyNumberFormat="1" applyFont="1" applyFill="1" applyBorder="1" applyAlignment="1" applyProtection="1">
      <alignment horizontal="center" vertical="center"/>
      <protection hidden="1"/>
    </xf>
    <xf numFmtId="176" fontId="28" fillId="7" borderId="29" xfId="0" applyNumberFormat="1" applyFont="1" applyFill="1" applyBorder="1" applyAlignment="1" applyProtection="1">
      <alignment horizontal="center" vertical="center"/>
      <protection hidden="1"/>
    </xf>
    <xf numFmtId="176" fontId="28" fillId="7" borderId="30" xfId="0" applyNumberFormat="1" applyFont="1" applyFill="1" applyBorder="1" applyAlignment="1" applyProtection="1">
      <alignment horizontal="center" vertical="center"/>
      <protection hidden="1"/>
    </xf>
    <xf numFmtId="164" fontId="5" fillId="7" borderId="0" xfId="1" applyFont="1" applyFill="1" applyAlignment="1">
      <alignment vertical="center"/>
    </xf>
    <xf numFmtId="10" fontId="32" fillId="9" borderId="33" xfId="0" applyNumberFormat="1" applyFont="1" applyFill="1" applyBorder="1" applyAlignment="1" applyProtection="1">
      <alignment horizontal="center" vertical="center"/>
      <protection hidden="1"/>
    </xf>
    <xf numFmtId="177" fontId="30" fillId="3" borderId="20" xfId="0" applyNumberFormat="1" applyFont="1" applyFill="1" applyBorder="1" applyAlignment="1" applyProtection="1">
      <alignment horizontal="center" vertical="center"/>
      <protection hidden="1"/>
    </xf>
    <xf numFmtId="10" fontId="30" fillId="3" borderId="22" xfId="0" applyNumberFormat="1" applyFont="1" applyFill="1" applyBorder="1" applyAlignment="1" applyProtection="1">
      <alignment horizontal="center" vertical="center"/>
      <protection hidden="1"/>
    </xf>
    <xf numFmtId="176" fontId="5" fillId="7" borderId="21" xfId="0" applyNumberFormat="1" applyFont="1" applyFill="1" applyBorder="1" applyAlignment="1" applyProtection="1">
      <alignment horizontal="center" vertical="center"/>
      <protection hidden="1"/>
    </xf>
    <xf numFmtId="177" fontId="32" fillId="9" borderId="20" xfId="0" applyNumberFormat="1" applyFont="1" applyFill="1" applyBorder="1" applyAlignment="1" applyProtection="1">
      <alignment horizontal="center" vertical="center"/>
      <protection hidden="1"/>
    </xf>
    <xf numFmtId="10" fontId="30" fillId="9" borderId="22" xfId="0" applyNumberFormat="1" applyFont="1" applyFill="1" applyBorder="1" applyAlignment="1" applyProtection="1">
      <alignment horizontal="center" vertical="center"/>
      <protection hidden="1"/>
    </xf>
    <xf numFmtId="176" fontId="28" fillId="7" borderId="25" xfId="0" applyNumberFormat="1" applyFont="1" applyFill="1" applyBorder="1" applyAlignment="1" applyProtection="1">
      <alignment horizontal="center" vertical="center"/>
      <protection hidden="1"/>
    </xf>
    <xf numFmtId="176" fontId="28" fillId="7" borderId="26" xfId="0" applyNumberFormat="1" applyFont="1" applyFill="1" applyBorder="1" applyAlignment="1" applyProtection="1">
      <alignment horizontal="center" vertical="center"/>
      <protection hidden="1"/>
    </xf>
    <xf numFmtId="177" fontId="32" fillId="9" borderId="34" xfId="0" applyNumberFormat="1" applyFont="1" applyFill="1" applyBorder="1" applyAlignment="1" applyProtection="1">
      <alignment horizontal="center" vertical="center"/>
      <protection hidden="1"/>
    </xf>
    <xf numFmtId="165" fontId="5" fillId="7" borderId="0" xfId="2" applyFont="1" applyFill="1" applyAlignment="1">
      <alignment vertical="center"/>
    </xf>
    <xf numFmtId="174" fontId="5" fillId="7" borderId="0" xfId="0" applyNumberFormat="1" applyFont="1" applyFill="1" applyAlignment="1">
      <alignment vertical="center"/>
    </xf>
    <xf numFmtId="4" fontId="5" fillId="7" borderId="0" xfId="0" applyNumberFormat="1" applyFont="1" applyFill="1" applyAlignment="1">
      <alignment vertical="center"/>
    </xf>
    <xf numFmtId="176" fontId="28" fillId="7" borderId="36" xfId="0" applyNumberFormat="1" applyFont="1" applyFill="1" applyBorder="1" applyAlignment="1" applyProtection="1">
      <alignment horizontal="center" vertical="center"/>
      <protection hidden="1"/>
    </xf>
    <xf numFmtId="176" fontId="28" fillId="7" borderId="37" xfId="0" applyNumberFormat="1" applyFont="1" applyFill="1" applyBorder="1" applyAlignment="1" applyProtection="1">
      <alignment horizontal="center" vertical="center"/>
      <protection hidden="1"/>
    </xf>
    <xf numFmtId="176" fontId="13" fillId="2" borderId="0" xfId="0" applyNumberFormat="1" applyFont="1" applyFill="1" applyAlignment="1" applyProtection="1">
      <alignment horizontal="center"/>
      <protection hidden="1"/>
    </xf>
    <xf numFmtId="0" fontId="13" fillId="2" borderId="15" xfId="0" applyFont="1" applyFill="1" applyBorder="1" applyAlignment="1" applyProtection="1">
      <alignment horizontal="left" vertical="center"/>
      <protection hidden="1"/>
    </xf>
    <xf numFmtId="0" fontId="13" fillId="2" borderId="0" xfId="0" applyFont="1" applyFill="1" applyAlignment="1" applyProtection="1">
      <alignment horizontal="left" vertical="center"/>
      <protection hidden="1"/>
    </xf>
    <xf numFmtId="0" fontId="5" fillId="7" borderId="0" xfId="0" applyFont="1" applyFill="1" applyAlignment="1">
      <alignment horizontal="center" vertical="center"/>
    </xf>
    <xf numFmtId="176" fontId="13" fillId="2" borderId="18" xfId="0" applyNumberFormat="1" applyFont="1" applyFill="1" applyBorder="1" applyAlignment="1" applyProtection="1">
      <alignment horizontal="center" vertical="center"/>
      <protection hidden="1"/>
    </xf>
    <xf numFmtId="10" fontId="3" fillId="7" borderId="19" xfId="0" applyNumberFormat="1" applyFont="1" applyFill="1" applyBorder="1" applyAlignment="1" applyProtection="1">
      <alignment horizontal="center" vertical="center"/>
      <protection hidden="1"/>
    </xf>
    <xf numFmtId="177" fontId="3" fillId="7" borderId="20" xfId="0" applyNumberFormat="1" applyFont="1" applyFill="1" applyBorder="1" applyAlignment="1" applyProtection="1">
      <alignment horizontal="center" vertical="center"/>
      <protection hidden="1"/>
    </xf>
    <xf numFmtId="176" fontId="13" fillId="2" borderId="18" xfId="0" applyNumberFormat="1" applyFont="1" applyFill="1" applyBorder="1" applyAlignment="1">
      <alignment horizontal="center" vertical="center"/>
    </xf>
    <xf numFmtId="177" fontId="3" fillId="7" borderId="17" xfId="0" applyNumberFormat="1" applyFont="1" applyFill="1" applyBorder="1" applyAlignment="1">
      <alignment horizontal="center" vertical="center"/>
    </xf>
    <xf numFmtId="10" fontId="3" fillId="7" borderId="19" xfId="0" applyNumberFormat="1" applyFont="1" applyFill="1" applyBorder="1" applyAlignment="1">
      <alignment horizontal="center" vertical="center"/>
    </xf>
    <xf numFmtId="0" fontId="29" fillId="3" borderId="20" xfId="0" applyFont="1" applyFill="1" applyBorder="1" applyAlignment="1" applyProtection="1">
      <alignment horizontal="left" vertical="center"/>
      <protection hidden="1"/>
    </xf>
    <xf numFmtId="0" fontId="29" fillId="3" borderId="21" xfId="0" applyFont="1" applyFill="1" applyBorder="1" applyAlignment="1" applyProtection="1">
      <alignment horizontal="left" vertical="center"/>
      <protection hidden="1"/>
    </xf>
    <xf numFmtId="177" fontId="33" fillId="8" borderId="20" xfId="0" applyNumberFormat="1" applyFont="1" applyFill="1" applyBorder="1" applyAlignment="1" applyProtection="1">
      <alignment horizontal="center"/>
      <protection hidden="1"/>
    </xf>
    <xf numFmtId="10" fontId="33" fillId="8" borderId="22" xfId="0" applyNumberFormat="1" applyFont="1" applyFill="1" applyBorder="1" applyAlignment="1" applyProtection="1">
      <alignment horizontal="center"/>
      <protection hidden="1"/>
    </xf>
    <xf numFmtId="176" fontId="5" fillId="3" borderId="21" xfId="0" applyNumberFormat="1" applyFont="1" applyFill="1" applyBorder="1" applyAlignment="1" applyProtection="1">
      <alignment horizontal="center" vertical="center"/>
      <protection hidden="1"/>
    </xf>
    <xf numFmtId="177" fontId="32" fillId="9" borderId="23" xfId="0" applyNumberFormat="1" applyFont="1" applyFill="1" applyBorder="1" applyAlignment="1" applyProtection="1">
      <alignment horizontal="center"/>
      <protection hidden="1"/>
    </xf>
    <xf numFmtId="10" fontId="32" fillId="9" borderId="27" xfId="0" applyNumberFormat="1" applyFont="1" applyFill="1" applyBorder="1" applyAlignment="1" applyProtection="1">
      <alignment horizontal="center"/>
      <protection hidden="1"/>
    </xf>
    <xf numFmtId="9" fontId="5" fillId="7" borderId="0" xfId="3" applyFont="1" applyFill="1" applyAlignment="1">
      <alignment vertical="center"/>
    </xf>
    <xf numFmtId="177" fontId="3" fillId="7" borderId="15" xfId="0" applyNumberFormat="1" applyFont="1" applyFill="1" applyBorder="1" applyAlignment="1" applyProtection="1">
      <alignment horizontal="center"/>
      <protection hidden="1"/>
    </xf>
    <xf numFmtId="10" fontId="3" fillId="7" borderId="16" xfId="0" applyNumberFormat="1" applyFont="1" applyFill="1" applyBorder="1" applyAlignment="1" applyProtection="1">
      <alignment horizontal="center"/>
      <protection hidden="1"/>
    </xf>
    <xf numFmtId="0" fontId="20" fillId="7" borderId="0" xfId="0" applyFont="1" applyFill="1" applyAlignment="1">
      <alignment vertical="center"/>
    </xf>
    <xf numFmtId="176" fontId="29" fillId="7" borderId="21" xfId="0" applyNumberFormat="1" applyFont="1" applyFill="1" applyBorder="1" applyAlignment="1" applyProtection="1">
      <alignment horizontal="center" vertical="center"/>
      <protection hidden="1"/>
    </xf>
    <xf numFmtId="177" fontId="34" fillId="9" borderId="20" xfId="0" applyNumberFormat="1" applyFont="1" applyFill="1" applyBorder="1" applyAlignment="1" applyProtection="1">
      <alignment horizontal="center"/>
      <protection hidden="1"/>
    </xf>
    <xf numFmtId="10" fontId="34" fillId="9" borderId="22" xfId="0" applyNumberFormat="1" applyFont="1" applyFill="1" applyBorder="1" applyAlignment="1" applyProtection="1">
      <alignment horizontal="center"/>
      <protection hidden="1"/>
    </xf>
    <xf numFmtId="177" fontId="32" fillId="8" borderId="20" xfId="0" applyNumberFormat="1" applyFont="1" applyFill="1" applyBorder="1" applyAlignment="1" applyProtection="1">
      <alignment horizontal="center"/>
      <protection hidden="1"/>
    </xf>
    <xf numFmtId="10" fontId="32" fillId="8" borderId="22" xfId="0" applyNumberFormat="1" applyFont="1" applyFill="1" applyBorder="1" applyAlignment="1" applyProtection="1">
      <alignment horizontal="center"/>
      <protection hidden="1"/>
    </xf>
    <xf numFmtId="0" fontId="13" fillId="7" borderId="44" xfId="0" applyFont="1" applyFill="1" applyBorder="1" applyAlignment="1" applyProtection="1">
      <alignment horizontal="left" indent="2"/>
      <protection hidden="1"/>
    </xf>
    <xf numFmtId="0" fontId="13" fillId="7" borderId="45" xfId="0" applyFont="1" applyFill="1" applyBorder="1" applyAlignment="1" applyProtection="1">
      <alignment vertical="center"/>
      <protection hidden="1"/>
    </xf>
    <xf numFmtId="176" fontId="13" fillId="7" borderId="45" xfId="0" applyNumberFormat="1" applyFont="1" applyFill="1" applyBorder="1" applyAlignment="1" applyProtection="1">
      <alignment horizontal="center"/>
      <protection hidden="1"/>
    </xf>
    <xf numFmtId="177" fontId="3" fillId="9" borderId="44" xfId="0" applyNumberFormat="1" applyFont="1" applyFill="1" applyBorder="1" applyAlignment="1" applyProtection="1">
      <alignment horizontal="center"/>
      <protection hidden="1"/>
    </xf>
    <xf numFmtId="10" fontId="3" fillId="9" borderId="46" xfId="0" applyNumberFormat="1" applyFont="1" applyFill="1" applyBorder="1" applyAlignment="1" applyProtection="1">
      <alignment horizontal="center"/>
      <protection hidden="1"/>
    </xf>
    <xf numFmtId="0" fontId="35" fillId="7" borderId="0" xfId="0" applyFont="1" applyFill="1" applyAlignment="1">
      <alignment vertical="center"/>
    </xf>
    <xf numFmtId="0" fontId="13" fillId="7" borderId="0" xfId="0" applyFont="1" applyFill="1" applyAlignment="1">
      <alignment vertical="center"/>
    </xf>
    <xf numFmtId="0" fontId="36" fillId="7" borderId="0" xfId="0" applyFont="1" applyFill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176" fontId="5" fillId="2" borderId="14" xfId="0" applyNumberFormat="1" applyFont="1" applyFill="1" applyBorder="1" applyAlignment="1">
      <alignment vertical="center"/>
    </xf>
    <xf numFmtId="0" fontId="26" fillId="7" borderId="0" xfId="0" applyFont="1" applyFill="1" applyAlignment="1">
      <alignment horizontal="center" vertical="top"/>
    </xf>
    <xf numFmtId="0" fontId="26" fillId="7" borderId="15" xfId="0" applyFont="1" applyFill="1" applyBorder="1" applyAlignment="1">
      <alignment horizontal="center" vertical="center"/>
    </xf>
    <xf numFmtId="0" fontId="26" fillId="7" borderId="16" xfId="0" applyFont="1" applyFill="1" applyBorder="1" applyAlignment="1">
      <alignment horizontal="center" vertical="center"/>
    </xf>
    <xf numFmtId="0" fontId="27" fillId="7" borderId="0" xfId="0" applyFont="1" applyFill="1" applyAlignment="1">
      <alignment horizontal="right" vertical="center"/>
    </xf>
    <xf numFmtId="176" fontId="29" fillId="3" borderId="21" xfId="0" applyNumberFormat="1" applyFont="1" applyFill="1" applyBorder="1" applyAlignment="1">
      <alignment horizontal="center" vertical="center"/>
    </xf>
    <xf numFmtId="177" fontId="30" fillId="8" borderId="20" xfId="0" applyNumberFormat="1" applyFont="1" applyFill="1" applyBorder="1" applyAlignment="1">
      <alignment horizontal="center" vertical="center"/>
    </xf>
    <xf numFmtId="10" fontId="30" fillId="8" borderId="22" xfId="0" applyNumberFormat="1" applyFont="1" applyFill="1" applyBorder="1" applyAlignment="1">
      <alignment horizontal="center" vertical="center"/>
    </xf>
    <xf numFmtId="176" fontId="31" fillId="7" borderId="25" xfId="0" applyNumberFormat="1" applyFont="1" applyFill="1" applyBorder="1" applyAlignment="1">
      <alignment horizontal="center" vertical="center"/>
    </xf>
    <xf numFmtId="176" fontId="31" fillId="7" borderId="26" xfId="0" applyNumberFormat="1" applyFont="1" applyFill="1" applyBorder="1" applyAlignment="1">
      <alignment horizontal="center" vertical="center"/>
    </xf>
    <xf numFmtId="177" fontId="32" fillId="9" borderId="23" xfId="0" applyNumberFormat="1" applyFont="1" applyFill="1" applyBorder="1" applyAlignment="1">
      <alignment horizontal="center" vertical="center"/>
    </xf>
    <xf numFmtId="10" fontId="32" fillId="9" borderId="27" xfId="0" applyNumberFormat="1" applyFont="1" applyFill="1" applyBorder="1" applyAlignment="1">
      <alignment horizontal="center" vertical="center"/>
    </xf>
    <xf numFmtId="176" fontId="5" fillId="7" borderId="0" xfId="0" applyNumberFormat="1" applyFont="1" applyFill="1" applyAlignment="1">
      <alignment vertical="center"/>
    </xf>
    <xf numFmtId="176" fontId="13" fillId="2" borderId="0" xfId="0" applyNumberFormat="1" applyFont="1" applyFill="1" applyAlignment="1">
      <alignment horizontal="center" vertical="center"/>
    </xf>
    <xf numFmtId="177" fontId="3" fillId="7" borderId="15" xfId="0" applyNumberFormat="1" applyFont="1" applyFill="1" applyBorder="1" applyAlignment="1">
      <alignment horizontal="center" vertical="center"/>
    </xf>
    <xf numFmtId="10" fontId="3" fillId="7" borderId="16" xfId="0" applyNumberFormat="1" applyFont="1" applyFill="1" applyBorder="1" applyAlignment="1">
      <alignment horizontal="center" vertical="center"/>
    </xf>
    <xf numFmtId="176" fontId="31" fillId="7" borderId="29" xfId="0" applyNumberFormat="1" applyFont="1" applyFill="1" applyBorder="1" applyAlignment="1">
      <alignment horizontal="center" vertical="center"/>
    </xf>
    <xf numFmtId="176" fontId="31" fillId="7" borderId="30" xfId="0" applyNumberFormat="1" applyFont="1" applyFill="1" applyBorder="1" applyAlignment="1">
      <alignment horizontal="center" vertical="center"/>
    </xf>
    <xf numFmtId="177" fontId="32" fillId="9" borderId="28" xfId="0" applyNumberFormat="1" applyFont="1" applyFill="1" applyBorder="1" applyAlignment="1">
      <alignment horizontal="center" vertical="center"/>
    </xf>
    <xf numFmtId="10" fontId="32" fillId="9" borderId="30" xfId="0" applyNumberFormat="1" applyFont="1" applyFill="1" applyBorder="1" applyAlignment="1">
      <alignment horizontal="center" vertical="center"/>
    </xf>
    <xf numFmtId="176" fontId="28" fillId="7" borderId="29" xfId="0" applyNumberFormat="1" applyFont="1" applyFill="1" applyBorder="1" applyAlignment="1">
      <alignment horizontal="center" vertical="center"/>
    </xf>
    <xf numFmtId="177" fontId="32" fillId="9" borderId="31" xfId="0" applyNumberFormat="1" applyFont="1" applyFill="1" applyBorder="1" applyAlignment="1">
      <alignment horizontal="center" vertical="center"/>
    </xf>
    <xf numFmtId="10" fontId="32" fillId="9" borderId="33" xfId="0" applyNumberFormat="1" applyFont="1" applyFill="1" applyBorder="1" applyAlignment="1">
      <alignment horizontal="center" vertical="center"/>
    </xf>
    <xf numFmtId="177" fontId="30" fillId="3" borderId="20" xfId="0" applyNumberFormat="1" applyFont="1" applyFill="1" applyBorder="1" applyAlignment="1">
      <alignment horizontal="center" vertical="center"/>
    </xf>
    <xf numFmtId="10" fontId="30" fillId="3" borderId="22" xfId="0" applyNumberFormat="1" applyFont="1" applyFill="1" applyBorder="1" applyAlignment="1">
      <alignment horizontal="center" vertical="center"/>
    </xf>
    <xf numFmtId="176" fontId="5" fillId="7" borderId="21" xfId="0" applyNumberFormat="1" applyFont="1" applyFill="1" applyBorder="1" applyAlignment="1">
      <alignment horizontal="center" vertical="center"/>
    </xf>
    <xf numFmtId="177" fontId="30" fillId="9" borderId="20" xfId="0" applyNumberFormat="1" applyFont="1" applyFill="1" applyBorder="1" applyAlignment="1">
      <alignment horizontal="center" vertical="center"/>
    </xf>
    <xf numFmtId="10" fontId="30" fillId="9" borderId="22" xfId="0" applyNumberFormat="1" applyFont="1" applyFill="1" applyBorder="1" applyAlignment="1">
      <alignment horizontal="center" vertical="center"/>
    </xf>
    <xf numFmtId="176" fontId="28" fillId="7" borderId="25" xfId="0" applyNumberFormat="1" applyFont="1" applyFill="1" applyBorder="1" applyAlignment="1">
      <alignment horizontal="center" vertical="center"/>
    </xf>
    <xf numFmtId="176" fontId="28" fillId="7" borderId="26" xfId="0" applyNumberFormat="1" applyFont="1" applyFill="1" applyBorder="1" applyAlignment="1">
      <alignment horizontal="center" vertical="center"/>
    </xf>
    <xf numFmtId="176" fontId="28" fillId="7" borderId="36" xfId="0" applyNumberFormat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23" fillId="7" borderId="0" xfId="0" applyFont="1" applyFill="1" applyAlignment="1">
      <alignment horizontal="right" vertical="center"/>
    </xf>
    <xf numFmtId="177" fontId="33" fillId="8" borderId="20" xfId="0" applyNumberFormat="1" applyFont="1" applyFill="1" applyBorder="1" applyAlignment="1">
      <alignment horizontal="center"/>
    </xf>
    <xf numFmtId="10" fontId="33" fillId="8" borderId="22" xfId="0" applyNumberFormat="1" applyFont="1" applyFill="1" applyBorder="1" applyAlignment="1">
      <alignment horizontal="center"/>
    </xf>
    <xf numFmtId="176" fontId="5" fillId="3" borderId="21" xfId="0" applyNumberFormat="1" applyFont="1" applyFill="1" applyBorder="1" applyAlignment="1">
      <alignment horizontal="center" vertical="center"/>
    </xf>
    <xf numFmtId="177" fontId="32" fillId="9" borderId="23" xfId="0" applyNumberFormat="1" applyFont="1" applyFill="1" applyBorder="1" applyAlignment="1">
      <alignment horizontal="center"/>
    </xf>
    <xf numFmtId="10" fontId="32" fillId="9" borderId="27" xfId="0" applyNumberFormat="1" applyFont="1" applyFill="1" applyBorder="1" applyAlignment="1">
      <alignment horizontal="center"/>
    </xf>
    <xf numFmtId="176" fontId="13" fillId="2" borderId="0" xfId="0" applyNumberFormat="1" applyFont="1" applyFill="1" applyAlignment="1">
      <alignment horizontal="center"/>
    </xf>
    <xf numFmtId="177" fontId="3" fillId="7" borderId="15" xfId="0" applyNumberFormat="1" applyFont="1" applyFill="1" applyBorder="1" applyAlignment="1">
      <alignment horizontal="center"/>
    </xf>
    <xf numFmtId="10" fontId="3" fillId="7" borderId="16" xfId="0" applyNumberFormat="1" applyFont="1" applyFill="1" applyBorder="1" applyAlignment="1">
      <alignment horizontal="center"/>
    </xf>
    <xf numFmtId="176" fontId="13" fillId="2" borderId="18" xfId="0" applyNumberFormat="1" applyFont="1" applyFill="1" applyBorder="1" applyAlignment="1">
      <alignment horizontal="center"/>
    </xf>
    <xf numFmtId="176" fontId="29" fillId="7" borderId="21" xfId="0" applyNumberFormat="1" applyFont="1" applyFill="1" applyBorder="1" applyAlignment="1">
      <alignment horizontal="center" vertical="center"/>
    </xf>
    <xf numFmtId="177" fontId="34" fillId="9" borderId="20" xfId="0" applyNumberFormat="1" applyFont="1" applyFill="1" applyBorder="1" applyAlignment="1">
      <alignment horizontal="center"/>
    </xf>
    <xf numFmtId="10" fontId="34" fillId="9" borderId="22" xfId="0" applyNumberFormat="1" applyFont="1" applyFill="1" applyBorder="1" applyAlignment="1">
      <alignment horizontal="center"/>
    </xf>
    <xf numFmtId="177" fontId="32" fillId="8" borderId="20" xfId="0" applyNumberFormat="1" applyFont="1" applyFill="1" applyBorder="1" applyAlignment="1">
      <alignment horizontal="center"/>
    </xf>
    <xf numFmtId="10" fontId="32" fillId="8" borderId="22" xfId="0" applyNumberFormat="1" applyFont="1" applyFill="1" applyBorder="1" applyAlignment="1">
      <alignment horizontal="center"/>
    </xf>
    <xf numFmtId="0" fontId="13" fillId="7" borderId="44" xfId="0" applyFont="1" applyFill="1" applyBorder="1" applyAlignment="1">
      <alignment horizontal="left" indent="2"/>
    </xf>
    <xf numFmtId="0" fontId="13" fillId="7" borderId="45" xfId="0" applyFont="1" applyFill="1" applyBorder="1" applyAlignment="1">
      <alignment vertical="center"/>
    </xf>
    <xf numFmtId="176" fontId="13" fillId="7" borderId="45" xfId="0" applyNumberFormat="1" applyFont="1" applyFill="1" applyBorder="1" applyAlignment="1">
      <alignment horizontal="center"/>
    </xf>
    <xf numFmtId="177" fontId="3" fillId="9" borderId="44" xfId="0" applyNumberFormat="1" applyFont="1" applyFill="1" applyBorder="1" applyAlignment="1">
      <alignment horizontal="center"/>
    </xf>
    <xf numFmtId="10" fontId="3" fillId="9" borderId="46" xfId="0" applyNumberFormat="1" applyFont="1" applyFill="1" applyBorder="1" applyAlignment="1">
      <alignment horizontal="center"/>
    </xf>
    <xf numFmtId="1" fontId="5" fillId="7" borderId="0" xfId="0" applyNumberFormat="1" applyFont="1" applyFill="1" applyAlignment="1">
      <alignment vertical="center"/>
    </xf>
    <xf numFmtId="178" fontId="0" fillId="2" borderId="0" xfId="0" applyNumberFormat="1" applyFill="1" applyAlignment="1" applyProtection="1">
      <alignment vertical="center"/>
      <protection hidden="1"/>
    </xf>
    <xf numFmtId="176" fontId="0" fillId="2" borderId="0" xfId="0" applyNumberFormat="1" applyFill="1" applyAlignment="1" applyProtection="1">
      <alignment vertical="center"/>
      <protection hidden="1"/>
    </xf>
    <xf numFmtId="176" fontId="3" fillId="7" borderId="15" xfId="0" applyNumberFormat="1" applyFont="1" applyFill="1" applyBorder="1" applyAlignment="1" applyProtection="1">
      <alignment horizontal="center" vertical="center"/>
      <protection hidden="1"/>
    </xf>
    <xf numFmtId="174" fontId="3" fillId="7" borderId="15" xfId="0" applyNumberFormat="1" applyFont="1" applyFill="1" applyBorder="1" applyAlignment="1" applyProtection="1">
      <alignment horizontal="center" vertical="center"/>
      <protection hidden="1"/>
    </xf>
    <xf numFmtId="1" fontId="27" fillId="7" borderId="0" xfId="0" applyNumberFormat="1" applyFont="1" applyFill="1" applyAlignment="1" applyProtection="1">
      <alignment vertical="center"/>
      <protection hidden="1"/>
    </xf>
    <xf numFmtId="176" fontId="28" fillId="7" borderId="43" xfId="0" applyNumberFormat="1" applyFont="1" applyFill="1" applyBorder="1" applyAlignment="1" applyProtection="1">
      <alignment horizontal="center" vertical="center"/>
      <protection hidden="1"/>
    </xf>
    <xf numFmtId="177" fontId="32" fillId="9" borderId="42" xfId="0" applyNumberFormat="1" applyFont="1" applyFill="1" applyBorder="1" applyAlignment="1" applyProtection="1">
      <alignment horizontal="center"/>
      <protection hidden="1"/>
    </xf>
    <xf numFmtId="10" fontId="32" fillId="9" borderId="47" xfId="0" applyNumberFormat="1" applyFont="1" applyFill="1" applyBorder="1" applyAlignment="1" applyProtection="1">
      <alignment horizontal="center"/>
      <protection hidden="1"/>
    </xf>
    <xf numFmtId="176" fontId="5" fillId="3" borderId="43" xfId="0" applyNumberFormat="1" applyFont="1" applyFill="1" applyBorder="1" applyAlignment="1">
      <alignment horizontal="center" vertical="center"/>
    </xf>
    <xf numFmtId="177" fontId="33" fillId="8" borderId="42" xfId="0" applyNumberFormat="1" applyFont="1" applyFill="1" applyBorder="1" applyAlignment="1">
      <alignment horizontal="center"/>
    </xf>
    <xf numFmtId="10" fontId="33" fillId="8" borderId="47" xfId="0" applyNumberFormat="1" applyFont="1" applyFill="1" applyBorder="1" applyAlignment="1">
      <alignment horizontal="center"/>
    </xf>
    <xf numFmtId="176" fontId="30" fillId="8" borderId="20" xfId="0" applyNumberFormat="1" applyFont="1" applyFill="1" applyBorder="1" applyAlignment="1" applyProtection="1">
      <alignment horizontal="center" vertical="center"/>
      <protection hidden="1"/>
    </xf>
    <xf numFmtId="2" fontId="30" fillId="8" borderId="22" xfId="0" applyNumberFormat="1" applyFont="1" applyFill="1" applyBorder="1" applyAlignment="1">
      <alignment horizontal="center" vertical="center"/>
    </xf>
    <xf numFmtId="176" fontId="32" fillId="9" borderId="23" xfId="0" applyNumberFormat="1" applyFont="1" applyFill="1" applyBorder="1" applyAlignment="1" applyProtection="1">
      <alignment horizontal="center" vertical="center"/>
      <protection hidden="1"/>
    </xf>
    <xf numFmtId="2" fontId="32" fillId="9" borderId="27" xfId="0" applyNumberFormat="1" applyFont="1" applyFill="1" applyBorder="1" applyAlignment="1">
      <alignment horizontal="center" vertical="center"/>
    </xf>
    <xf numFmtId="2" fontId="3" fillId="7" borderId="16" xfId="0" applyNumberFormat="1" applyFont="1" applyFill="1" applyBorder="1" applyAlignment="1">
      <alignment horizontal="center" vertical="center"/>
    </xf>
    <xf numFmtId="176" fontId="32" fillId="9" borderId="28" xfId="0" applyNumberFormat="1" applyFont="1" applyFill="1" applyBorder="1" applyAlignment="1" applyProtection="1">
      <alignment horizontal="center" vertical="center"/>
      <protection hidden="1"/>
    </xf>
    <xf numFmtId="2" fontId="32" fillId="9" borderId="30" xfId="0" applyNumberFormat="1" applyFont="1" applyFill="1" applyBorder="1" applyAlignment="1">
      <alignment horizontal="center" vertical="center"/>
    </xf>
    <xf numFmtId="2" fontId="32" fillId="9" borderId="33" xfId="0" applyNumberFormat="1" applyFont="1" applyFill="1" applyBorder="1" applyAlignment="1">
      <alignment horizontal="center" vertical="center"/>
    </xf>
    <xf numFmtId="176" fontId="30" fillId="3" borderId="20" xfId="0" applyNumberFormat="1" applyFont="1" applyFill="1" applyBorder="1" applyAlignment="1" applyProtection="1">
      <alignment horizontal="center" vertical="center"/>
      <protection hidden="1"/>
    </xf>
    <xf numFmtId="2" fontId="30" fillId="3" borderId="22" xfId="0" applyNumberFormat="1" applyFont="1" applyFill="1" applyBorder="1" applyAlignment="1">
      <alignment horizontal="center" vertical="center"/>
    </xf>
    <xf numFmtId="176" fontId="32" fillId="9" borderId="34" xfId="0" applyNumberFormat="1" applyFont="1" applyFill="1" applyBorder="1" applyAlignment="1" applyProtection="1">
      <alignment horizontal="center" vertical="center"/>
      <protection hidden="1"/>
    </xf>
    <xf numFmtId="176" fontId="3" fillId="7" borderId="20" xfId="0" applyNumberFormat="1" applyFont="1" applyFill="1" applyBorder="1" applyAlignment="1" applyProtection="1">
      <alignment horizontal="center" vertical="center"/>
      <protection hidden="1"/>
    </xf>
    <xf numFmtId="2" fontId="3" fillId="7" borderId="22" xfId="0" applyNumberFormat="1" applyFont="1" applyFill="1" applyBorder="1" applyAlignment="1">
      <alignment horizontal="center"/>
    </xf>
    <xf numFmtId="176" fontId="3" fillId="7" borderId="17" xfId="0" applyNumberFormat="1" applyFont="1" applyFill="1" applyBorder="1" applyAlignment="1">
      <alignment horizontal="center" vertical="center"/>
    </xf>
    <xf numFmtId="2" fontId="3" fillId="7" borderId="19" xfId="0" applyNumberFormat="1" applyFont="1" applyFill="1" applyBorder="1" applyAlignment="1">
      <alignment horizontal="center" vertical="center"/>
    </xf>
    <xf numFmtId="176" fontId="33" fillId="8" borderId="20" xfId="0" applyNumberFormat="1" applyFont="1" applyFill="1" applyBorder="1" applyAlignment="1" applyProtection="1">
      <alignment horizontal="center"/>
      <protection hidden="1"/>
    </xf>
    <xf numFmtId="2" fontId="33" fillId="8" borderId="22" xfId="0" applyNumberFormat="1" applyFont="1" applyFill="1" applyBorder="1" applyAlignment="1">
      <alignment horizontal="center"/>
    </xf>
    <xf numFmtId="176" fontId="32" fillId="9" borderId="23" xfId="0" applyNumberFormat="1" applyFont="1" applyFill="1" applyBorder="1" applyAlignment="1" applyProtection="1">
      <alignment horizontal="center"/>
      <protection hidden="1"/>
    </xf>
    <xf numFmtId="2" fontId="32" fillId="9" borderId="27" xfId="0" applyNumberFormat="1" applyFont="1" applyFill="1" applyBorder="1" applyAlignment="1">
      <alignment horizontal="center"/>
    </xf>
    <xf numFmtId="176" fontId="3" fillId="7" borderId="15" xfId="0" applyNumberFormat="1" applyFont="1" applyFill="1" applyBorder="1" applyAlignment="1" applyProtection="1">
      <alignment horizontal="center"/>
      <protection hidden="1"/>
    </xf>
    <xf numFmtId="2" fontId="3" fillId="7" borderId="16" xfId="0" applyNumberFormat="1" applyFont="1" applyFill="1" applyBorder="1" applyAlignment="1">
      <alignment horizontal="center"/>
    </xf>
    <xf numFmtId="176" fontId="28" fillId="7" borderId="21" xfId="0" applyNumberFormat="1" applyFont="1" applyFill="1" applyBorder="1" applyAlignment="1" applyProtection="1">
      <alignment horizontal="center" vertical="center"/>
      <protection hidden="1"/>
    </xf>
    <xf numFmtId="176" fontId="28" fillId="7" borderId="22" xfId="0" applyNumberFormat="1" applyFont="1" applyFill="1" applyBorder="1" applyAlignment="1" applyProtection="1">
      <alignment horizontal="center" vertical="center"/>
      <protection hidden="1"/>
    </xf>
    <xf numFmtId="2" fontId="32" fillId="9" borderId="22" xfId="0" applyNumberFormat="1" applyFont="1" applyFill="1" applyBorder="1" applyAlignment="1">
      <alignment horizontal="center"/>
    </xf>
    <xf numFmtId="176" fontId="34" fillId="9" borderId="20" xfId="0" applyNumberFormat="1" applyFont="1" applyFill="1" applyBorder="1" applyAlignment="1" applyProtection="1">
      <alignment horizontal="center"/>
      <protection hidden="1"/>
    </xf>
    <xf numFmtId="2" fontId="34" fillId="9" borderId="22" xfId="0" applyNumberFormat="1" applyFont="1" applyFill="1" applyBorder="1" applyAlignment="1">
      <alignment horizontal="center"/>
    </xf>
    <xf numFmtId="176" fontId="32" fillId="8" borderId="20" xfId="0" applyNumberFormat="1" applyFont="1" applyFill="1" applyBorder="1" applyAlignment="1" applyProtection="1">
      <alignment horizontal="center"/>
      <protection hidden="1"/>
    </xf>
    <xf numFmtId="2" fontId="32" fillId="8" borderId="22" xfId="0" applyNumberFormat="1" applyFont="1" applyFill="1" applyBorder="1" applyAlignment="1">
      <alignment horizontal="center"/>
    </xf>
    <xf numFmtId="176" fontId="3" fillId="9" borderId="44" xfId="0" applyNumberFormat="1" applyFont="1" applyFill="1" applyBorder="1" applyAlignment="1" applyProtection="1">
      <alignment horizontal="center"/>
      <protection hidden="1"/>
    </xf>
    <xf numFmtId="2" fontId="3" fillId="9" borderId="46" xfId="0" applyNumberFormat="1" applyFont="1" applyFill="1" applyBorder="1" applyAlignment="1">
      <alignment horizontal="center"/>
    </xf>
    <xf numFmtId="176" fontId="33" fillId="8" borderId="20" xfId="0" applyNumberFormat="1" applyFont="1" applyFill="1" applyBorder="1" applyAlignment="1">
      <alignment horizontal="center" vertical="center"/>
    </xf>
    <xf numFmtId="2" fontId="33" fillId="8" borderId="22" xfId="0" applyNumberFormat="1" applyFont="1" applyFill="1" applyBorder="1" applyAlignment="1">
      <alignment horizontal="center" vertical="center"/>
    </xf>
    <xf numFmtId="176" fontId="32" fillId="9" borderId="23" xfId="0" applyNumberFormat="1" applyFont="1" applyFill="1" applyBorder="1" applyAlignment="1">
      <alignment horizontal="center" vertical="center"/>
    </xf>
    <xf numFmtId="176" fontId="3" fillId="7" borderId="15" xfId="0" applyNumberFormat="1" applyFont="1" applyFill="1" applyBorder="1" applyAlignment="1">
      <alignment horizontal="center" vertical="center"/>
    </xf>
    <xf numFmtId="176" fontId="32" fillId="9" borderId="28" xfId="0" applyNumberFormat="1" applyFont="1" applyFill="1" applyBorder="1" applyAlignment="1">
      <alignment horizontal="center" vertical="center"/>
    </xf>
    <xf numFmtId="176" fontId="32" fillId="9" borderId="31" xfId="0" applyNumberFormat="1" applyFont="1" applyFill="1" applyBorder="1" applyAlignment="1">
      <alignment horizontal="center" vertical="center"/>
    </xf>
    <xf numFmtId="176" fontId="33" fillId="3" borderId="20" xfId="0" applyNumberFormat="1" applyFont="1" applyFill="1" applyBorder="1" applyAlignment="1">
      <alignment horizontal="center" vertical="center"/>
    </xf>
    <xf numFmtId="2" fontId="33" fillId="3" borderId="22" xfId="0" applyNumberFormat="1" applyFont="1" applyFill="1" applyBorder="1" applyAlignment="1">
      <alignment horizontal="center" vertical="center"/>
    </xf>
    <xf numFmtId="176" fontId="3" fillId="7" borderId="15" xfId="0" applyNumberFormat="1" applyFont="1" applyFill="1" applyBorder="1" applyAlignment="1">
      <alignment horizontal="center"/>
    </xf>
    <xf numFmtId="176" fontId="33" fillId="8" borderId="20" xfId="0" applyNumberFormat="1" applyFont="1" applyFill="1" applyBorder="1" applyAlignment="1">
      <alignment horizontal="center"/>
    </xf>
    <xf numFmtId="176" fontId="32" fillId="9" borderId="23" xfId="0" applyNumberFormat="1" applyFont="1" applyFill="1" applyBorder="1" applyAlignment="1">
      <alignment horizontal="center"/>
    </xf>
    <xf numFmtId="176" fontId="34" fillId="8" borderId="20" xfId="0" applyNumberFormat="1" applyFont="1" applyFill="1" applyBorder="1" applyAlignment="1">
      <alignment horizontal="center"/>
    </xf>
    <xf numFmtId="2" fontId="34" fillId="8" borderId="22" xfId="0" applyNumberFormat="1" applyFont="1" applyFill="1" applyBorder="1" applyAlignment="1">
      <alignment horizontal="center"/>
    </xf>
    <xf numFmtId="176" fontId="34" fillId="9" borderId="20" xfId="0" applyNumberFormat="1" applyFont="1" applyFill="1" applyBorder="1" applyAlignment="1">
      <alignment horizontal="center"/>
    </xf>
    <xf numFmtId="176" fontId="32" fillId="8" borderId="20" xfId="0" applyNumberFormat="1" applyFont="1" applyFill="1" applyBorder="1" applyAlignment="1">
      <alignment horizontal="center"/>
    </xf>
    <xf numFmtId="176" fontId="3" fillId="9" borderId="44" xfId="0" applyNumberFormat="1" applyFont="1" applyFill="1" applyBorder="1" applyAlignment="1">
      <alignment horizontal="center"/>
    </xf>
    <xf numFmtId="179" fontId="30" fillId="8" borderId="22" xfId="0" applyNumberFormat="1" applyFont="1" applyFill="1" applyBorder="1" applyAlignment="1">
      <alignment horizontal="center" vertical="center"/>
    </xf>
    <xf numFmtId="180" fontId="5" fillId="7" borderId="0" xfId="0" applyNumberFormat="1" applyFont="1" applyFill="1" applyAlignment="1">
      <alignment vertical="center"/>
    </xf>
    <xf numFmtId="179" fontId="32" fillId="9" borderId="27" xfId="0" applyNumberFormat="1" applyFont="1" applyFill="1" applyBorder="1" applyAlignment="1">
      <alignment horizontal="center" vertical="center"/>
    </xf>
    <xf numFmtId="2" fontId="5" fillId="7" borderId="0" xfId="0" applyNumberFormat="1" applyFont="1" applyFill="1" applyAlignment="1">
      <alignment vertical="center"/>
    </xf>
    <xf numFmtId="179" fontId="3" fillId="7" borderId="16" xfId="0" applyNumberFormat="1" applyFont="1" applyFill="1" applyBorder="1" applyAlignment="1">
      <alignment horizontal="center" vertical="center"/>
    </xf>
    <xf numFmtId="179" fontId="32" fillId="9" borderId="30" xfId="0" applyNumberFormat="1" applyFont="1" applyFill="1" applyBorder="1" applyAlignment="1">
      <alignment horizontal="center" vertical="center"/>
    </xf>
    <xf numFmtId="179" fontId="32" fillId="9" borderId="33" xfId="0" applyNumberFormat="1" applyFont="1" applyFill="1" applyBorder="1" applyAlignment="1">
      <alignment horizontal="center" vertical="center"/>
    </xf>
    <xf numFmtId="179" fontId="30" fillId="3" borderId="22" xfId="0" applyNumberFormat="1" applyFont="1" applyFill="1" applyBorder="1" applyAlignment="1">
      <alignment horizontal="center" vertical="center"/>
    </xf>
    <xf numFmtId="176" fontId="32" fillId="9" borderId="35" xfId="0" applyNumberFormat="1" applyFont="1" applyFill="1" applyBorder="1" applyAlignment="1" applyProtection="1">
      <alignment horizontal="center" vertical="center"/>
      <protection hidden="1"/>
    </xf>
    <xf numFmtId="179" fontId="32" fillId="9" borderId="37" xfId="0" applyNumberFormat="1" applyFont="1" applyFill="1" applyBorder="1" applyAlignment="1">
      <alignment horizontal="center" vertical="center"/>
    </xf>
    <xf numFmtId="176" fontId="13" fillId="2" borderId="21" xfId="0" applyNumberFormat="1" applyFont="1" applyFill="1" applyBorder="1" applyAlignment="1" applyProtection="1">
      <alignment horizontal="center" vertical="center"/>
      <protection hidden="1"/>
    </xf>
    <xf numFmtId="176" fontId="13" fillId="2" borderId="22" xfId="0" applyNumberFormat="1" applyFont="1" applyFill="1" applyBorder="1" applyAlignment="1" applyProtection="1">
      <alignment horizontal="center" vertical="center"/>
      <protection hidden="1"/>
    </xf>
    <xf numFmtId="179" fontId="3" fillId="7" borderId="22" xfId="0" applyNumberFormat="1" applyFont="1" applyFill="1" applyBorder="1" applyAlignment="1">
      <alignment horizontal="center"/>
    </xf>
    <xf numFmtId="179" fontId="3" fillId="7" borderId="19" xfId="0" applyNumberFormat="1" applyFont="1" applyFill="1" applyBorder="1" applyAlignment="1">
      <alignment horizontal="center" vertical="center"/>
    </xf>
    <xf numFmtId="181" fontId="5" fillId="7" borderId="0" xfId="0" applyNumberFormat="1" applyFont="1" applyFill="1" applyAlignment="1">
      <alignment vertical="center"/>
    </xf>
    <xf numFmtId="179" fontId="33" fillId="8" borderId="22" xfId="0" applyNumberFormat="1" applyFont="1" applyFill="1" applyBorder="1" applyAlignment="1">
      <alignment horizontal="center"/>
    </xf>
    <xf numFmtId="179" fontId="32" fillId="9" borderId="27" xfId="0" applyNumberFormat="1" applyFont="1" applyFill="1" applyBorder="1" applyAlignment="1">
      <alignment horizontal="center"/>
    </xf>
    <xf numFmtId="179" fontId="3" fillId="7" borderId="16" xfId="0" applyNumberFormat="1" applyFont="1" applyFill="1" applyBorder="1" applyAlignment="1">
      <alignment horizontal="center"/>
    </xf>
    <xf numFmtId="179" fontId="32" fillId="9" borderId="22" xfId="0" applyNumberFormat="1" applyFont="1" applyFill="1" applyBorder="1" applyAlignment="1">
      <alignment horizontal="center"/>
    </xf>
    <xf numFmtId="179" fontId="34" fillId="9" borderId="22" xfId="0" applyNumberFormat="1" applyFont="1" applyFill="1" applyBorder="1" applyAlignment="1">
      <alignment horizontal="center"/>
    </xf>
    <xf numFmtId="179" fontId="32" fillId="8" borderId="22" xfId="0" applyNumberFormat="1" applyFont="1" applyFill="1" applyBorder="1" applyAlignment="1">
      <alignment horizontal="center"/>
    </xf>
    <xf numFmtId="176" fontId="14" fillId="2" borderId="0" xfId="0" applyNumberFormat="1" applyFont="1" applyFill="1" applyAlignment="1" applyProtection="1">
      <alignment horizontal="center"/>
      <protection hidden="1"/>
    </xf>
    <xf numFmtId="179" fontId="3" fillId="9" borderId="46" xfId="0" applyNumberFormat="1" applyFont="1" applyFill="1" applyBorder="1" applyAlignment="1">
      <alignment horizontal="center"/>
    </xf>
    <xf numFmtId="179" fontId="33" fillId="8" borderId="22" xfId="0" applyNumberFormat="1" applyFont="1" applyFill="1" applyBorder="1" applyAlignment="1">
      <alignment horizontal="center" vertical="center"/>
    </xf>
    <xf numFmtId="182" fontId="31" fillId="7" borderId="29" xfId="0" applyNumberFormat="1" applyFont="1" applyFill="1" applyBorder="1" applyAlignment="1">
      <alignment horizontal="center" vertical="center"/>
    </xf>
    <xf numFmtId="179" fontId="33" fillId="3" borderId="22" xfId="0" applyNumberFormat="1" applyFont="1" applyFill="1" applyBorder="1" applyAlignment="1">
      <alignment horizontal="center" vertical="center"/>
    </xf>
    <xf numFmtId="176" fontId="37" fillId="7" borderId="36" xfId="0" applyNumberFormat="1" applyFont="1" applyFill="1" applyBorder="1" applyAlignment="1">
      <alignment horizontal="center" vertical="center"/>
    </xf>
    <xf numFmtId="176" fontId="14" fillId="2" borderId="0" xfId="0" applyNumberFormat="1" applyFont="1" applyFill="1" applyAlignment="1">
      <alignment horizontal="center"/>
    </xf>
    <xf numFmtId="179" fontId="34" fillId="8" borderId="22" xfId="0" applyNumberFormat="1" applyFont="1" applyFill="1" applyBorder="1" applyAlignment="1">
      <alignment horizontal="center"/>
    </xf>
    <xf numFmtId="4" fontId="0" fillId="2" borderId="0" xfId="0" applyNumberFormat="1" applyFill="1" applyAlignment="1">
      <alignment vertical="center"/>
    </xf>
    <xf numFmtId="4" fontId="3" fillId="7" borderId="15" xfId="0" applyNumberFormat="1" applyFont="1" applyFill="1" applyBorder="1" applyAlignment="1" applyProtection="1">
      <alignment horizontal="center" vertical="center"/>
      <protection hidden="1"/>
    </xf>
    <xf numFmtId="176" fontId="13" fillId="0" borderId="0" xfId="0" applyNumberFormat="1" applyFont="1" applyAlignment="1" applyProtection="1">
      <alignment horizontal="center" vertical="center"/>
      <protection hidden="1"/>
    </xf>
    <xf numFmtId="164" fontId="5" fillId="7" borderId="0" xfId="1" applyFont="1" applyFill="1" applyAlignment="1">
      <alignment horizontal="right" vertical="center"/>
    </xf>
    <xf numFmtId="43" fontId="5" fillId="7" borderId="0" xfId="0" applyNumberFormat="1" applyFont="1" applyFill="1" applyAlignment="1">
      <alignment vertical="center"/>
    </xf>
    <xf numFmtId="164" fontId="5" fillId="7" borderId="0" xfId="0" applyNumberFormat="1" applyFont="1" applyFill="1" applyAlignment="1">
      <alignment vertical="center"/>
    </xf>
    <xf numFmtId="176" fontId="32" fillId="9" borderId="44" xfId="0" applyNumberFormat="1" applyFont="1" applyFill="1" applyBorder="1" applyAlignment="1" applyProtection="1">
      <alignment horizontal="center"/>
      <protection hidden="1"/>
    </xf>
    <xf numFmtId="183" fontId="5" fillId="7" borderId="0" xfId="0" applyNumberFormat="1" applyFont="1" applyFill="1" applyAlignment="1">
      <alignment vertical="center"/>
    </xf>
    <xf numFmtId="176" fontId="13" fillId="0" borderId="0" xfId="0" applyNumberFormat="1" applyFont="1" applyAlignment="1">
      <alignment horizontal="center"/>
    </xf>
    <xf numFmtId="176" fontId="19" fillId="3" borderId="21" xfId="0" applyNumberFormat="1" applyFont="1" applyFill="1" applyBorder="1" applyAlignment="1" applyProtection="1">
      <alignment horizontal="center" vertical="center"/>
      <protection hidden="1"/>
    </xf>
    <xf numFmtId="176" fontId="3" fillId="8" borderId="20" xfId="0" applyNumberFormat="1" applyFont="1" applyFill="1" applyBorder="1" applyAlignment="1" applyProtection="1">
      <alignment horizontal="center" vertical="center"/>
      <protection hidden="1"/>
    </xf>
    <xf numFmtId="179" fontId="3" fillId="8" borderId="22" xfId="0" applyNumberFormat="1" applyFont="1" applyFill="1" applyBorder="1" applyAlignment="1">
      <alignment horizontal="center" vertical="center"/>
    </xf>
    <xf numFmtId="176" fontId="19" fillId="7" borderId="25" xfId="0" applyNumberFormat="1" applyFont="1" applyFill="1" applyBorder="1" applyAlignment="1" applyProtection="1">
      <alignment horizontal="center" vertical="center"/>
      <protection hidden="1"/>
    </xf>
    <xf numFmtId="176" fontId="19" fillId="7" borderId="26" xfId="0" applyNumberFormat="1" applyFont="1" applyFill="1" applyBorder="1" applyAlignment="1" applyProtection="1">
      <alignment horizontal="center" vertical="center"/>
      <protection hidden="1"/>
    </xf>
    <xf numFmtId="176" fontId="3" fillId="9" borderId="23" xfId="0" applyNumberFormat="1" applyFont="1" applyFill="1" applyBorder="1" applyAlignment="1" applyProtection="1">
      <alignment horizontal="center" vertical="center"/>
      <protection hidden="1"/>
    </xf>
    <xf numFmtId="179" fontId="3" fillId="9" borderId="27" xfId="0" applyNumberFormat="1" applyFont="1" applyFill="1" applyBorder="1" applyAlignment="1">
      <alignment horizontal="center" vertical="center"/>
    </xf>
    <xf numFmtId="176" fontId="19" fillId="7" borderId="29" xfId="0" applyNumberFormat="1" applyFont="1" applyFill="1" applyBorder="1" applyAlignment="1" applyProtection="1">
      <alignment horizontal="center" vertical="center"/>
      <protection hidden="1"/>
    </xf>
    <xf numFmtId="176" fontId="3" fillId="9" borderId="28" xfId="0" applyNumberFormat="1" applyFont="1" applyFill="1" applyBorder="1" applyAlignment="1" applyProtection="1">
      <alignment horizontal="center" vertical="center"/>
      <protection hidden="1"/>
    </xf>
    <xf numFmtId="179" fontId="3" fillId="9" borderId="30" xfId="0" applyNumberFormat="1" applyFont="1" applyFill="1" applyBorder="1" applyAlignment="1">
      <alignment horizontal="center" vertical="center"/>
    </xf>
    <xf numFmtId="176" fontId="13" fillId="7" borderId="29" xfId="0" applyNumberFormat="1" applyFont="1" applyFill="1" applyBorder="1" applyAlignment="1" applyProtection="1">
      <alignment horizontal="center" vertical="center"/>
      <protection hidden="1"/>
    </xf>
    <xf numFmtId="179" fontId="3" fillId="9" borderId="33" xfId="0" applyNumberFormat="1" applyFont="1" applyFill="1" applyBorder="1" applyAlignment="1">
      <alignment horizontal="center" vertical="center"/>
    </xf>
    <xf numFmtId="176" fontId="3" fillId="3" borderId="20" xfId="0" applyNumberFormat="1" applyFont="1" applyFill="1" applyBorder="1" applyAlignment="1" applyProtection="1">
      <alignment horizontal="center" vertical="center"/>
      <protection hidden="1"/>
    </xf>
    <xf numFmtId="179" fontId="3" fillId="3" borderId="22" xfId="0" applyNumberFormat="1" applyFont="1" applyFill="1" applyBorder="1" applyAlignment="1">
      <alignment horizontal="center" vertical="center"/>
    </xf>
    <xf numFmtId="176" fontId="3" fillId="9" borderId="34" xfId="0" applyNumberFormat="1" applyFont="1" applyFill="1" applyBorder="1" applyAlignment="1" applyProtection="1">
      <alignment horizontal="center" vertical="center"/>
      <protection hidden="1"/>
    </xf>
    <xf numFmtId="176" fontId="3" fillId="9" borderId="35" xfId="0" applyNumberFormat="1" applyFont="1" applyFill="1" applyBorder="1" applyAlignment="1" applyProtection="1">
      <alignment horizontal="center" vertical="center"/>
      <protection hidden="1"/>
    </xf>
    <xf numFmtId="179" fontId="3" fillId="9" borderId="37" xfId="0" applyNumberFormat="1" applyFont="1" applyFill="1" applyBorder="1" applyAlignment="1">
      <alignment horizontal="center" vertical="center"/>
    </xf>
    <xf numFmtId="176" fontId="38" fillId="8" borderId="20" xfId="0" applyNumberFormat="1" applyFont="1" applyFill="1" applyBorder="1" applyAlignment="1" applyProtection="1">
      <alignment horizontal="center"/>
      <protection hidden="1"/>
    </xf>
    <xf numFmtId="179" fontId="38" fillId="8" borderId="22" xfId="0" applyNumberFormat="1" applyFont="1" applyFill="1" applyBorder="1" applyAlignment="1">
      <alignment horizontal="center"/>
    </xf>
    <xf numFmtId="176" fontId="3" fillId="9" borderId="23" xfId="0" applyNumberFormat="1" applyFont="1" applyFill="1" applyBorder="1" applyAlignment="1" applyProtection="1">
      <alignment horizontal="center"/>
      <protection hidden="1"/>
    </xf>
    <xf numFmtId="179" fontId="3" fillId="9" borderId="27" xfId="0" applyNumberFormat="1" applyFont="1" applyFill="1" applyBorder="1" applyAlignment="1">
      <alignment horizontal="center"/>
    </xf>
    <xf numFmtId="179" fontId="3" fillId="9" borderId="22" xfId="0" applyNumberFormat="1" applyFont="1" applyFill="1" applyBorder="1" applyAlignment="1">
      <alignment horizontal="center"/>
    </xf>
    <xf numFmtId="179" fontId="38" fillId="9" borderId="22" xfId="0" applyNumberFormat="1" applyFont="1" applyFill="1" applyBorder="1" applyAlignment="1">
      <alignment horizontal="center"/>
    </xf>
    <xf numFmtId="176" fontId="3" fillId="8" borderId="20" xfId="0" applyNumberFormat="1" applyFont="1" applyFill="1" applyBorder="1" applyAlignment="1" applyProtection="1">
      <alignment horizontal="center"/>
      <protection hidden="1"/>
    </xf>
    <xf numFmtId="179" fontId="3" fillId="8" borderId="22" xfId="0" applyNumberFormat="1" applyFont="1" applyFill="1" applyBorder="1" applyAlignment="1">
      <alignment horizontal="center"/>
    </xf>
    <xf numFmtId="176" fontId="19" fillId="3" borderId="21" xfId="0" applyNumberFormat="1" applyFont="1" applyFill="1" applyBorder="1" applyAlignment="1">
      <alignment horizontal="center" vertical="center"/>
    </xf>
    <xf numFmtId="176" fontId="38" fillId="8" borderId="20" xfId="0" applyNumberFormat="1" applyFont="1" applyFill="1" applyBorder="1" applyAlignment="1">
      <alignment horizontal="center" vertical="center"/>
    </xf>
    <xf numFmtId="179" fontId="38" fillId="8" borderId="22" xfId="0" applyNumberFormat="1" applyFont="1" applyFill="1" applyBorder="1" applyAlignment="1">
      <alignment horizontal="center" vertical="center"/>
    </xf>
    <xf numFmtId="176" fontId="19" fillId="7" borderId="25" xfId="0" applyNumberFormat="1" applyFont="1" applyFill="1" applyBorder="1" applyAlignment="1">
      <alignment horizontal="center" vertical="center"/>
    </xf>
    <xf numFmtId="176" fontId="19" fillId="7" borderId="26" xfId="0" applyNumberFormat="1" applyFont="1" applyFill="1" applyBorder="1" applyAlignment="1">
      <alignment horizontal="center" vertical="center"/>
    </xf>
    <xf numFmtId="176" fontId="3" fillId="9" borderId="23" xfId="0" applyNumberFormat="1" applyFont="1" applyFill="1" applyBorder="1" applyAlignment="1">
      <alignment horizontal="center" vertical="center"/>
    </xf>
    <xf numFmtId="176" fontId="19" fillId="7" borderId="29" xfId="0" applyNumberFormat="1" applyFont="1" applyFill="1" applyBorder="1" applyAlignment="1">
      <alignment horizontal="center" vertical="center"/>
    </xf>
    <xf numFmtId="182" fontId="19" fillId="7" borderId="29" xfId="0" applyNumberFormat="1" applyFont="1" applyFill="1" applyBorder="1" applyAlignment="1">
      <alignment horizontal="center" vertical="center"/>
    </xf>
    <xf numFmtId="176" fontId="19" fillId="7" borderId="30" xfId="0" applyNumberFormat="1" applyFont="1" applyFill="1" applyBorder="1" applyAlignment="1">
      <alignment horizontal="center" vertical="center"/>
    </xf>
    <xf numFmtId="176" fontId="3" fillId="9" borderId="28" xfId="0" applyNumberFormat="1" applyFont="1" applyFill="1" applyBorder="1" applyAlignment="1">
      <alignment horizontal="center" vertical="center"/>
    </xf>
    <xf numFmtId="176" fontId="13" fillId="7" borderId="29" xfId="0" applyNumberFormat="1" applyFont="1" applyFill="1" applyBorder="1" applyAlignment="1">
      <alignment horizontal="center" vertical="center"/>
    </xf>
    <xf numFmtId="176" fontId="3" fillId="9" borderId="31" xfId="0" applyNumberFormat="1" applyFont="1" applyFill="1" applyBorder="1" applyAlignment="1">
      <alignment horizontal="center" vertical="center"/>
    </xf>
    <xf numFmtId="177" fontId="19" fillId="3" borderId="21" xfId="0" applyNumberFormat="1" applyFont="1" applyFill="1" applyBorder="1" applyAlignment="1">
      <alignment horizontal="center" vertical="center"/>
    </xf>
    <xf numFmtId="176" fontId="38" fillId="3" borderId="20" xfId="0" applyNumberFormat="1" applyFont="1" applyFill="1" applyBorder="1" applyAlignment="1">
      <alignment horizontal="center" vertical="center"/>
    </xf>
    <xf numFmtId="179" fontId="38" fillId="3" borderId="22" xfId="0" applyNumberFormat="1" applyFont="1" applyFill="1" applyBorder="1" applyAlignment="1">
      <alignment horizontal="center" vertical="center"/>
    </xf>
    <xf numFmtId="177" fontId="13" fillId="7" borderId="25" xfId="0" applyNumberFormat="1" applyFont="1" applyFill="1" applyBorder="1" applyAlignment="1">
      <alignment horizontal="center" vertical="center"/>
    </xf>
    <xf numFmtId="177" fontId="13" fillId="7" borderId="26" xfId="0" applyNumberFormat="1" applyFont="1" applyFill="1" applyBorder="1" applyAlignment="1">
      <alignment horizontal="center" vertical="center"/>
    </xf>
    <xf numFmtId="176" fontId="13" fillId="7" borderId="36" xfId="0" applyNumberFormat="1" applyFont="1" applyFill="1" applyBorder="1" applyAlignment="1">
      <alignment horizontal="center" vertical="center"/>
    </xf>
    <xf numFmtId="176" fontId="38" fillId="8" borderId="20" xfId="0" applyNumberFormat="1" applyFont="1" applyFill="1" applyBorder="1" applyAlignment="1">
      <alignment horizontal="center"/>
    </xf>
    <xf numFmtId="176" fontId="13" fillId="3" borderId="21" xfId="0" applyNumberFormat="1" applyFont="1" applyFill="1" applyBorder="1" applyAlignment="1">
      <alignment horizontal="center" vertical="center"/>
    </xf>
    <xf numFmtId="176" fontId="14" fillId="7" borderId="36" xfId="0" applyNumberFormat="1" applyFont="1" applyFill="1" applyBorder="1" applyAlignment="1">
      <alignment horizontal="center" vertical="center"/>
    </xf>
    <xf numFmtId="176" fontId="3" fillId="9" borderId="23" xfId="0" applyNumberFormat="1" applyFont="1" applyFill="1" applyBorder="1" applyAlignment="1">
      <alignment horizontal="center"/>
    </xf>
    <xf numFmtId="177" fontId="13" fillId="2" borderId="0" xfId="0" applyNumberFormat="1" applyFont="1" applyFill="1" applyAlignment="1" applyProtection="1">
      <alignment horizontal="center" vertical="center"/>
      <protection hidden="1"/>
    </xf>
    <xf numFmtId="176" fontId="19" fillId="7" borderId="21" xfId="0" applyNumberFormat="1" applyFont="1" applyFill="1" applyBorder="1" applyAlignment="1">
      <alignment horizontal="center" vertical="center"/>
    </xf>
    <xf numFmtId="176" fontId="38" fillId="9" borderId="20" xfId="0" applyNumberFormat="1" applyFont="1" applyFill="1" applyBorder="1" applyAlignment="1">
      <alignment horizontal="center"/>
    </xf>
    <xf numFmtId="176" fontId="3" fillId="8" borderId="20" xfId="0" applyNumberFormat="1" applyFont="1" applyFill="1" applyBorder="1" applyAlignment="1">
      <alignment horizontal="center"/>
    </xf>
    <xf numFmtId="0" fontId="0" fillId="7" borderId="0" xfId="0" applyFill="1" applyAlignment="1">
      <alignment vertical="center"/>
    </xf>
    <xf numFmtId="1" fontId="0" fillId="7" borderId="0" xfId="0" applyNumberFormat="1" applyFill="1" applyAlignment="1">
      <alignment vertical="center"/>
    </xf>
    <xf numFmtId="1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174" fontId="0" fillId="2" borderId="0" xfId="0" applyNumberFormat="1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0" fillId="7" borderId="0" xfId="0" applyFill="1" applyAlignment="1" applyProtection="1">
      <alignment vertical="center"/>
      <protection hidden="1"/>
    </xf>
    <xf numFmtId="1" fontId="0" fillId="7" borderId="0" xfId="0" applyNumberFormat="1" applyFill="1" applyAlignment="1" applyProtection="1">
      <alignment vertical="center"/>
      <protection hidden="1"/>
    </xf>
    <xf numFmtId="0" fontId="39" fillId="7" borderId="0" xfId="0" applyFont="1" applyFill="1" applyAlignment="1" applyProtection="1">
      <alignment horizontal="center" vertical="center"/>
      <protection hidden="1"/>
    </xf>
    <xf numFmtId="1" fontId="5" fillId="7" borderId="0" xfId="0" applyNumberFormat="1" applyFont="1" applyFill="1" applyAlignment="1" applyProtection="1">
      <alignment horizontal="center" vertical="center" wrapText="1"/>
      <protection hidden="1"/>
    </xf>
    <xf numFmtId="1" fontId="5" fillId="7" borderId="0" xfId="0" applyNumberFormat="1" applyFont="1" applyFill="1" applyAlignment="1" applyProtection="1">
      <alignment horizontal="center" vertical="center"/>
      <protection hidden="1"/>
    </xf>
    <xf numFmtId="1" fontId="26" fillId="7" borderId="0" xfId="0" applyNumberFormat="1" applyFont="1" applyFill="1" applyAlignment="1" applyProtection="1">
      <alignment horizontal="center" vertical="top"/>
      <protection hidden="1"/>
    </xf>
    <xf numFmtId="0" fontId="26" fillId="7" borderId="16" xfId="0" applyFont="1" applyFill="1" applyBorder="1" applyAlignment="1" applyProtection="1">
      <alignment horizontal="center" vertical="top"/>
      <protection hidden="1"/>
    </xf>
    <xf numFmtId="176" fontId="33" fillId="8" borderId="21" xfId="0" applyNumberFormat="1" applyFont="1" applyFill="1" applyBorder="1" applyAlignment="1" applyProtection="1">
      <alignment horizontal="center" vertical="center"/>
      <protection hidden="1"/>
    </xf>
    <xf numFmtId="178" fontId="33" fillId="8" borderId="50" xfId="3" applyNumberFormat="1" applyFont="1" applyFill="1" applyBorder="1" applyAlignment="1" applyProtection="1">
      <alignment horizontal="center" vertical="center"/>
      <protection hidden="1"/>
    </xf>
    <xf numFmtId="178" fontId="33" fillId="8" borderId="22" xfId="3" applyNumberFormat="1" applyFont="1" applyFill="1" applyBorder="1" applyAlignment="1" applyProtection="1">
      <alignment horizontal="center" vertical="center"/>
      <protection hidden="1"/>
    </xf>
    <xf numFmtId="10" fontId="0" fillId="7" borderId="0" xfId="0" applyNumberFormat="1" applyFill="1" applyAlignment="1">
      <alignment vertical="center"/>
    </xf>
    <xf numFmtId="174" fontId="0" fillId="7" borderId="0" xfId="0" applyNumberFormat="1" applyFill="1" applyAlignment="1">
      <alignment vertical="center"/>
    </xf>
    <xf numFmtId="176" fontId="29" fillId="7" borderId="24" xfId="0" applyNumberFormat="1" applyFont="1" applyFill="1" applyBorder="1" applyAlignment="1" applyProtection="1">
      <alignment horizontal="center" vertical="center"/>
      <protection hidden="1"/>
    </xf>
    <xf numFmtId="176" fontId="34" fillId="9" borderId="25" xfId="0" applyNumberFormat="1" applyFont="1" applyFill="1" applyBorder="1" applyAlignment="1" applyProtection="1">
      <alignment horizontal="center" vertical="center"/>
      <protection hidden="1"/>
    </xf>
    <xf numFmtId="178" fontId="34" fillId="9" borderId="51" xfId="3" applyNumberFormat="1" applyFont="1" applyFill="1" applyBorder="1" applyAlignment="1" applyProtection="1">
      <alignment horizontal="center" vertical="center"/>
      <protection hidden="1"/>
    </xf>
    <xf numFmtId="178" fontId="34" fillId="9" borderId="26" xfId="3" applyNumberFormat="1" applyFont="1" applyFill="1" applyBorder="1" applyAlignment="1" applyProtection="1">
      <alignment horizontal="center" vertical="center"/>
      <protection hidden="1"/>
    </xf>
    <xf numFmtId="176" fontId="3" fillId="7" borderId="0" xfId="0" applyNumberFormat="1" applyFont="1" applyFill="1" applyAlignment="1" applyProtection="1">
      <alignment horizontal="center" vertical="center"/>
      <protection hidden="1"/>
    </xf>
    <xf numFmtId="178" fontId="3" fillId="7" borderId="52" xfId="3" applyNumberFormat="1" applyFont="1" applyFill="1" applyBorder="1" applyAlignment="1" applyProtection="1">
      <alignment horizontal="center" vertical="center"/>
      <protection hidden="1"/>
    </xf>
    <xf numFmtId="178" fontId="3" fillId="7" borderId="16" xfId="3" applyNumberFormat="1" applyFont="1" applyFill="1" applyBorder="1" applyAlignment="1" applyProtection="1">
      <alignment horizontal="center" vertical="center"/>
      <protection hidden="1"/>
    </xf>
    <xf numFmtId="176" fontId="34" fillId="9" borderId="29" xfId="0" applyNumberFormat="1" applyFont="1" applyFill="1" applyBorder="1" applyAlignment="1" applyProtection="1">
      <alignment horizontal="center" vertical="center"/>
      <protection hidden="1"/>
    </xf>
    <xf numFmtId="178" fontId="34" fillId="9" borderId="53" xfId="3" applyNumberFormat="1" applyFont="1" applyFill="1" applyBorder="1" applyAlignment="1" applyProtection="1">
      <alignment horizontal="center" vertical="center"/>
      <protection hidden="1"/>
    </xf>
    <xf numFmtId="178" fontId="34" fillId="9" borderId="30" xfId="3" applyNumberFormat="1" applyFont="1" applyFill="1" applyBorder="1" applyAlignment="1" applyProtection="1">
      <alignment horizontal="center" vertical="center"/>
      <protection hidden="1"/>
    </xf>
    <xf numFmtId="176" fontId="32" fillId="9" borderId="29" xfId="0" applyNumberFormat="1" applyFont="1" applyFill="1" applyBorder="1" applyAlignment="1" applyProtection="1">
      <alignment horizontal="center" vertical="center"/>
      <protection hidden="1"/>
    </xf>
    <xf numFmtId="178" fontId="32" fillId="9" borderId="53" xfId="3" applyNumberFormat="1" applyFont="1" applyFill="1" applyBorder="1" applyAlignment="1" applyProtection="1">
      <alignment horizontal="center" vertical="center"/>
      <protection hidden="1"/>
    </xf>
    <xf numFmtId="178" fontId="32" fillId="9" borderId="30" xfId="3" applyNumberFormat="1" applyFont="1" applyFill="1" applyBorder="1" applyAlignment="1" applyProtection="1">
      <alignment horizontal="center" vertical="center"/>
      <protection hidden="1"/>
    </xf>
    <xf numFmtId="176" fontId="28" fillId="7" borderId="24" xfId="0" applyNumberFormat="1" applyFont="1" applyFill="1" applyBorder="1" applyAlignment="1" applyProtection="1">
      <alignment horizontal="center" vertical="center"/>
      <protection hidden="1"/>
    </xf>
    <xf numFmtId="176" fontId="32" fillId="9" borderId="25" xfId="0" applyNumberFormat="1" applyFont="1" applyFill="1" applyBorder="1" applyAlignment="1" applyProtection="1">
      <alignment horizontal="center" vertical="center"/>
      <protection hidden="1"/>
    </xf>
    <xf numFmtId="178" fontId="32" fillId="9" borderId="26" xfId="3" applyNumberFormat="1" applyFont="1" applyFill="1" applyBorder="1" applyAlignment="1" applyProtection="1">
      <alignment horizontal="center" vertical="center"/>
      <protection hidden="1"/>
    </xf>
    <xf numFmtId="178" fontId="32" fillId="9" borderId="51" xfId="3" applyNumberFormat="1" applyFont="1" applyFill="1" applyBorder="1" applyAlignment="1" applyProtection="1">
      <alignment horizontal="center" vertical="center"/>
      <protection hidden="1"/>
    </xf>
    <xf numFmtId="176" fontId="32" fillId="9" borderId="36" xfId="0" applyNumberFormat="1" applyFont="1" applyFill="1" applyBorder="1" applyAlignment="1" applyProtection="1">
      <alignment horizontal="center" vertical="center"/>
      <protection hidden="1"/>
    </xf>
    <xf numFmtId="178" fontId="32" fillId="9" borderId="54" xfId="3" applyNumberFormat="1" applyFont="1" applyFill="1" applyBorder="1" applyAlignment="1" applyProtection="1">
      <alignment horizontal="center" vertical="center"/>
      <protection hidden="1"/>
    </xf>
    <xf numFmtId="178" fontId="32" fillId="9" borderId="37" xfId="3" applyNumberFormat="1" applyFont="1" applyFill="1" applyBorder="1" applyAlignment="1" applyProtection="1">
      <alignment horizontal="center" vertical="center"/>
      <protection hidden="1"/>
    </xf>
    <xf numFmtId="178" fontId="32" fillId="7" borderId="55" xfId="3" applyNumberFormat="1" applyFont="1" applyFill="1" applyBorder="1" applyAlignment="1" applyProtection="1">
      <alignment horizontal="center" vertical="center"/>
      <protection hidden="1"/>
    </xf>
    <xf numFmtId="176" fontId="32" fillId="7" borderId="39" xfId="0" applyNumberFormat="1" applyFont="1" applyFill="1" applyBorder="1" applyAlignment="1" applyProtection="1">
      <alignment horizontal="center" vertical="center"/>
      <protection hidden="1"/>
    </xf>
    <xf numFmtId="9" fontId="32" fillId="7" borderId="56" xfId="3" applyFont="1" applyFill="1" applyBorder="1" applyAlignment="1" applyProtection="1">
      <alignment horizontal="center" vertical="center"/>
      <protection hidden="1"/>
    </xf>
    <xf numFmtId="178" fontId="32" fillId="7" borderId="56" xfId="3" applyNumberFormat="1" applyFont="1" applyFill="1" applyBorder="1" applyAlignment="1" applyProtection="1">
      <alignment horizontal="center" vertical="center"/>
      <protection hidden="1"/>
    </xf>
    <xf numFmtId="178" fontId="32" fillId="7" borderId="52" xfId="3" applyNumberFormat="1" applyFont="1" applyFill="1" applyBorder="1" applyAlignment="1" applyProtection="1">
      <alignment horizontal="center" vertical="center"/>
      <protection hidden="1"/>
    </xf>
    <xf numFmtId="176" fontId="32" fillId="7" borderId="0" xfId="0" applyNumberFormat="1" applyFont="1" applyFill="1" applyAlignment="1" applyProtection="1">
      <alignment horizontal="center" vertical="center"/>
      <protection hidden="1"/>
    </xf>
    <xf numFmtId="178" fontId="32" fillId="7" borderId="16" xfId="3" applyNumberFormat="1" applyFont="1" applyFill="1" applyBorder="1" applyAlignment="1" applyProtection="1">
      <alignment horizontal="center" vertical="center"/>
      <protection hidden="1"/>
    </xf>
    <xf numFmtId="178" fontId="32" fillId="7" borderId="57" xfId="3" applyNumberFormat="1" applyFont="1" applyFill="1" applyBorder="1" applyAlignment="1" applyProtection="1">
      <alignment horizontal="center" vertical="center"/>
      <protection hidden="1"/>
    </xf>
    <xf numFmtId="178" fontId="32" fillId="7" borderId="19" xfId="3" applyNumberFormat="1" applyFont="1" applyFill="1" applyBorder="1" applyAlignment="1" applyProtection="1">
      <alignment horizontal="center" vertical="center"/>
      <protection hidden="1"/>
    </xf>
    <xf numFmtId="176" fontId="3" fillId="2" borderId="21" xfId="0" applyNumberFormat="1" applyFont="1" applyFill="1" applyBorder="1" applyAlignment="1" applyProtection="1">
      <alignment horizontal="center" vertical="center"/>
      <protection hidden="1"/>
    </xf>
    <xf numFmtId="176" fontId="3" fillId="7" borderId="21" xfId="0" applyNumberFormat="1" applyFont="1" applyFill="1" applyBorder="1" applyAlignment="1" applyProtection="1">
      <alignment horizontal="center" vertical="center"/>
      <protection hidden="1"/>
    </xf>
    <xf numFmtId="178" fontId="32" fillId="7" borderId="50" xfId="3" applyNumberFormat="1" applyFont="1" applyFill="1" applyBorder="1" applyAlignment="1" applyProtection="1">
      <alignment horizontal="center" vertical="center"/>
      <protection hidden="1"/>
    </xf>
    <xf numFmtId="176" fontId="32" fillId="7" borderId="21" xfId="0" applyNumberFormat="1" applyFont="1" applyFill="1" applyBorder="1" applyAlignment="1" applyProtection="1">
      <alignment horizontal="center" vertical="center"/>
      <protection hidden="1"/>
    </xf>
    <xf numFmtId="178" fontId="32" fillId="7" borderId="22" xfId="3" applyNumberFormat="1" applyFont="1" applyFill="1" applyBorder="1" applyAlignment="1" applyProtection="1">
      <alignment horizontal="center" vertical="center"/>
      <protection hidden="1"/>
    </xf>
    <xf numFmtId="176" fontId="40" fillId="8" borderId="21" xfId="0" applyNumberFormat="1" applyFont="1" applyFill="1" applyBorder="1" applyAlignment="1" applyProtection="1">
      <alignment horizontal="center" vertical="center"/>
      <protection hidden="1"/>
    </xf>
    <xf numFmtId="178" fontId="32" fillId="10" borderId="51" xfId="3" applyNumberFormat="1" applyFont="1" applyFill="1" applyBorder="1" applyAlignment="1" applyProtection="1">
      <alignment horizontal="center" vertical="center"/>
      <protection hidden="1"/>
    </xf>
    <xf numFmtId="176" fontId="32" fillId="10" borderId="25" xfId="0" applyNumberFormat="1" applyFont="1" applyFill="1" applyBorder="1" applyAlignment="1" applyProtection="1">
      <alignment horizontal="center" vertical="center"/>
      <protection hidden="1"/>
    </xf>
    <xf numFmtId="178" fontId="32" fillId="10" borderId="26" xfId="3" applyNumberFormat="1" applyFont="1" applyFill="1" applyBorder="1" applyAlignment="1" applyProtection="1">
      <alignment horizontal="center" vertical="center"/>
      <protection hidden="1"/>
    </xf>
    <xf numFmtId="176" fontId="30" fillId="8" borderId="21" xfId="0" applyNumberFormat="1" applyFont="1" applyFill="1" applyBorder="1" applyAlignment="1" applyProtection="1">
      <alignment horizontal="center" vertical="center"/>
      <protection hidden="1"/>
    </xf>
    <xf numFmtId="178" fontId="30" fillId="8" borderId="50" xfId="3" applyNumberFormat="1" applyFont="1" applyFill="1" applyBorder="1" applyAlignment="1" applyProtection="1">
      <alignment horizontal="center" vertical="center"/>
      <protection hidden="1"/>
    </xf>
    <xf numFmtId="178" fontId="30" fillId="8" borderId="22" xfId="3" applyNumberFormat="1" applyFont="1" applyFill="1" applyBorder="1" applyAlignment="1" applyProtection="1">
      <alignment horizontal="center" vertical="center"/>
      <protection hidden="1"/>
    </xf>
    <xf numFmtId="176" fontId="31" fillId="7" borderId="41" xfId="0" applyNumberFormat="1" applyFont="1" applyFill="1" applyBorder="1" applyAlignment="1" applyProtection="1">
      <alignment horizontal="center" vertical="center"/>
      <protection hidden="1"/>
    </xf>
    <xf numFmtId="176" fontId="32" fillId="9" borderId="41" xfId="0" applyNumberFormat="1" applyFont="1" applyFill="1" applyBorder="1" applyAlignment="1" applyProtection="1">
      <alignment horizontal="center" vertical="center"/>
      <protection hidden="1"/>
    </xf>
    <xf numFmtId="178" fontId="32" fillId="9" borderId="58" xfId="3" applyNumberFormat="1" applyFont="1" applyFill="1" applyBorder="1" applyAlignment="1" applyProtection="1">
      <alignment horizontal="center" vertical="center"/>
      <protection hidden="1"/>
    </xf>
    <xf numFmtId="178" fontId="32" fillId="9" borderId="59" xfId="3" applyNumberFormat="1" applyFont="1" applyFill="1" applyBorder="1" applyAlignment="1" applyProtection="1">
      <alignment horizontal="center" vertical="center"/>
      <protection hidden="1"/>
    </xf>
    <xf numFmtId="176" fontId="3" fillId="7" borderId="0" xfId="0" applyNumberFormat="1" applyFont="1" applyFill="1" applyAlignment="1" applyProtection="1">
      <alignment horizontal="center"/>
      <protection hidden="1"/>
    </xf>
    <xf numFmtId="178" fontId="3" fillId="7" borderId="52" xfId="3" applyNumberFormat="1" applyFont="1" applyFill="1" applyBorder="1" applyAlignment="1" applyProtection="1">
      <alignment horizontal="center"/>
      <protection hidden="1"/>
    </xf>
    <xf numFmtId="178" fontId="3" fillId="7" borderId="16" xfId="3" applyNumberFormat="1" applyFont="1" applyFill="1" applyBorder="1" applyAlignment="1" applyProtection="1">
      <alignment horizontal="center"/>
      <protection hidden="1"/>
    </xf>
    <xf numFmtId="176" fontId="31" fillId="7" borderId="32" xfId="0" applyNumberFormat="1" applyFont="1" applyFill="1" applyBorder="1" applyAlignment="1" applyProtection="1">
      <alignment horizontal="center" vertical="center"/>
      <protection hidden="1"/>
    </xf>
    <xf numFmtId="176" fontId="32" fillId="9" borderId="32" xfId="0" applyNumberFormat="1" applyFont="1" applyFill="1" applyBorder="1" applyAlignment="1" applyProtection="1">
      <alignment horizontal="center" vertical="center"/>
      <protection hidden="1"/>
    </xf>
    <xf numFmtId="178" fontId="32" fillId="9" borderId="60" xfId="3" applyNumberFormat="1" applyFont="1" applyFill="1" applyBorder="1" applyAlignment="1" applyProtection="1">
      <alignment horizontal="center" vertical="center"/>
      <protection hidden="1"/>
    </xf>
    <xf numFmtId="178" fontId="32" fillId="9" borderId="33" xfId="3" applyNumberFormat="1" applyFont="1" applyFill="1" applyBorder="1" applyAlignment="1" applyProtection="1">
      <alignment horizontal="center" vertical="center"/>
      <protection hidden="1"/>
    </xf>
    <xf numFmtId="176" fontId="41" fillId="7" borderId="21" xfId="0" applyNumberFormat="1" applyFont="1" applyFill="1" applyBorder="1" applyAlignment="1" applyProtection="1">
      <alignment horizontal="center" vertical="center"/>
      <protection hidden="1"/>
    </xf>
    <xf numFmtId="176" fontId="40" fillId="9" borderId="21" xfId="0" applyNumberFormat="1" applyFont="1" applyFill="1" applyBorder="1" applyAlignment="1" applyProtection="1">
      <alignment horizontal="center" vertical="center"/>
      <protection hidden="1"/>
    </xf>
    <xf numFmtId="178" fontId="40" fillId="9" borderId="50" xfId="3" applyNumberFormat="1" applyFont="1" applyFill="1" applyBorder="1" applyAlignment="1" applyProtection="1">
      <alignment horizontal="center" vertical="center"/>
      <protection hidden="1"/>
    </xf>
    <xf numFmtId="178" fontId="40" fillId="9" borderId="22" xfId="3" applyNumberFormat="1" applyFont="1" applyFill="1" applyBorder="1" applyAlignment="1" applyProtection="1">
      <alignment horizontal="center" vertical="center"/>
      <protection hidden="1"/>
    </xf>
    <xf numFmtId="178" fontId="40" fillId="8" borderId="50" xfId="3" applyNumberFormat="1" applyFont="1" applyFill="1" applyBorder="1" applyAlignment="1" applyProtection="1">
      <alignment horizontal="center" vertical="center"/>
      <protection hidden="1"/>
    </xf>
    <xf numFmtId="178" fontId="40" fillId="8" borderId="22" xfId="3" applyNumberFormat="1" applyFont="1" applyFill="1" applyBorder="1" applyAlignment="1" applyProtection="1">
      <alignment horizontal="center" vertical="center"/>
      <protection hidden="1"/>
    </xf>
    <xf numFmtId="176" fontId="28" fillId="7" borderId="45" xfId="0" applyNumberFormat="1" applyFont="1" applyFill="1" applyBorder="1" applyAlignment="1" applyProtection="1">
      <alignment horizontal="center" vertical="center"/>
      <protection hidden="1"/>
    </xf>
    <xf numFmtId="176" fontId="3" fillId="9" borderId="45" xfId="0" applyNumberFormat="1" applyFont="1" applyFill="1" applyBorder="1" applyAlignment="1" applyProtection="1">
      <alignment horizontal="center"/>
      <protection hidden="1"/>
    </xf>
    <xf numFmtId="178" fontId="3" fillId="9" borderId="61" xfId="3" applyNumberFormat="1" applyFont="1" applyFill="1" applyBorder="1" applyAlignment="1" applyProtection="1">
      <alignment horizontal="center"/>
      <protection hidden="1"/>
    </xf>
    <xf numFmtId="178" fontId="3" fillId="9" borderId="46" xfId="3" applyNumberFormat="1" applyFont="1" applyFill="1" applyBorder="1" applyAlignment="1" applyProtection="1">
      <alignment horizontal="center"/>
      <protection hidden="1"/>
    </xf>
    <xf numFmtId="176" fontId="28" fillId="7" borderId="0" xfId="0" applyNumberFormat="1" applyFont="1" applyFill="1" applyAlignment="1" applyProtection="1">
      <alignment horizontal="center" vertical="center"/>
      <protection hidden="1"/>
    </xf>
    <xf numFmtId="184" fontId="0" fillId="7" borderId="0" xfId="0" applyNumberFormat="1" applyFill="1" applyAlignment="1">
      <alignment vertical="center"/>
    </xf>
    <xf numFmtId="165" fontId="0" fillId="7" borderId="0" xfId="2" applyFont="1" applyFill="1" applyAlignment="1">
      <alignment vertical="center"/>
    </xf>
    <xf numFmtId="0" fontId="17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0" fillId="7" borderId="8" xfId="0" applyFill="1" applyBorder="1" applyAlignment="1" applyProtection="1">
      <alignment vertical="center"/>
      <protection hidden="1"/>
    </xf>
    <xf numFmtId="0" fontId="0" fillId="7" borderId="9" xfId="0" applyFill="1" applyBorder="1" applyAlignment="1" applyProtection="1">
      <alignment vertical="center"/>
      <protection hidden="1"/>
    </xf>
    <xf numFmtId="0" fontId="0" fillId="7" borderId="62" xfId="0" applyFill="1" applyBorder="1" applyAlignment="1" applyProtection="1">
      <alignment vertical="center"/>
      <protection hidden="1"/>
    </xf>
    <xf numFmtId="0" fontId="0" fillId="7" borderId="15" xfId="0" applyFill="1" applyBorder="1" applyAlignment="1" applyProtection="1">
      <alignment vertical="center"/>
      <protection hidden="1"/>
    </xf>
    <xf numFmtId="0" fontId="0" fillId="7" borderId="16" xfId="0" applyFill="1" applyBorder="1" applyAlignment="1" applyProtection="1">
      <alignment vertical="center"/>
      <protection hidden="1"/>
    </xf>
    <xf numFmtId="0" fontId="13" fillId="7" borderId="0" xfId="0" applyFont="1" applyFill="1" applyAlignment="1" applyProtection="1">
      <alignment vertical="center"/>
      <protection hidden="1"/>
    </xf>
    <xf numFmtId="176" fontId="5" fillId="7" borderId="2" xfId="0" applyNumberFormat="1" applyFont="1" applyFill="1" applyBorder="1" applyAlignment="1" applyProtection="1">
      <alignment vertical="center"/>
      <protection hidden="1"/>
    </xf>
    <xf numFmtId="178" fontId="5" fillId="7" borderId="5" xfId="0" applyNumberFormat="1" applyFont="1" applyFill="1" applyBorder="1" applyAlignment="1" applyProtection="1">
      <alignment vertical="center"/>
      <protection hidden="1"/>
    </xf>
    <xf numFmtId="0" fontId="0" fillId="7" borderId="17" xfId="0" applyFill="1" applyBorder="1" applyAlignment="1" applyProtection="1">
      <alignment vertical="center"/>
      <protection hidden="1"/>
    </xf>
    <xf numFmtId="0" fontId="0" fillId="7" borderId="18" xfId="0" applyFill="1" applyBorder="1" applyAlignment="1" applyProtection="1">
      <alignment vertical="center"/>
      <protection hidden="1"/>
    </xf>
    <xf numFmtId="0" fontId="0" fillId="7" borderId="19" xfId="0" applyFill="1" applyBorder="1" applyAlignment="1" applyProtection="1">
      <alignment vertical="center"/>
      <protection hidden="1"/>
    </xf>
    <xf numFmtId="0" fontId="17" fillId="7" borderId="0" xfId="0" applyFont="1" applyFill="1" applyAlignment="1" applyProtection="1">
      <alignment vertical="center"/>
      <protection hidden="1"/>
    </xf>
    <xf numFmtId="0" fontId="5" fillId="7" borderId="66" xfId="0" applyFont="1" applyFill="1" applyBorder="1" applyAlignment="1" applyProtection="1">
      <alignment horizontal="center" vertical="center"/>
      <protection hidden="1"/>
    </xf>
    <xf numFmtId="0" fontId="26" fillId="7" borderId="52" xfId="0" applyFont="1" applyFill="1" applyBorder="1" applyAlignment="1" applyProtection="1">
      <alignment horizontal="center" vertical="top"/>
      <protection hidden="1"/>
    </xf>
    <xf numFmtId="0" fontId="26" fillId="7" borderId="66" xfId="0" applyFont="1" applyFill="1" applyBorder="1" applyAlignment="1" applyProtection="1">
      <alignment horizontal="center" vertical="top"/>
      <protection hidden="1"/>
    </xf>
    <xf numFmtId="178" fontId="33" fillId="8" borderId="21" xfId="3" applyNumberFormat="1" applyFont="1" applyFill="1" applyBorder="1" applyAlignment="1" applyProtection="1">
      <alignment horizontal="center" vertical="center"/>
      <protection hidden="1"/>
    </xf>
    <xf numFmtId="176" fontId="29" fillId="3" borderId="67" xfId="0" applyNumberFormat="1" applyFont="1" applyFill="1" applyBorder="1" applyAlignment="1" applyProtection="1">
      <alignment horizontal="center" vertical="center"/>
      <protection hidden="1"/>
    </xf>
    <xf numFmtId="178" fontId="34" fillId="9" borderId="25" xfId="3" applyNumberFormat="1" applyFont="1" applyFill="1" applyBorder="1" applyAlignment="1" applyProtection="1">
      <alignment horizontal="center" vertical="center"/>
      <protection hidden="1"/>
    </xf>
    <xf numFmtId="176" fontId="31" fillId="7" borderId="68" xfId="0" applyNumberFormat="1" applyFont="1" applyFill="1" applyBorder="1" applyAlignment="1" applyProtection="1">
      <alignment horizontal="center" vertical="center"/>
      <protection hidden="1"/>
    </xf>
    <xf numFmtId="178" fontId="3" fillId="7" borderId="0" xfId="3" applyNumberFormat="1" applyFont="1" applyFill="1" applyBorder="1" applyAlignment="1" applyProtection="1">
      <alignment horizontal="center" vertical="center"/>
      <protection hidden="1"/>
    </xf>
    <xf numFmtId="176" fontId="13" fillId="2" borderId="66" xfId="0" applyNumberFormat="1" applyFont="1" applyFill="1" applyBorder="1" applyAlignment="1" applyProtection="1">
      <alignment horizontal="center" vertical="center"/>
      <protection hidden="1"/>
    </xf>
    <xf numFmtId="178" fontId="34" fillId="9" borderId="29" xfId="3" applyNumberFormat="1" applyFont="1" applyFill="1" applyBorder="1" applyAlignment="1" applyProtection="1">
      <alignment horizontal="center" vertical="center"/>
      <protection hidden="1"/>
    </xf>
    <xf numFmtId="176" fontId="31" fillId="7" borderId="69" xfId="0" applyNumberFormat="1" applyFont="1" applyFill="1" applyBorder="1" applyAlignment="1" applyProtection="1">
      <alignment horizontal="center" vertical="center"/>
      <protection hidden="1"/>
    </xf>
    <xf numFmtId="178" fontId="32" fillId="9" borderId="29" xfId="3" applyNumberFormat="1" applyFont="1" applyFill="1" applyBorder="1" applyAlignment="1" applyProtection="1">
      <alignment horizontal="center" vertical="center"/>
      <protection hidden="1"/>
    </xf>
    <xf numFmtId="176" fontId="28" fillId="7" borderId="69" xfId="0" applyNumberFormat="1" applyFont="1" applyFill="1" applyBorder="1" applyAlignment="1" applyProtection="1">
      <alignment horizontal="center" vertical="center"/>
      <protection hidden="1"/>
    </xf>
    <xf numFmtId="176" fontId="30" fillId="9" borderId="21" xfId="0" applyNumberFormat="1" applyFont="1" applyFill="1" applyBorder="1" applyAlignment="1" applyProtection="1">
      <alignment horizontal="center" vertical="center"/>
      <protection hidden="1"/>
    </xf>
    <xf numFmtId="178" fontId="30" fillId="9" borderId="21" xfId="3" applyNumberFormat="1" applyFont="1" applyFill="1" applyBorder="1" applyAlignment="1" applyProtection="1">
      <alignment horizontal="center" vertical="center"/>
      <protection hidden="1"/>
    </xf>
    <xf numFmtId="178" fontId="30" fillId="9" borderId="50" xfId="3" applyNumberFormat="1" applyFont="1" applyFill="1" applyBorder="1" applyAlignment="1" applyProtection="1">
      <alignment horizontal="center" vertical="center"/>
      <protection hidden="1"/>
    </xf>
    <xf numFmtId="176" fontId="5" fillId="7" borderId="67" xfId="0" applyNumberFormat="1" applyFont="1" applyFill="1" applyBorder="1" applyAlignment="1" applyProtection="1">
      <alignment horizontal="center" vertical="center"/>
      <protection hidden="1"/>
    </xf>
    <xf numFmtId="178" fontId="30" fillId="9" borderId="22" xfId="3" applyNumberFormat="1" applyFont="1" applyFill="1" applyBorder="1" applyAlignment="1" applyProtection="1">
      <alignment horizontal="center" vertical="center"/>
      <protection hidden="1"/>
    </xf>
    <xf numFmtId="178" fontId="32" fillId="9" borderId="25" xfId="3" applyNumberFormat="1" applyFont="1" applyFill="1" applyBorder="1" applyAlignment="1" applyProtection="1">
      <alignment horizontal="center" vertical="center"/>
      <protection hidden="1"/>
    </xf>
    <xf numFmtId="176" fontId="28" fillId="7" borderId="68" xfId="0" applyNumberFormat="1" applyFont="1" applyFill="1" applyBorder="1" applyAlignment="1" applyProtection="1">
      <alignment horizontal="center" vertical="center"/>
      <protection hidden="1"/>
    </xf>
    <xf numFmtId="178" fontId="32" fillId="9" borderId="36" xfId="3" applyNumberFormat="1" applyFont="1" applyFill="1" applyBorder="1" applyAlignment="1" applyProtection="1">
      <alignment horizontal="center" vertical="center"/>
      <protection hidden="1"/>
    </xf>
    <xf numFmtId="176" fontId="28" fillId="7" borderId="70" xfId="0" applyNumberFormat="1" applyFont="1" applyFill="1" applyBorder="1" applyAlignment="1" applyProtection="1">
      <alignment horizontal="center" vertical="center"/>
      <protection hidden="1"/>
    </xf>
    <xf numFmtId="176" fontId="3" fillId="7" borderId="18" xfId="0" applyNumberFormat="1" applyFont="1" applyFill="1" applyBorder="1" applyAlignment="1" applyProtection="1">
      <alignment horizontal="center" vertical="center"/>
      <protection hidden="1"/>
    </xf>
    <xf numFmtId="178" fontId="3" fillId="7" borderId="18" xfId="3" applyNumberFormat="1" applyFont="1" applyFill="1" applyBorder="1" applyAlignment="1" applyProtection="1">
      <alignment horizontal="center" vertical="center"/>
      <protection hidden="1"/>
    </xf>
    <xf numFmtId="178" fontId="3" fillId="7" borderId="57" xfId="3" applyNumberFormat="1" applyFont="1" applyFill="1" applyBorder="1" applyAlignment="1" applyProtection="1">
      <alignment horizontal="center" vertical="center"/>
      <protection hidden="1"/>
    </xf>
    <xf numFmtId="176" fontId="13" fillId="2" borderId="71" xfId="0" applyNumberFormat="1" applyFont="1" applyFill="1" applyBorder="1" applyAlignment="1" applyProtection="1">
      <alignment horizontal="center" vertical="center"/>
      <protection hidden="1"/>
    </xf>
    <xf numFmtId="178" fontId="3" fillId="7" borderId="19" xfId="3" applyNumberFormat="1" applyFont="1" applyFill="1" applyBorder="1" applyAlignment="1" applyProtection="1">
      <alignment horizontal="center" vertical="center"/>
      <protection hidden="1"/>
    </xf>
    <xf numFmtId="178" fontId="30" fillId="8" borderId="21" xfId="3" applyNumberFormat="1" applyFont="1" applyFill="1" applyBorder="1" applyAlignment="1" applyProtection="1">
      <alignment horizontal="center" vertical="center"/>
      <protection hidden="1"/>
    </xf>
    <xf numFmtId="176" fontId="5" fillId="3" borderId="67" xfId="0" applyNumberFormat="1" applyFont="1" applyFill="1" applyBorder="1" applyAlignment="1" applyProtection="1">
      <alignment horizontal="center" vertical="center"/>
      <protection hidden="1"/>
    </xf>
    <xf numFmtId="178" fontId="3" fillId="7" borderId="0" xfId="3" applyNumberFormat="1" applyFont="1" applyFill="1" applyBorder="1" applyAlignment="1" applyProtection="1">
      <alignment horizontal="center"/>
      <protection hidden="1"/>
    </xf>
    <xf numFmtId="176" fontId="13" fillId="2" borderId="66" xfId="0" applyNumberFormat="1" applyFont="1" applyFill="1" applyBorder="1" applyAlignment="1" applyProtection="1">
      <alignment horizontal="center"/>
      <protection hidden="1"/>
    </xf>
    <xf numFmtId="176" fontId="33" fillId="9" borderId="21" xfId="0" applyNumberFormat="1" applyFont="1" applyFill="1" applyBorder="1" applyAlignment="1" applyProtection="1">
      <alignment horizontal="center" vertical="center"/>
      <protection hidden="1"/>
    </xf>
    <xf numFmtId="178" fontId="33" fillId="9" borderId="21" xfId="3" applyNumberFormat="1" applyFont="1" applyFill="1" applyBorder="1" applyAlignment="1" applyProtection="1">
      <alignment horizontal="center" vertical="center"/>
      <protection hidden="1"/>
    </xf>
    <xf numFmtId="178" fontId="33" fillId="9" borderId="50" xfId="3" applyNumberFormat="1" applyFont="1" applyFill="1" applyBorder="1" applyAlignment="1" applyProtection="1">
      <alignment horizontal="center" vertical="center"/>
      <protection hidden="1"/>
    </xf>
    <xf numFmtId="176" fontId="29" fillId="7" borderId="67" xfId="0" applyNumberFormat="1" applyFont="1" applyFill="1" applyBorder="1" applyAlignment="1" applyProtection="1">
      <alignment horizontal="center" vertical="center"/>
      <protection hidden="1"/>
    </xf>
    <xf numFmtId="178" fontId="33" fillId="9" borderId="22" xfId="3" applyNumberFormat="1" applyFont="1" applyFill="1" applyBorder="1" applyAlignment="1" applyProtection="1">
      <alignment horizontal="center" vertical="center"/>
      <protection hidden="1"/>
    </xf>
    <xf numFmtId="178" fontId="3" fillId="9" borderId="45" xfId="3" applyNumberFormat="1" applyFont="1" applyFill="1" applyBorder="1" applyAlignment="1" applyProtection="1">
      <alignment horizontal="center"/>
      <protection hidden="1"/>
    </xf>
    <xf numFmtId="176" fontId="13" fillId="7" borderId="72" xfId="0" applyNumberFormat="1" applyFont="1" applyFill="1" applyBorder="1" applyAlignment="1" applyProtection="1">
      <alignment horizontal="center"/>
      <protection hidden="1"/>
    </xf>
    <xf numFmtId="0" fontId="5" fillId="7" borderId="10" xfId="0" applyFont="1" applyFill="1" applyBorder="1" applyAlignment="1" applyProtection="1">
      <alignment horizontal="center" vertical="center"/>
      <protection hidden="1"/>
    </xf>
    <xf numFmtId="0" fontId="5" fillId="7" borderId="11" xfId="0" applyFont="1" applyFill="1" applyBorder="1" applyAlignment="1" applyProtection="1">
      <alignment horizontal="center" vertical="center"/>
      <protection hidden="1"/>
    </xf>
    <xf numFmtId="0" fontId="5" fillId="7" borderId="63" xfId="0" applyFont="1" applyFill="1" applyBorder="1" applyAlignment="1" applyProtection="1">
      <alignment horizontal="center" vertical="center"/>
      <protection hidden="1"/>
    </xf>
    <xf numFmtId="0" fontId="5" fillId="7" borderId="64" xfId="0" applyFont="1" applyFill="1" applyBorder="1" applyAlignment="1" applyProtection="1">
      <alignment horizontal="center" vertical="center"/>
      <protection hidden="1"/>
    </xf>
    <xf numFmtId="0" fontId="5" fillId="7" borderId="12" xfId="0" applyFont="1" applyFill="1" applyBorder="1" applyAlignment="1" applyProtection="1">
      <alignment horizontal="center" vertical="center"/>
      <protection hidden="1"/>
    </xf>
    <xf numFmtId="0" fontId="5" fillId="7" borderId="48" xfId="0" applyFont="1" applyFill="1" applyBorder="1" applyAlignment="1" applyProtection="1">
      <alignment horizontal="center" vertical="center"/>
      <protection hidden="1"/>
    </xf>
    <xf numFmtId="0" fontId="5" fillId="7" borderId="65" xfId="0" applyFont="1" applyFill="1" applyBorder="1" applyAlignment="1" applyProtection="1">
      <alignment horizontal="center" vertical="center"/>
      <protection hidden="1"/>
    </xf>
    <xf numFmtId="0" fontId="5" fillId="7" borderId="49" xfId="0" applyFont="1" applyFill="1" applyBorder="1" applyAlignment="1" applyProtection="1">
      <alignment horizontal="center" vertical="center"/>
      <protection hidden="1"/>
    </xf>
    <xf numFmtId="0" fontId="28" fillId="3" borderId="20" xfId="0" applyFont="1" applyFill="1" applyBorder="1" applyAlignment="1" applyProtection="1">
      <alignment horizontal="left" vertical="center"/>
      <protection hidden="1"/>
    </xf>
    <xf numFmtId="0" fontId="28" fillId="3" borderId="21" xfId="0" applyFont="1" applyFill="1" applyBorder="1" applyAlignment="1" applyProtection="1">
      <alignment horizontal="left" vertical="center"/>
      <protection hidden="1"/>
    </xf>
    <xf numFmtId="0" fontId="28" fillId="7" borderId="23" xfId="0" applyFont="1" applyFill="1" applyBorder="1" applyAlignment="1" applyProtection="1">
      <alignment horizontal="left" vertical="center"/>
      <protection hidden="1"/>
    </xf>
    <xf numFmtId="0" fontId="28" fillId="7" borderId="24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 applyProtection="1">
      <alignment horizontal="left" vertical="center" indent="2"/>
      <protection hidden="1"/>
    </xf>
    <xf numFmtId="0" fontId="13" fillId="2" borderId="0" xfId="0" applyFont="1" applyFill="1" applyAlignment="1" applyProtection="1">
      <alignment horizontal="left" vertical="center" indent="2"/>
      <protection hidden="1"/>
    </xf>
    <xf numFmtId="0" fontId="31" fillId="7" borderId="28" xfId="0" applyFont="1" applyFill="1" applyBorder="1" applyAlignment="1" applyProtection="1">
      <alignment horizontal="left" vertical="center"/>
      <protection hidden="1"/>
    </xf>
    <xf numFmtId="0" fontId="31" fillId="7" borderId="29" xfId="0" applyFont="1" applyFill="1" applyBorder="1" applyAlignment="1" applyProtection="1">
      <alignment horizontal="left" vertical="center"/>
      <protection hidden="1"/>
    </xf>
    <xf numFmtId="0" fontId="28" fillId="7" borderId="28" xfId="0" applyFont="1" applyFill="1" applyBorder="1" applyAlignment="1" applyProtection="1">
      <alignment horizontal="left" vertical="center"/>
      <protection hidden="1"/>
    </xf>
    <xf numFmtId="0" fontId="28" fillId="7" borderId="29" xfId="0" applyFont="1" applyFill="1" applyBorder="1" applyAlignment="1" applyProtection="1">
      <alignment horizontal="left" vertical="center"/>
      <protection hidden="1"/>
    </xf>
    <xf numFmtId="0" fontId="28" fillId="7" borderId="31" xfId="0" applyFont="1" applyFill="1" applyBorder="1" applyAlignment="1" applyProtection="1">
      <alignment horizontal="left" vertical="center"/>
      <protection hidden="1"/>
    </xf>
    <xf numFmtId="0" fontId="28" fillId="7" borderId="32" xfId="0" applyFont="1" applyFill="1" applyBorder="1" applyAlignment="1" applyProtection="1">
      <alignment horizontal="left" vertical="center"/>
      <protection hidden="1"/>
    </xf>
    <xf numFmtId="0" fontId="31" fillId="3" borderId="20" xfId="0" applyFont="1" applyFill="1" applyBorder="1" applyAlignment="1" applyProtection="1">
      <alignment horizontal="left" vertical="center"/>
      <protection hidden="1"/>
    </xf>
    <xf numFmtId="0" fontId="31" fillId="3" borderId="21" xfId="0" applyFont="1" applyFill="1" applyBorder="1" applyAlignment="1" applyProtection="1">
      <alignment horizontal="left" vertical="center"/>
      <protection hidden="1"/>
    </xf>
    <xf numFmtId="0" fontId="28" fillId="7" borderId="20" xfId="0" applyFont="1" applyFill="1" applyBorder="1" applyAlignment="1" applyProtection="1">
      <alignment horizontal="left" vertical="center"/>
      <protection hidden="1"/>
    </xf>
    <xf numFmtId="0" fontId="28" fillId="7" borderId="21" xfId="0" applyFont="1" applyFill="1" applyBorder="1" applyAlignment="1" applyProtection="1">
      <alignment horizontal="left" vertical="center"/>
      <protection hidden="1"/>
    </xf>
    <xf numFmtId="0" fontId="28" fillId="7" borderId="34" xfId="0" applyFont="1" applyFill="1" applyBorder="1" applyAlignment="1" applyProtection="1">
      <alignment horizontal="left" vertical="center"/>
      <protection hidden="1"/>
    </xf>
    <xf numFmtId="0" fontId="28" fillId="7" borderId="25" xfId="0" applyFont="1" applyFill="1" applyBorder="1" applyAlignment="1" applyProtection="1">
      <alignment horizontal="left" vertical="center"/>
      <protection hidden="1"/>
    </xf>
    <xf numFmtId="0" fontId="28" fillId="7" borderId="35" xfId="0" applyFont="1" applyFill="1" applyBorder="1" applyAlignment="1" applyProtection="1">
      <alignment horizontal="left" vertical="center"/>
      <protection hidden="1"/>
    </xf>
    <xf numFmtId="0" fontId="28" fillId="7" borderId="36" xfId="0" applyFont="1" applyFill="1" applyBorder="1" applyAlignment="1" applyProtection="1">
      <alignment horizontal="left" vertical="center"/>
      <protection hidden="1"/>
    </xf>
    <xf numFmtId="0" fontId="13" fillId="2" borderId="17" xfId="0" applyFont="1" applyFill="1" applyBorder="1" applyAlignment="1" applyProtection="1">
      <alignment horizontal="left" vertical="center"/>
      <protection hidden="1"/>
    </xf>
    <xf numFmtId="0" fontId="13" fillId="2" borderId="18" xfId="0" applyFont="1" applyFill="1" applyBorder="1" applyAlignment="1" applyProtection="1">
      <alignment horizontal="left" vertical="center"/>
      <protection hidden="1"/>
    </xf>
    <xf numFmtId="0" fontId="13" fillId="7" borderId="28" xfId="0" applyFont="1" applyFill="1" applyBorder="1" applyAlignment="1" applyProtection="1">
      <alignment horizontal="left" vertical="center"/>
      <protection hidden="1"/>
    </xf>
    <xf numFmtId="0" fontId="13" fillId="7" borderId="29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 applyProtection="1">
      <alignment horizontal="left" vertical="center"/>
      <protection hidden="1"/>
    </xf>
    <xf numFmtId="0" fontId="13" fillId="2" borderId="0" xfId="0" applyFont="1" applyFill="1" applyAlignment="1" applyProtection="1">
      <alignment horizontal="left" vertical="center"/>
      <protection hidden="1"/>
    </xf>
    <xf numFmtId="0" fontId="0" fillId="3" borderId="8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5" xfId="0" applyFill="1" applyBorder="1" applyAlignment="1" applyProtection="1">
      <alignment horizontal="center" vertical="center"/>
      <protection hidden="1"/>
    </xf>
    <xf numFmtId="0" fontId="0" fillId="3" borderId="0" xfId="0" applyFill="1" applyAlignment="1" applyProtection="1">
      <alignment horizontal="center" vertical="center"/>
      <protection hidden="1"/>
    </xf>
    <xf numFmtId="0" fontId="0" fillId="3" borderId="16" xfId="0" applyFill="1" applyBorder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center" vertical="center"/>
      <protection hidden="1"/>
    </xf>
    <xf numFmtId="0" fontId="0" fillId="3" borderId="18" xfId="0" applyFill="1" applyBorder="1" applyAlignment="1" applyProtection="1">
      <alignment horizontal="center" vertical="center"/>
      <protection hidden="1"/>
    </xf>
    <xf numFmtId="0" fontId="0" fillId="3" borderId="19" xfId="0" applyFill="1" applyBorder="1" applyAlignment="1" applyProtection="1">
      <alignment horizontal="center" vertical="center"/>
      <protection hidden="1"/>
    </xf>
    <xf numFmtId="0" fontId="31" fillId="7" borderId="20" xfId="0" applyFont="1" applyFill="1" applyBorder="1" applyAlignment="1" applyProtection="1">
      <alignment horizontal="left" vertical="center"/>
      <protection hidden="1"/>
    </xf>
    <xf numFmtId="0" fontId="31" fillId="7" borderId="21" xfId="0" applyFont="1" applyFill="1" applyBorder="1" applyAlignment="1" applyProtection="1">
      <alignment horizontal="left" vertical="center"/>
      <protection hidden="1"/>
    </xf>
    <xf numFmtId="0" fontId="13" fillId="2" borderId="42" xfId="0" applyFont="1" applyFill="1" applyBorder="1" applyAlignment="1" applyProtection="1">
      <alignment horizontal="left" vertical="center"/>
      <protection hidden="1"/>
    </xf>
    <xf numFmtId="0" fontId="13" fillId="2" borderId="43" xfId="0" applyFont="1" applyFill="1" applyBorder="1" applyAlignment="1" applyProtection="1">
      <alignment horizontal="left" vertical="center"/>
      <protection hidden="1"/>
    </xf>
    <xf numFmtId="0" fontId="29" fillId="3" borderId="20" xfId="0" applyFont="1" applyFill="1" applyBorder="1" applyAlignment="1" applyProtection="1">
      <alignment horizontal="left" vertical="center"/>
      <protection hidden="1"/>
    </xf>
    <xf numFmtId="0" fontId="29" fillId="3" borderId="21" xfId="0" applyFont="1" applyFill="1" applyBorder="1" applyAlignment="1" applyProtection="1">
      <alignment horizontal="left" vertical="center"/>
      <protection hidden="1"/>
    </xf>
    <xf numFmtId="0" fontId="5" fillId="3" borderId="20" xfId="0" applyFont="1" applyFill="1" applyBorder="1" applyAlignment="1" applyProtection="1">
      <alignment horizontal="left" vertical="center"/>
      <protection hidden="1"/>
    </xf>
    <xf numFmtId="0" fontId="5" fillId="3" borderId="21" xfId="0" applyFont="1" applyFill="1" applyBorder="1" applyAlignment="1" applyProtection="1">
      <alignment horizontal="left" vertical="center"/>
      <protection hidden="1"/>
    </xf>
    <xf numFmtId="1" fontId="13" fillId="2" borderId="15" xfId="0" applyNumberFormat="1" applyFont="1" applyFill="1" applyBorder="1" applyAlignment="1" applyProtection="1">
      <alignment horizontal="left" vertical="center" indent="2"/>
      <protection hidden="1"/>
    </xf>
    <xf numFmtId="1" fontId="13" fillId="2" borderId="0" xfId="0" applyNumberFormat="1" applyFont="1" applyFill="1" applyAlignment="1" applyProtection="1">
      <alignment horizontal="left" vertical="center" indent="2"/>
      <protection hidden="1"/>
    </xf>
    <xf numFmtId="1" fontId="13" fillId="2" borderId="34" xfId="0" applyNumberFormat="1" applyFont="1" applyFill="1" applyBorder="1" applyAlignment="1" applyProtection="1">
      <alignment horizontal="left" vertical="center" indent="2"/>
      <protection hidden="1"/>
    </xf>
    <xf numFmtId="1" fontId="13" fillId="2" borderId="25" xfId="0" applyNumberFormat="1" applyFont="1" applyFill="1" applyBorder="1" applyAlignment="1" applyProtection="1">
      <alignment horizontal="left" vertical="center" indent="2"/>
      <protection hidden="1"/>
    </xf>
    <xf numFmtId="0" fontId="13" fillId="2" borderId="38" xfId="0" applyFont="1" applyFill="1" applyBorder="1" applyAlignment="1" applyProtection="1">
      <alignment horizontal="left" vertical="center"/>
      <protection hidden="1"/>
    </xf>
    <xf numFmtId="0" fontId="13" fillId="2" borderId="39" xfId="0" applyFont="1" applyFill="1" applyBorder="1" applyAlignment="1" applyProtection="1">
      <alignment horizontal="left" vertical="center"/>
      <protection hidden="1"/>
    </xf>
    <xf numFmtId="1" fontId="13" fillId="2" borderId="15" xfId="0" applyNumberFormat="1" applyFont="1" applyFill="1" applyBorder="1" applyAlignment="1" applyProtection="1">
      <alignment horizontal="left" vertical="center"/>
      <protection hidden="1"/>
    </xf>
    <xf numFmtId="1" fontId="13" fillId="2" borderId="0" xfId="0" applyNumberFormat="1" applyFont="1" applyFill="1" applyAlignment="1" applyProtection="1">
      <alignment horizontal="left" vertical="center"/>
      <protection hidden="1"/>
    </xf>
    <xf numFmtId="0" fontId="13" fillId="2" borderId="20" xfId="0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Alignment="1" applyProtection="1">
      <alignment horizontal="left" vertical="center"/>
      <protection hidden="1"/>
    </xf>
    <xf numFmtId="0" fontId="13" fillId="2" borderId="20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28" fillId="7" borderId="40" xfId="0" applyFont="1" applyFill="1" applyBorder="1" applyAlignment="1" applyProtection="1">
      <alignment horizontal="left" vertical="center"/>
      <protection hidden="1"/>
    </xf>
    <xf numFmtId="0" fontId="28" fillId="7" borderId="41" xfId="0" applyFont="1" applyFill="1" applyBorder="1" applyAlignment="1" applyProtection="1">
      <alignment horizontal="left" vertical="center"/>
      <protection hidden="1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31" fillId="3" borderId="20" xfId="0" applyFont="1" applyFill="1" applyBorder="1" applyAlignment="1">
      <alignment horizontal="left" vertical="center"/>
    </xf>
    <xf numFmtId="0" fontId="31" fillId="3" borderId="21" xfId="0" applyFont="1" applyFill="1" applyBorder="1" applyAlignment="1">
      <alignment horizontal="left" vertical="center"/>
    </xf>
    <xf numFmtId="0" fontId="28" fillId="7" borderId="23" xfId="0" applyFont="1" applyFill="1" applyBorder="1" applyAlignment="1">
      <alignment horizontal="left" vertical="center"/>
    </xf>
    <xf numFmtId="0" fontId="28" fillId="7" borderId="2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 indent="2"/>
    </xf>
    <xf numFmtId="0" fontId="13" fillId="2" borderId="0" xfId="0" applyFont="1" applyFill="1" applyAlignment="1">
      <alignment horizontal="left" vertical="center" indent="2"/>
    </xf>
    <xf numFmtId="0" fontId="28" fillId="7" borderId="28" xfId="0" applyFont="1" applyFill="1" applyBorder="1" applyAlignment="1">
      <alignment horizontal="left" vertical="center"/>
    </xf>
    <xf numFmtId="0" fontId="28" fillId="7" borderId="29" xfId="0" applyFont="1" applyFill="1" applyBorder="1" applyAlignment="1">
      <alignment horizontal="left" vertical="center"/>
    </xf>
    <xf numFmtId="0" fontId="28" fillId="7" borderId="31" xfId="0" applyFont="1" applyFill="1" applyBorder="1" applyAlignment="1">
      <alignment horizontal="left" vertical="center"/>
    </xf>
    <xf numFmtId="0" fontId="28" fillId="7" borderId="32" xfId="0" applyFont="1" applyFill="1" applyBorder="1" applyAlignment="1">
      <alignment horizontal="left" vertical="center"/>
    </xf>
    <xf numFmtId="0" fontId="28" fillId="7" borderId="34" xfId="0" applyFont="1" applyFill="1" applyBorder="1" applyAlignment="1">
      <alignment horizontal="left" vertical="center"/>
    </xf>
    <xf numFmtId="0" fontId="28" fillId="7" borderId="25" xfId="0" applyFont="1" applyFill="1" applyBorder="1" applyAlignment="1">
      <alignment horizontal="left" vertical="center"/>
    </xf>
    <xf numFmtId="0" fontId="13" fillId="7" borderId="28" xfId="0" applyFont="1" applyFill="1" applyBorder="1" applyAlignment="1">
      <alignment horizontal="left" vertical="center"/>
    </xf>
    <xf numFmtId="0" fontId="13" fillId="7" borderId="29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31" fillId="7" borderId="20" xfId="0" applyFont="1" applyFill="1" applyBorder="1" applyAlignment="1">
      <alignment horizontal="left" vertical="center"/>
    </xf>
    <xf numFmtId="0" fontId="31" fillId="7" borderId="21" xfId="0" applyFont="1" applyFill="1" applyBorder="1" applyAlignment="1">
      <alignment horizontal="left" vertical="center"/>
    </xf>
    <xf numFmtId="0" fontId="13" fillId="2" borderId="42" xfId="0" applyFont="1" applyFill="1" applyBorder="1" applyAlignment="1">
      <alignment horizontal="left" vertical="center"/>
    </xf>
    <xf numFmtId="0" fontId="13" fillId="2" borderId="43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29" fillId="3" borderId="20" xfId="0" applyFont="1" applyFill="1" applyBorder="1" applyAlignment="1">
      <alignment horizontal="left" vertical="center"/>
    </xf>
    <xf numFmtId="0" fontId="29" fillId="3" borderId="21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28" fillId="7" borderId="35" xfId="0" applyFont="1" applyFill="1" applyBorder="1" applyAlignment="1">
      <alignment horizontal="left" vertical="center"/>
    </xf>
    <xf numFmtId="0" fontId="28" fillId="7" borderId="36" xfId="0" applyFont="1" applyFill="1" applyBorder="1" applyAlignment="1">
      <alignment horizontal="left" vertical="center"/>
    </xf>
    <xf numFmtId="0" fontId="28" fillId="3" borderId="20" xfId="0" applyFont="1" applyFill="1" applyBorder="1" applyAlignment="1">
      <alignment horizontal="left" vertical="center"/>
    </xf>
    <xf numFmtId="0" fontId="28" fillId="3" borderId="21" xfId="0" applyFont="1" applyFill="1" applyBorder="1" applyAlignment="1">
      <alignment horizontal="left" vertical="center"/>
    </xf>
    <xf numFmtId="0" fontId="31" fillId="7" borderId="28" xfId="0" applyFont="1" applyFill="1" applyBorder="1" applyAlignment="1">
      <alignment horizontal="left" vertical="center"/>
    </xf>
    <xf numFmtId="0" fontId="31" fillId="7" borderId="29" xfId="0" applyFont="1" applyFill="1" applyBorder="1" applyAlignment="1">
      <alignment horizontal="left" vertical="center"/>
    </xf>
    <xf numFmtId="0" fontId="28" fillId="7" borderId="42" xfId="0" applyFont="1" applyFill="1" applyBorder="1" applyAlignment="1" applyProtection="1">
      <alignment horizontal="left" vertical="center"/>
      <protection hidden="1"/>
    </xf>
    <xf numFmtId="0" fontId="28" fillId="7" borderId="43" xfId="0" applyFont="1" applyFill="1" applyBorder="1" applyAlignment="1" applyProtection="1">
      <alignment horizontal="left" vertical="center"/>
      <protection hidden="1"/>
    </xf>
    <xf numFmtId="0" fontId="28" fillId="7" borderId="20" xfId="0" applyFont="1" applyFill="1" applyBorder="1" applyAlignment="1">
      <alignment horizontal="left" vertical="center"/>
    </xf>
    <xf numFmtId="0" fontId="28" fillId="7" borderId="21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3" fillId="2" borderId="34" xfId="0" applyFont="1" applyFill="1" applyBorder="1" applyAlignment="1" applyProtection="1">
      <alignment horizontal="left" vertical="center" indent="2"/>
      <protection hidden="1"/>
    </xf>
    <xf numFmtId="0" fontId="13" fillId="2" borderId="25" xfId="0" applyFont="1" applyFill="1" applyBorder="1" applyAlignment="1" applyProtection="1">
      <alignment horizontal="left" vertical="center" indent="2"/>
      <protection hidden="1"/>
    </xf>
    <xf numFmtId="0" fontId="28" fillId="7" borderId="17" xfId="0" applyFont="1" applyFill="1" applyBorder="1" applyAlignment="1" applyProtection="1">
      <alignment horizontal="left" vertical="center"/>
      <protection hidden="1"/>
    </xf>
    <xf numFmtId="0" fontId="28" fillId="7" borderId="18" xfId="0" applyFont="1" applyFill="1" applyBorder="1" applyAlignment="1" applyProtection="1">
      <alignment horizontal="left" vertical="center"/>
      <protection hidden="1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</cellXfs>
  <cellStyles count="335">
    <cellStyle name="1 indent" xfId="4" xr:uid="{00000000-0005-0000-0000-000031000000}"/>
    <cellStyle name="1 indent 2" xfId="5" xr:uid="{00000000-0005-0000-0000-000032000000}"/>
    <cellStyle name="1 indent 3" xfId="6" xr:uid="{00000000-0005-0000-0000-000033000000}"/>
    <cellStyle name="2 indents" xfId="7" xr:uid="{00000000-0005-0000-0000-000034000000}"/>
    <cellStyle name="2 indents 2" xfId="8" xr:uid="{00000000-0005-0000-0000-000035000000}"/>
    <cellStyle name="2 indents 3" xfId="9" xr:uid="{00000000-0005-0000-0000-000036000000}"/>
    <cellStyle name="20% - Accent1 2" xfId="10" xr:uid="{00000000-0005-0000-0000-000037000000}"/>
    <cellStyle name="20% - Accent1 2 2" xfId="11" xr:uid="{00000000-0005-0000-0000-000038000000}"/>
    <cellStyle name="20% - Accent1 2 3" xfId="12" xr:uid="{00000000-0005-0000-0000-000039000000}"/>
    <cellStyle name="20% - Accent1 3" xfId="13" xr:uid="{00000000-0005-0000-0000-00003A000000}"/>
    <cellStyle name="20% - Accent2 2" xfId="14" xr:uid="{00000000-0005-0000-0000-00003B000000}"/>
    <cellStyle name="20% - Accent2 2 2" xfId="15" xr:uid="{00000000-0005-0000-0000-00003C000000}"/>
    <cellStyle name="20% - Accent2 2 3" xfId="16" xr:uid="{00000000-0005-0000-0000-00003D000000}"/>
    <cellStyle name="20% - Accent2 3" xfId="17" xr:uid="{00000000-0005-0000-0000-00003E000000}"/>
    <cellStyle name="20% - Accent3 2" xfId="18" xr:uid="{00000000-0005-0000-0000-00003F000000}"/>
    <cellStyle name="20% - Accent3 2 2" xfId="19" xr:uid="{00000000-0005-0000-0000-000040000000}"/>
    <cellStyle name="20% - Accent3 2 3" xfId="20" xr:uid="{00000000-0005-0000-0000-000041000000}"/>
    <cellStyle name="20% - Accent3 3" xfId="21" xr:uid="{00000000-0005-0000-0000-000042000000}"/>
    <cellStyle name="20% - Accent4 2" xfId="22" xr:uid="{00000000-0005-0000-0000-000043000000}"/>
    <cellStyle name="20% - Accent4 2 2" xfId="23" xr:uid="{00000000-0005-0000-0000-000044000000}"/>
    <cellStyle name="20% - Accent4 2 3" xfId="24" xr:uid="{00000000-0005-0000-0000-000045000000}"/>
    <cellStyle name="20% - Accent4 3" xfId="25" xr:uid="{00000000-0005-0000-0000-000046000000}"/>
    <cellStyle name="20% - Accent5 2" xfId="26" xr:uid="{00000000-0005-0000-0000-000047000000}"/>
    <cellStyle name="20% - Accent5 2 2" xfId="27" xr:uid="{00000000-0005-0000-0000-000048000000}"/>
    <cellStyle name="20% - Accent5 2 3" xfId="28" xr:uid="{00000000-0005-0000-0000-000049000000}"/>
    <cellStyle name="20% - Accent5 3" xfId="29" xr:uid="{00000000-0005-0000-0000-00004A000000}"/>
    <cellStyle name="20% - Accent6 2" xfId="30" xr:uid="{00000000-0005-0000-0000-00004B000000}"/>
    <cellStyle name="20% - Accent6 2 2" xfId="31" xr:uid="{00000000-0005-0000-0000-00004C000000}"/>
    <cellStyle name="20% - Accent6 2 3" xfId="32" xr:uid="{00000000-0005-0000-0000-00004D000000}"/>
    <cellStyle name="20% - Accent6 3" xfId="33" xr:uid="{00000000-0005-0000-0000-00004E000000}"/>
    <cellStyle name="3 indents" xfId="34" xr:uid="{00000000-0005-0000-0000-00004F000000}"/>
    <cellStyle name="3 indents 2" xfId="35" xr:uid="{00000000-0005-0000-0000-000050000000}"/>
    <cellStyle name="3 indents 3" xfId="36" xr:uid="{00000000-0005-0000-0000-000051000000}"/>
    <cellStyle name="4 indents" xfId="37" xr:uid="{00000000-0005-0000-0000-000052000000}"/>
    <cellStyle name="4 indents 2" xfId="38" xr:uid="{00000000-0005-0000-0000-000053000000}"/>
    <cellStyle name="4 indents 3" xfId="39" xr:uid="{00000000-0005-0000-0000-000054000000}"/>
    <cellStyle name="40% - Accent1 2" xfId="40" xr:uid="{00000000-0005-0000-0000-000055000000}"/>
    <cellStyle name="40% - Accent1 2 2" xfId="41" xr:uid="{00000000-0005-0000-0000-000056000000}"/>
    <cellStyle name="40% - Accent1 2 3" xfId="42" xr:uid="{00000000-0005-0000-0000-000057000000}"/>
    <cellStyle name="40% - Accent1 3" xfId="43" xr:uid="{00000000-0005-0000-0000-000058000000}"/>
    <cellStyle name="40% - Accent2 2" xfId="44" xr:uid="{00000000-0005-0000-0000-000059000000}"/>
    <cellStyle name="40% - Accent2 2 2" xfId="45" xr:uid="{00000000-0005-0000-0000-00005A000000}"/>
    <cellStyle name="40% - Accent2 2 3" xfId="46" xr:uid="{00000000-0005-0000-0000-00005B000000}"/>
    <cellStyle name="40% - Accent2 3" xfId="47" xr:uid="{00000000-0005-0000-0000-00005C000000}"/>
    <cellStyle name="40% - Accent3 2" xfId="48" xr:uid="{00000000-0005-0000-0000-00005D000000}"/>
    <cellStyle name="40% - Accent3 2 2" xfId="49" xr:uid="{00000000-0005-0000-0000-00005E000000}"/>
    <cellStyle name="40% - Accent3 2 3" xfId="50" xr:uid="{00000000-0005-0000-0000-00005F000000}"/>
    <cellStyle name="40% - Accent3 3" xfId="51" xr:uid="{00000000-0005-0000-0000-000060000000}"/>
    <cellStyle name="40% - Accent4 2" xfId="52" xr:uid="{00000000-0005-0000-0000-000061000000}"/>
    <cellStyle name="40% - Accent4 2 2" xfId="53" xr:uid="{00000000-0005-0000-0000-000062000000}"/>
    <cellStyle name="40% - Accent4 2 3" xfId="54" xr:uid="{00000000-0005-0000-0000-000063000000}"/>
    <cellStyle name="40% - Accent4 3" xfId="55" xr:uid="{00000000-0005-0000-0000-000064000000}"/>
    <cellStyle name="40% - Accent5 2" xfId="56" xr:uid="{00000000-0005-0000-0000-000065000000}"/>
    <cellStyle name="40% - Accent5 2 2" xfId="57" xr:uid="{00000000-0005-0000-0000-000066000000}"/>
    <cellStyle name="40% - Accent5 2 3" xfId="58" xr:uid="{00000000-0005-0000-0000-000067000000}"/>
    <cellStyle name="40% - Accent5 3" xfId="59" xr:uid="{00000000-0005-0000-0000-000068000000}"/>
    <cellStyle name="40% - Accent6 2" xfId="60" xr:uid="{00000000-0005-0000-0000-000069000000}"/>
    <cellStyle name="40% - Accent6 2 2" xfId="61" xr:uid="{00000000-0005-0000-0000-00006A000000}"/>
    <cellStyle name="40% - Accent6 2 3" xfId="62" xr:uid="{00000000-0005-0000-0000-00006B000000}"/>
    <cellStyle name="40% - Accent6 3" xfId="63" xr:uid="{00000000-0005-0000-0000-00006C000000}"/>
    <cellStyle name="60% - Accent1 2" xfId="64" xr:uid="{00000000-0005-0000-0000-00006D000000}"/>
    <cellStyle name="60% - Accent2 2" xfId="65" xr:uid="{00000000-0005-0000-0000-00006E000000}"/>
    <cellStyle name="60% - Accent3 2" xfId="66" xr:uid="{00000000-0005-0000-0000-00006F000000}"/>
    <cellStyle name="60% - Accent4 2" xfId="67" xr:uid="{00000000-0005-0000-0000-000070000000}"/>
    <cellStyle name="60% - Accent5 2" xfId="68" xr:uid="{00000000-0005-0000-0000-000071000000}"/>
    <cellStyle name="60% - Accent6 2" xfId="69" xr:uid="{00000000-0005-0000-0000-000072000000}"/>
    <cellStyle name="Accent1 2" xfId="70" xr:uid="{00000000-0005-0000-0000-000073000000}"/>
    <cellStyle name="Accent2 2" xfId="71" xr:uid="{00000000-0005-0000-0000-000074000000}"/>
    <cellStyle name="Accent3 2" xfId="72" xr:uid="{00000000-0005-0000-0000-000075000000}"/>
    <cellStyle name="Accent4 2" xfId="73" xr:uid="{00000000-0005-0000-0000-000076000000}"/>
    <cellStyle name="Accent5 2" xfId="74" xr:uid="{00000000-0005-0000-0000-000077000000}"/>
    <cellStyle name="Accent6 2" xfId="75" xr:uid="{00000000-0005-0000-0000-000078000000}"/>
    <cellStyle name="Bad 2" xfId="76" xr:uid="{00000000-0005-0000-0000-000079000000}"/>
    <cellStyle name="Bad 2 2" xfId="77" xr:uid="{00000000-0005-0000-0000-00007A000000}"/>
    <cellStyle name="Calculation 2" xfId="78" xr:uid="{00000000-0005-0000-0000-00007B000000}"/>
    <cellStyle name="Check Cell 2" xfId="79" xr:uid="{00000000-0005-0000-0000-00007C000000}"/>
    <cellStyle name="Comma" xfId="1" builtinId="3"/>
    <cellStyle name="Comma 2" xfId="80" xr:uid="{00000000-0005-0000-0000-00007D000000}"/>
    <cellStyle name="Comma 2 2" xfId="81" xr:uid="{00000000-0005-0000-0000-00007E000000}"/>
    <cellStyle name="Comma 2 3" xfId="82" xr:uid="{00000000-0005-0000-0000-00007F000000}"/>
    <cellStyle name="Comma 3" xfId="83" xr:uid="{00000000-0005-0000-0000-000080000000}"/>
    <cellStyle name="Comma 4" xfId="84" xr:uid="{00000000-0005-0000-0000-000081000000}"/>
    <cellStyle name="Currency" xfId="2" builtinId="4"/>
    <cellStyle name="Date" xfId="85" xr:uid="{00000000-0005-0000-0000-000082000000}"/>
    <cellStyle name="Excel Built-in Normal" xfId="86" xr:uid="{00000000-0005-0000-0000-000083000000}"/>
    <cellStyle name="Excel Built-in Normal 2" xfId="87" xr:uid="{00000000-0005-0000-0000-000084000000}"/>
    <cellStyle name="Excel Built-in Normal 2 2" xfId="88" xr:uid="{00000000-0005-0000-0000-000085000000}"/>
    <cellStyle name="Excel Built-in Normal 2 3" xfId="89" xr:uid="{00000000-0005-0000-0000-000086000000}"/>
    <cellStyle name="Explanatory Text 2" xfId="90" xr:uid="{00000000-0005-0000-0000-000087000000}"/>
    <cellStyle name="F2" xfId="91" xr:uid="{00000000-0005-0000-0000-000088000000}"/>
    <cellStyle name="F3" xfId="92" xr:uid="{00000000-0005-0000-0000-000089000000}"/>
    <cellStyle name="F4" xfId="93" xr:uid="{00000000-0005-0000-0000-00008A000000}"/>
    <cellStyle name="F5" xfId="94" xr:uid="{00000000-0005-0000-0000-00008B000000}"/>
    <cellStyle name="F6" xfId="95" xr:uid="{00000000-0005-0000-0000-00008C000000}"/>
    <cellStyle name="F7" xfId="96" xr:uid="{00000000-0005-0000-0000-00008D000000}"/>
    <cellStyle name="F8" xfId="97" xr:uid="{00000000-0005-0000-0000-00008E000000}"/>
    <cellStyle name="Fixed" xfId="98" xr:uid="{00000000-0005-0000-0000-00008F000000}"/>
    <cellStyle name="Good 2" xfId="99" xr:uid="{00000000-0005-0000-0000-000090000000}"/>
    <cellStyle name="Heading 1 2" xfId="100" xr:uid="{00000000-0005-0000-0000-000091000000}"/>
    <cellStyle name="Heading 2 2" xfId="101" xr:uid="{00000000-0005-0000-0000-000092000000}"/>
    <cellStyle name="Heading 3 2" xfId="102" xr:uid="{00000000-0005-0000-0000-000093000000}"/>
    <cellStyle name="Heading 4 2" xfId="103" xr:uid="{00000000-0005-0000-0000-000094000000}"/>
    <cellStyle name="HEADING1" xfId="104" xr:uid="{00000000-0005-0000-0000-000095000000}"/>
    <cellStyle name="HEADING2" xfId="105" xr:uid="{00000000-0005-0000-0000-000096000000}"/>
    <cellStyle name="imf-one decimal" xfId="106" xr:uid="{00000000-0005-0000-0000-000097000000}"/>
    <cellStyle name="imf-one decimal 2" xfId="107" xr:uid="{00000000-0005-0000-0000-000098000000}"/>
    <cellStyle name="imf-one decimal 3" xfId="108" xr:uid="{00000000-0005-0000-0000-000099000000}"/>
    <cellStyle name="imf-zero decimal" xfId="109" xr:uid="{00000000-0005-0000-0000-00009A000000}"/>
    <cellStyle name="imf-zero decimal 2" xfId="110" xr:uid="{00000000-0005-0000-0000-00009B000000}"/>
    <cellStyle name="imf-zero decimal 3" xfId="111" xr:uid="{00000000-0005-0000-0000-00009C000000}"/>
    <cellStyle name="Input 2" xfId="112" xr:uid="{00000000-0005-0000-0000-00009D000000}"/>
    <cellStyle name="Label" xfId="113" xr:uid="{00000000-0005-0000-0000-00009E000000}"/>
    <cellStyle name="Label 2" xfId="114" xr:uid="{00000000-0005-0000-0000-00009F000000}"/>
    <cellStyle name="Linked Cell 2" xfId="115" xr:uid="{00000000-0005-0000-0000-0000A0000000}"/>
    <cellStyle name="Neutral 2" xfId="116" xr:uid="{00000000-0005-0000-0000-0000A1000000}"/>
    <cellStyle name="Normal" xfId="0" builtinId="0"/>
    <cellStyle name="Normal - Style1" xfId="117" xr:uid="{00000000-0005-0000-0000-0000A2000000}"/>
    <cellStyle name="Normal - Style2" xfId="118" xr:uid="{00000000-0005-0000-0000-0000A3000000}"/>
    <cellStyle name="Normal - Style3" xfId="119" xr:uid="{00000000-0005-0000-0000-0000A4000000}"/>
    <cellStyle name="Normal 10" xfId="120" xr:uid="{00000000-0005-0000-0000-0000A5000000}"/>
    <cellStyle name="Normal 10 2" xfId="121" xr:uid="{00000000-0005-0000-0000-0000A6000000}"/>
    <cellStyle name="Normal 10 2 2" xfId="122" xr:uid="{00000000-0005-0000-0000-0000A7000000}"/>
    <cellStyle name="Normal 10 2 2 2" xfId="123" xr:uid="{00000000-0005-0000-0000-0000A8000000}"/>
    <cellStyle name="Normal 10 2 2 3" xfId="124" xr:uid="{00000000-0005-0000-0000-0000A9000000}"/>
    <cellStyle name="Normal 10 2 3" xfId="125" xr:uid="{00000000-0005-0000-0000-0000AA000000}"/>
    <cellStyle name="Normal 10 2 4" xfId="126" xr:uid="{00000000-0005-0000-0000-0000AB000000}"/>
    <cellStyle name="Normal 10 2 5" xfId="127" xr:uid="{00000000-0005-0000-0000-0000AC000000}"/>
    <cellStyle name="Normal 10 3" xfId="128" xr:uid="{00000000-0005-0000-0000-0000AD000000}"/>
    <cellStyle name="Normal 10 3 2" xfId="129" xr:uid="{00000000-0005-0000-0000-0000AE000000}"/>
    <cellStyle name="Normal 10 3 3" xfId="130" xr:uid="{00000000-0005-0000-0000-0000AF000000}"/>
    <cellStyle name="Normal 10 4" xfId="131" xr:uid="{00000000-0005-0000-0000-0000B0000000}"/>
    <cellStyle name="Normal 10 5" xfId="132" xr:uid="{00000000-0005-0000-0000-0000B1000000}"/>
    <cellStyle name="Normal 10 6" xfId="133" xr:uid="{00000000-0005-0000-0000-0000B2000000}"/>
    <cellStyle name="Normal 11" xfId="134" xr:uid="{00000000-0005-0000-0000-0000B3000000}"/>
    <cellStyle name="Normal 11 2" xfId="135" xr:uid="{00000000-0005-0000-0000-0000B4000000}"/>
    <cellStyle name="Normal 11 2 2" xfId="136" xr:uid="{00000000-0005-0000-0000-0000B5000000}"/>
    <cellStyle name="Normal 11 2 2 2" xfId="137" xr:uid="{00000000-0005-0000-0000-0000B6000000}"/>
    <cellStyle name="Normal 11 2 2 3" xfId="138" xr:uid="{00000000-0005-0000-0000-0000B7000000}"/>
    <cellStyle name="Normal 11 2 3" xfId="139" xr:uid="{00000000-0005-0000-0000-0000B8000000}"/>
    <cellStyle name="Normal 11 2 4" xfId="140" xr:uid="{00000000-0005-0000-0000-0000B9000000}"/>
    <cellStyle name="Normal 11 2 5" xfId="141" xr:uid="{00000000-0005-0000-0000-0000BA000000}"/>
    <cellStyle name="Normal 11 3" xfId="142" xr:uid="{00000000-0005-0000-0000-0000BB000000}"/>
    <cellStyle name="Normal 11 3 2" xfId="143" xr:uid="{00000000-0005-0000-0000-0000BC000000}"/>
    <cellStyle name="Normal 11 3 3" xfId="144" xr:uid="{00000000-0005-0000-0000-0000BD000000}"/>
    <cellStyle name="Normal 11 4" xfId="145" xr:uid="{00000000-0005-0000-0000-0000BE000000}"/>
    <cellStyle name="Normal 11 5" xfId="146" xr:uid="{00000000-0005-0000-0000-0000BF000000}"/>
    <cellStyle name="Normal 11 6" xfId="147" xr:uid="{00000000-0005-0000-0000-0000C0000000}"/>
    <cellStyle name="Normal 12" xfId="148" xr:uid="{00000000-0005-0000-0000-0000C1000000}"/>
    <cellStyle name="Normal 12 2" xfId="149" xr:uid="{00000000-0005-0000-0000-0000C2000000}"/>
    <cellStyle name="Normal 12 2 2" xfId="150" xr:uid="{00000000-0005-0000-0000-0000C3000000}"/>
    <cellStyle name="Normal 12 2 2 2" xfId="151" xr:uid="{00000000-0005-0000-0000-0000C4000000}"/>
    <cellStyle name="Normal 12 2 2 3" xfId="152" xr:uid="{00000000-0005-0000-0000-0000C5000000}"/>
    <cellStyle name="Normal 12 2 3" xfId="153" xr:uid="{00000000-0005-0000-0000-0000C6000000}"/>
    <cellStyle name="Normal 12 2 4" xfId="154" xr:uid="{00000000-0005-0000-0000-0000C7000000}"/>
    <cellStyle name="Normal 12 2 5" xfId="155" xr:uid="{00000000-0005-0000-0000-0000C8000000}"/>
    <cellStyle name="Normal 12 3" xfId="156" xr:uid="{00000000-0005-0000-0000-0000C9000000}"/>
    <cellStyle name="Normal 12 3 2" xfId="157" xr:uid="{00000000-0005-0000-0000-0000CA000000}"/>
    <cellStyle name="Normal 12 3 3" xfId="158" xr:uid="{00000000-0005-0000-0000-0000CB000000}"/>
    <cellStyle name="Normal 12 4" xfId="159" xr:uid="{00000000-0005-0000-0000-0000CC000000}"/>
    <cellStyle name="Normal 12 5" xfId="160" xr:uid="{00000000-0005-0000-0000-0000CD000000}"/>
    <cellStyle name="Normal 12 6" xfId="161" xr:uid="{00000000-0005-0000-0000-0000CE000000}"/>
    <cellStyle name="Normal 13" xfId="162" xr:uid="{00000000-0005-0000-0000-0000CF000000}"/>
    <cellStyle name="Normal 14" xfId="163" xr:uid="{00000000-0005-0000-0000-0000D0000000}"/>
    <cellStyle name="Normal 14 2" xfId="164" xr:uid="{00000000-0005-0000-0000-0000D1000000}"/>
    <cellStyle name="Normal 14 2 2" xfId="165" xr:uid="{00000000-0005-0000-0000-0000D2000000}"/>
    <cellStyle name="Normal 14 2 2 2" xfId="166" xr:uid="{00000000-0005-0000-0000-0000D3000000}"/>
    <cellStyle name="Normal 14 2 2 3" xfId="167" xr:uid="{00000000-0005-0000-0000-0000D4000000}"/>
    <cellStyle name="Normal 14 2 3" xfId="168" xr:uid="{00000000-0005-0000-0000-0000D5000000}"/>
    <cellStyle name="Normal 14 2 4" xfId="169" xr:uid="{00000000-0005-0000-0000-0000D6000000}"/>
    <cellStyle name="Normal 14 2 5" xfId="170" xr:uid="{00000000-0005-0000-0000-0000D7000000}"/>
    <cellStyle name="Normal 14 3" xfId="171" xr:uid="{00000000-0005-0000-0000-0000D8000000}"/>
    <cellStyle name="Normal 14 3 2" xfId="172" xr:uid="{00000000-0005-0000-0000-0000D9000000}"/>
    <cellStyle name="Normal 14 3 3" xfId="173" xr:uid="{00000000-0005-0000-0000-0000DA000000}"/>
    <cellStyle name="Normal 14 4" xfId="174" xr:uid="{00000000-0005-0000-0000-0000DB000000}"/>
    <cellStyle name="Normal 14 5" xfId="175" xr:uid="{00000000-0005-0000-0000-0000DC000000}"/>
    <cellStyle name="Normal 14 6" xfId="176" xr:uid="{00000000-0005-0000-0000-0000DD000000}"/>
    <cellStyle name="Normal 15" xfId="177" xr:uid="{00000000-0005-0000-0000-0000DE000000}"/>
    <cellStyle name="Normal 15 2" xfId="178" xr:uid="{00000000-0005-0000-0000-0000DF000000}"/>
    <cellStyle name="Normal 16" xfId="179" xr:uid="{00000000-0005-0000-0000-0000E0000000}"/>
    <cellStyle name="Normal 16 2" xfId="180" xr:uid="{00000000-0005-0000-0000-0000E1000000}"/>
    <cellStyle name="Normal 16 2 2" xfId="181" xr:uid="{00000000-0005-0000-0000-0000E2000000}"/>
    <cellStyle name="Normal 16 3" xfId="182" xr:uid="{00000000-0005-0000-0000-0000E3000000}"/>
    <cellStyle name="Normal 16 3 2" xfId="183" xr:uid="{00000000-0005-0000-0000-0000E4000000}"/>
    <cellStyle name="Normal 16 4" xfId="184" xr:uid="{00000000-0005-0000-0000-0000E5000000}"/>
    <cellStyle name="Normal 17" xfId="185" xr:uid="{00000000-0005-0000-0000-0000E6000000}"/>
    <cellStyle name="Normal 17 2" xfId="186" xr:uid="{00000000-0005-0000-0000-0000E7000000}"/>
    <cellStyle name="Normal 17 2 2" xfId="187" xr:uid="{00000000-0005-0000-0000-0000E8000000}"/>
    <cellStyle name="Normal 17 3" xfId="188" xr:uid="{00000000-0005-0000-0000-0000E9000000}"/>
    <cellStyle name="Normal 17 3 2" xfId="189" xr:uid="{00000000-0005-0000-0000-0000EA000000}"/>
    <cellStyle name="Normal 17 4" xfId="190" xr:uid="{00000000-0005-0000-0000-0000EB000000}"/>
    <cellStyle name="Normal 18" xfId="191" xr:uid="{00000000-0005-0000-0000-0000EC000000}"/>
    <cellStyle name="Normal 18 2" xfId="192" xr:uid="{00000000-0005-0000-0000-0000ED000000}"/>
    <cellStyle name="Normal 19" xfId="193" xr:uid="{00000000-0005-0000-0000-0000EE000000}"/>
    <cellStyle name="Normal 19 2" xfId="194" xr:uid="{00000000-0005-0000-0000-0000EF000000}"/>
    <cellStyle name="Normal 19 2 2" xfId="195" xr:uid="{00000000-0005-0000-0000-0000F0000000}"/>
    <cellStyle name="Normal 19 3" xfId="196" xr:uid="{00000000-0005-0000-0000-0000F1000000}"/>
    <cellStyle name="Normal 19 3 2" xfId="197" xr:uid="{00000000-0005-0000-0000-0000F2000000}"/>
    <cellStyle name="Normal 19 4" xfId="198" xr:uid="{00000000-0005-0000-0000-0000F3000000}"/>
    <cellStyle name="Normal 2" xfId="199" xr:uid="{00000000-0005-0000-0000-0000F4000000}"/>
    <cellStyle name="Normal 2 10" xfId="200" xr:uid="{00000000-0005-0000-0000-0000F5000000}"/>
    <cellStyle name="Normal 2 10 2" xfId="201" xr:uid="{00000000-0005-0000-0000-0000F6000000}"/>
    <cellStyle name="Normal 2 11" xfId="202" xr:uid="{00000000-0005-0000-0000-0000F7000000}"/>
    <cellStyle name="Normal 2 12" xfId="203" xr:uid="{00000000-0005-0000-0000-0000F8000000}"/>
    <cellStyle name="Normal 2 2" xfId="204" xr:uid="{00000000-0005-0000-0000-0000F9000000}"/>
    <cellStyle name="Normal 2 2 2" xfId="205" xr:uid="{00000000-0005-0000-0000-0000FA000000}"/>
    <cellStyle name="Normal 2 2 3" xfId="206" xr:uid="{00000000-0005-0000-0000-0000FB000000}"/>
    <cellStyle name="Normal 2 2 4" xfId="207" xr:uid="{00000000-0005-0000-0000-0000FC000000}"/>
    <cellStyle name="Normal 2 3" xfId="208" xr:uid="{00000000-0005-0000-0000-0000FD000000}"/>
    <cellStyle name="Normal 2 3 2" xfId="209" xr:uid="{00000000-0005-0000-0000-0000FE000000}"/>
    <cellStyle name="Normal 2 3 3" xfId="210" xr:uid="{00000000-0005-0000-0000-0000FF000000}"/>
    <cellStyle name="Normal 2 3 4" xfId="211" xr:uid="{00000000-0005-0000-0000-000000010000}"/>
    <cellStyle name="Normal 2 4" xfId="212" xr:uid="{00000000-0005-0000-0000-000001010000}"/>
    <cellStyle name="Normal 2 4 2" xfId="213" xr:uid="{00000000-0005-0000-0000-000002010000}"/>
    <cellStyle name="Normal 2 4 3" xfId="214" xr:uid="{00000000-0005-0000-0000-000003010000}"/>
    <cellStyle name="Normal 2 5" xfId="215" xr:uid="{00000000-0005-0000-0000-000004010000}"/>
    <cellStyle name="Normal 2 5 2" xfId="216" xr:uid="{00000000-0005-0000-0000-000005010000}"/>
    <cellStyle name="Normal 2 5 3" xfId="217" xr:uid="{00000000-0005-0000-0000-000006010000}"/>
    <cellStyle name="Normal 2 6" xfId="218" xr:uid="{00000000-0005-0000-0000-000007010000}"/>
    <cellStyle name="Normal 2 6 2" xfId="219" xr:uid="{00000000-0005-0000-0000-000008010000}"/>
    <cellStyle name="Normal 2 6 3" xfId="220" xr:uid="{00000000-0005-0000-0000-000009010000}"/>
    <cellStyle name="Normal 2 7" xfId="221" xr:uid="{00000000-0005-0000-0000-00000A010000}"/>
    <cellStyle name="Normal 2 7 2" xfId="222" xr:uid="{00000000-0005-0000-0000-00000B010000}"/>
    <cellStyle name="Normal 2 7 3" xfId="223" xr:uid="{00000000-0005-0000-0000-00000C010000}"/>
    <cellStyle name="Normal 2 8" xfId="224" xr:uid="{00000000-0005-0000-0000-00000D010000}"/>
    <cellStyle name="Normal 2 8 2" xfId="225" xr:uid="{00000000-0005-0000-0000-00000E010000}"/>
    <cellStyle name="Normal 2 8 3" xfId="226" xr:uid="{00000000-0005-0000-0000-00000F010000}"/>
    <cellStyle name="Normal 2 9" xfId="227" xr:uid="{00000000-0005-0000-0000-000010010000}"/>
    <cellStyle name="Normal 2 9 2" xfId="228" xr:uid="{00000000-0005-0000-0000-000011010000}"/>
    <cellStyle name="Normal 20" xfId="229" xr:uid="{00000000-0005-0000-0000-000012010000}"/>
    <cellStyle name="Normal 20 2" xfId="230" xr:uid="{00000000-0005-0000-0000-000013010000}"/>
    <cellStyle name="Normal 21" xfId="231" xr:uid="{00000000-0005-0000-0000-000014010000}"/>
    <cellStyle name="Normal 21 2" xfId="232" xr:uid="{00000000-0005-0000-0000-000015010000}"/>
    <cellStyle name="Normal 22" xfId="233" xr:uid="{00000000-0005-0000-0000-000016010000}"/>
    <cellStyle name="Normal 22 2" xfId="234" xr:uid="{00000000-0005-0000-0000-000017010000}"/>
    <cellStyle name="Normal 23" xfId="235" xr:uid="{00000000-0005-0000-0000-000018010000}"/>
    <cellStyle name="Normal 23 2" xfId="236" xr:uid="{00000000-0005-0000-0000-000019010000}"/>
    <cellStyle name="Normal 24" xfId="237" xr:uid="{00000000-0005-0000-0000-00001A010000}"/>
    <cellStyle name="Normal 24 2" xfId="238" xr:uid="{00000000-0005-0000-0000-00001B010000}"/>
    <cellStyle name="Normal 25" xfId="239" xr:uid="{00000000-0005-0000-0000-00001C010000}"/>
    <cellStyle name="Normal 26" xfId="240" xr:uid="{00000000-0005-0000-0000-00001D010000}"/>
    <cellStyle name="Normal 27" xfId="241" xr:uid="{00000000-0005-0000-0000-00001E010000}"/>
    <cellStyle name="Normal 28" xfId="242" xr:uid="{00000000-0005-0000-0000-00001F010000}"/>
    <cellStyle name="Normal 29" xfId="243" xr:uid="{00000000-0005-0000-0000-000020010000}"/>
    <cellStyle name="Normal 3" xfId="244" xr:uid="{00000000-0005-0000-0000-000021010000}"/>
    <cellStyle name="Normal 3 2" xfId="245" xr:uid="{00000000-0005-0000-0000-000022010000}"/>
    <cellStyle name="Normal 3 2 2" xfId="246" xr:uid="{00000000-0005-0000-0000-000023010000}"/>
    <cellStyle name="Normal 3 2 3" xfId="247" xr:uid="{00000000-0005-0000-0000-000024010000}"/>
    <cellStyle name="Normal 3 3" xfId="248" xr:uid="{00000000-0005-0000-0000-000025010000}"/>
    <cellStyle name="Normal 3 3 2" xfId="249" xr:uid="{00000000-0005-0000-0000-000026010000}"/>
    <cellStyle name="Normal 3 3 3" xfId="250" xr:uid="{00000000-0005-0000-0000-000027010000}"/>
    <cellStyle name="Normal 3 4" xfId="251" xr:uid="{00000000-0005-0000-0000-000028010000}"/>
    <cellStyle name="Normal 3 4 2" xfId="252" xr:uid="{00000000-0005-0000-0000-000029010000}"/>
    <cellStyle name="Normal 3 4 3" xfId="253" xr:uid="{00000000-0005-0000-0000-00002A010000}"/>
    <cellStyle name="Normal 3 5" xfId="254" xr:uid="{00000000-0005-0000-0000-00002B010000}"/>
    <cellStyle name="Normal 3 5 2" xfId="255" xr:uid="{00000000-0005-0000-0000-00002C010000}"/>
    <cellStyle name="Normal 3 5 3" xfId="256" xr:uid="{00000000-0005-0000-0000-00002D010000}"/>
    <cellStyle name="Normal 3 6" xfId="257" xr:uid="{00000000-0005-0000-0000-00002E010000}"/>
    <cellStyle name="Normal 3 6 2" xfId="258" xr:uid="{00000000-0005-0000-0000-00002F010000}"/>
    <cellStyle name="Normal 3 6 3" xfId="259" xr:uid="{00000000-0005-0000-0000-000030010000}"/>
    <cellStyle name="Normal 3 7" xfId="260" xr:uid="{00000000-0005-0000-0000-000031010000}"/>
    <cellStyle name="Normal 3 7 2" xfId="261" xr:uid="{00000000-0005-0000-0000-000032010000}"/>
    <cellStyle name="Normal 3 7 3" xfId="262" xr:uid="{00000000-0005-0000-0000-000033010000}"/>
    <cellStyle name="Normal 3 8" xfId="263" xr:uid="{00000000-0005-0000-0000-000034010000}"/>
    <cellStyle name="Normal 3 8 2" xfId="264" xr:uid="{00000000-0005-0000-0000-000035010000}"/>
    <cellStyle name="Normal 3 8 3" xfId="265" xr:uid="{00000000-0005-0000-0000-000036010000}"/>
    <cellStyle name="Normal 30" xfId="266" xr:uid="{00000000-0005-0000-0000-000037010000}"/>
    <cellStyle name="Normal 31" xfId="267" xr:uid="{00000000-0005-0000-0000-000038010000}"/>
    <cellStyle name="Normal 32" xfId="268" xr:uid="{00000000-0005-0000-0000-000039010000}"/>
    <cellStyle name="Normal 33" xfId="269" xr:uid="{00000000-0005-0000-0000-00003A010000}"/>
    <cellStyle name="Normal 34" xfId="270" xr:uid="{00000000-0005-0000-0000-00003B010000}"/>
    <cellStyle name="Normal 35" xfId="271" xr:uid="{00000000-0005-0000-0000-00003C010000}"/>
    <cellStyle name="Normal 36" xfId="272" xr:uid="{00000000-0005-0000-0000-00003D010000}"/>
    <cellStyle name="Normal 37" xfId="273" xr:uid="{00000000-0005-0000-0000-00003E010000}"/>
    <cellStyle name="Normal 38" xfId="274" xr:uid="{00000000-0005-0000-0000-00003F010000}"/>
    <cellStyle name="Normal 39" xfId="275" xr:uid="{00000000-0005-0000-0000-000040010000}"/>
    <cellStyle name="Normal 4" xfId="276" xr:uid="{00000000-0005-0000-0000-000041010000}"/>
    <cellStyle name="Normal 4 2" xfId="277" xr:uid="{00000000-0005-0000-0000-000042010000}"/>
    <cellStyle name="Normal 4 2 2" xfId="278" xr:uid="{00000000-0005-0000-0000-000043010000}"/>
    <cellStyle name="Normal 4 3" xfId="279" xr:uid="{00000000-0005-0000-0000-000044010000}"/>
    <cellStyle name="Normal 4 3 2" xfId="280" xr:uid="{00000000-0005-0000-0000-000045010000}"/>
    <cellStyle name="Normal 4 4" xfId="281" xr:uid="{00000000-0005-0000-0000-000046010000}"/>
    <cellStyle name="Normal 40" xfId="282" xr:uid="{00000000-0005-0000-0000-000047010000}"/>
    <cellStyle name="Normal 5" xfId="283" xr:uid="{00000000-0005-0000-0000-000048010000}"/>
    <cellStyle name="Normal 5 2" xfId="284" xr:uid="{00000000-0005-0000-0000-000049010000}"/>
    <cellStyle name="Normal 5 3" xfId="285" xr:uid="{00000000-0005-0000-0000-00004A010000}"/>
    <cellStyle name="Normal 5 4" xfId="286" xr:uid="{00000000-0005-0000-0000-00004B010000}"/>
    <cellStyle name="Normal 6" xfId="287" xr:uid="{00000000-0005-0000-0000-00004C010000}"/>
    <cellStyle name="Normal 6 2" xfId="288" xr:uid="{00000000-0005-0000-0000-00004D010000}"/>
    <cellStyle name="Normal 7" xfId="289" xr:uid="{00000000-0005-0000-0000-00004E010000}"/>
    <cellStyle name="Normal 7 2" xfId="290" xr:uid="{00000000-0005-0000-0000-00004F010000}"/>
    <cellStyle name="Normal 7 2 2" xfId="291" xr:uid="{00000000-0005-0000-0000-000050010000}"/>
    <cellStyle name="Normal 7 2 2 2" xfId="292" xr:uid="{00000000-0005-0000-0000-000051010000}"/>
    <cellStyle name="Normal 7 2 2 3" xfId="293" xr:uid="{00000000-0005-0000-0000-000052010000}"/>
    <cellStyle name="Normal 7 2 3" xfId="294" xr:uid="{00000000-0005-0000-0000-000053010000}"/>
    <cellStyle name="Normal 7 2 4" xfId="295" xr:uid="{00000000-0005-0000-0000-000054010000}"/>
    <cellStyle name="Normal 7 2 5" xfId="296" xr:uid="{00000000-0005-0000-0000-000055010000}"/>
    <cellStyle name="Normal 7 3" xfId="297" xr:uid="{00000000-0005-0000-0000-000056010000}"/>
    <cellStyle name="Normal 7 3 2" xfId="298" xr:uid="{00000000-0005-0000-0000-000057010000}"/>
    <cellStyle name="Normal 7 3 3" xfId="299" xr:uid="{00000000-0005-0000-0000-000058010000}"/>
    <cellStyle name="Normal 7 4" xfId="300" xr:uid="{00000000-0005-0000-0000-000059010000}"/>
    <cellStyle name="Normal 7 5" xfId="301" xr:uid="{00000000-0005-0000-0000-00005A010000}"/>
    <cellStyle name="Normal 7 6" xfId="302" xr:uid="{00000000-0005-0000-0000-00005B010000}"/>
    <cellStyle name="Normal 8" xfId="303" xr:uid="{00000000-0005-0000-0000-00005C010000}"/>
    <cellStyle name="Normal 8 2" xfId="304" xr:uid="{00000000-0005-0000-0000-00005D010000}"/>
    <cellStyle name="Normal 9" xfId="305" xr:uid="{00000000-0005-0000-0000-00005E010000}"/>
    <cellStyle name="Normal 9 2" xfId="306" xr:uid="{00000000-0005-0000-0000-00005F010000}"/>
    <cellStyle name="Normal 9 2 2" xfId="307" xr:uid="{00000000-0005-0000-0000-000060010000}"/>
    <cellStyle name="Normal 9 2 2 2" xfId="308" xr:uid="{00000000-0005-0000-0000-000061010000}"/>
    <cellStyle name="Normal 9 2 2 3" xfId="309" xr:uid="{00000000-0005-0000-0000-000062010000}"/>
    <cellStyle name="Normal 9 2 3" xfId="310" xr:uid="{00000000-0005-0000-0000-000063010000}"/>
    <cellStyle name="Normal 9 2 4" xfId="311" xr:uid="{00000000-0005-0000-0000-000064010000}"/>
    <cellStyle name="Normal 9 2 5" xfId="312" xr:uid="{00000000-0005-0000-0000-000065010000}"/>
    <cellStyle name="Normal 9 3" xfId="313" xr:uid="{00000000-0005-0000-0000-000066010000}"/>
    <cellStyle name="Normal 9 3 2" xfId="314" xr:uid="{00000000-0005-0000-0000-000067010000}"/>
    <cellStyle name="Normal 9 3 3" xfId="315" xr:uid="{00000000-0005-0000-0000-000068010000}"/>
    <cellStyle name="Normal 9 4" xfId="316" xr:uid="{00000000-0005-0000-0000-000069010000}"/>
    <cellStyle name="Normal 9 5" xfId="317" xr:uid="{00000000-0005-0000-0000-00006A010000}"/>
    <cellStyle name="Normal 9 6" xfId="318" xr:uid="{00000000-0005-0000-0000-00006B010000}"/>
    <cellStyle name="Note 2" xfId="319" xr:uid="{00000000-0005-0000-0000-00006C010000}"/>
    <cellStyle name="Note 2 2" xfId="320" xr:uid="{00000000-0005-0000-0000-00006D010000}"/>
    <cellStyle name="Note 2 3" xfId="321" xr:uid="{00000000-0005-0000-0000-00006E010000}"/>
    <cellStyle name="Note 3" xfId="322" xr:uid="{00000000-0005-0000-0000-00006F010000}"/>
    <cellStyle name="Note 3 2" xfId="323" xr:uid="{00000000-0005-0000-0000-000070010000}"/>
    <cellStyle name="Obično_KnjigaZIKS i Min pomorstva i saobracaja" xfId="324" xr:uid="{00000000-0005-0000-0000-000071010000}"/>
    <cellStyle name="Output 2" xfId="325" xr:uid="{00000000-0005-0000-0000-000072010000}"/>
    <cellStyle name="Percent" xfId="3" builtinId="5"/>
    <cellStyle name="percentage difference" xfId="326" xr:uid="{00000000-0005-0000-0000-000073010000}"/>
    <cellStyle name="percentage difference 2" xfId="327" xr:uid="{00000000-0005-0000-0000-000074010000}"/>
    <cellStyle name="percentage difference 3" xfId="328" xr:uid="{00000000-0005-0000-0000-000075010000}"/>
    <cellStyle name="Publication" xfId="329" xr:uid="{00000000-0005-0000-0000-000076010000}"/>
    <cellStyle name="Standard_Tabellenteil in EURO" xfId="330" xr:uid="{00000000-0005-0000-0000-000077010000}"/>
    <cellStyle name="Title 2" xfId="331" xr:uid="{00000000-0005-0000-0000-000078010000}"/>
    <cellStyle name="Title 2 2" xfId="332" xr:uid="{00000000-0005-0000-0000-000079010000}"/>
    <cellStyle name="Total 2" xfId="333" xr:uid="{00000000-0005-0000-0000-00007A010000}"/>
    <cellStyle name="Warning Text 2" xfId="334" xr:uid="{00000000-0005-0000-0000-00007B010000}"/>
  </cellStyles>
  <dxfs count="0"/>
  <tableStyles count="0" defaultTableStyle="TableStyleMedium9" defaultPivotStyle="PivotStyleLight16"/>
  <colors>
    <mruColors>
      <color rgb="FFF3D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checked="Checked" firstButton="1" fmlaLink="Master!$B$2" noThreeD="1"/>
</file>

<file path=xl/ctrlProps/ctrlProp2.xml><?xml version="1.0" encoding="utf-8"?>
<formControlPr xmlns="http://schemas.microsoft.com/office/spreadsheetml/2009/9/main" objectType="Radio" noThreeD="1"/>
</file>

<file path=xl/ctrlProps/ctrlProp3.xml><?xml version="1.0" encoding="utf-8"?>
<formControlPr xmlns="http://schemas.microsoft.com/office/spreadsheetml/2009/9/main" objectType="Radio" checked="Checked" firstButton="1" fmlaLink="Master!$B$2" noThreeD="1"/>
</file>

<file path=xl/ctrlProps/ctrlProp4.xml><?xml version="1.0" encoding="utf-8"?>
<formControlPr xmlns="http://schemas.microsoft.com/office/spreadsheetml/2009/9/main" objectType="Radio" noThreeD="1"/>
</file>

<file path=xl/ctrlProps/ctrlProp5.xml><?xml version="1.0" encoding="utf-8"?>
<formControlPr xmlns="http://schemas.microsoft.com/office/spreadsheetml/2009/9/main" objectType="Radio" checked="Checked" firstButton="1" fmlaLink="Master!$B$2" noThreeD="1"/>
</file>

<file path=xl/ctrlProps/ctrlProp6.xml><?xml version="1.0" encoding="utf-8"?>
<formControlPr xmlns="http://schemas.microsoft.com/office/spreadsheetml/2009/9/main" objectType="Radio" noThreeD="1"/>
</file>

<file path=xl/ctrlProps/ctrlProp7.xml><?xml version="1.0" encoding="utf-8"?>
<formControlPr xmlns="http://schemas.microsoft.com/office/spreadsheetml/2009/9/main" objectType="Radio" checked="Checked" firstButton="1" fmlaLink="Master!$B$2" noThreeD="1"/>
</file>

<file path=xl/ctrlProps/ctrlProp8.xml><?xml version="1.0" encoding="utf-8"?>
<formControlPr xmlns="http://schemas.microsoft.com/office/spreadsheetml/2009/9/main" objectType="Radio" noThreeD="1"/>
</file>

<file path=xl/ctrlProps/ctrlProp9.xml><?xml version="1.0" encoding="utf-8"?>
<formControlPr xmlns="http://schemas.microsoft.com/office/spreadsheetml/2009/9/main" objectType="Radio" checked="Checked" firstButton="1" fmlaLink="Master!$B$2" noThreeD="1"/>
</file>

<file path=xl/ctrlProps/ctrlProp10.xml><?xml version="1.0" encoding="utf-8"?>
<formControlPr xmlns="http://schemas.microsoft.com/office/spreadsheetml/2009/9/main" objectType="Radio" noThreeD="1"/>
</file>

<file path=xl/ctrlProps/ctrlProp11.xml><?xml version="1.0" encoding="utf-8"?>
<formControlPr xmlns="http://schemas.microsoft.com/office/spreadsheetml/2009/9/main" objectType="Radio" checked="Checked" firstButton="1" fmlaLink="Master!$B$2" noThreeD="1"/>
</file>

<file path=xl/ctrlProps/ctrlProp12.xml><?xml version="1.0" encoding="utf-8"?>
<formControlPr xmlns="http://schemas.microsoft.com/office/spreadsheetml/2009/9/main" objectType="Radio" noThreeD="1"/>
</file>

<file path=xl/ctrlProps/ctrlProp13.xml><?xml version="1.0" encoding="utf-8"?>
<formControlPr xmlns="http://schemas.microsoft.com/office/spreadsheetml/2009/9/main" objectType="Radio" checked="Checked" firstButton="1" fmlaLink="Master!$B$2" noThreeD="1"/>
</file>

<file path=xl/ctrlProps/ctrlProp14.xml><?xml version="1.0" encoding="utf-8"?>
<formControlPr xmlns="http://schemas.microsoft.com/office/spreadsheetml/2009/9/main" objectType="Radio" noThreeD="1"/>
</file>

<file path=xl/ctrlProps/ctrlProp15.xml><?xml version="1.0" encoding="utf-8"?>
<formControlPr xmlns="http://schemas.microsoft.com/office/spreadsheetml/2009/9/main" objectType="Radio" checked="Checked" firstButton="1" fmlaLink="Master!$B$2" noThreeD="1"/>
</file>

<file path=xl/ctrlProps/ctrlProp16.xml><?xml version="1.0" encoding="utf-8"?>
<formControlPr xmlns="http://schemas.microsoft.com/office/spreadsheetml/2009/9/main" objectType="Radio" noThreeD="1"/>
</file>

<file path=xl/ctrlProps/ctrlProp17.xml><?xml version="1.0" encoding="utf-8"?>
<formControlPr xmlns="http://schemas.microsoft.com/office/spreadsheetml/2009/9/main" objectType="Radio" checked="Checked" firstButton="1" fmlaLink="Master!$B$2" noThreeD="1"/>
</file>

<file path=xl/ctrlProps/ctrlProp18.xml><?xml version="1.0" encoding="utf-8"?>
<formControlPr xmlns="http://schemas.microsoft.com/office/spreadsheetml/2009/9/main" objectType="Radio" noThreeD="1"/>
</file>

<file path=xl/ctrlProps/ctrlProp19.xml><?xml version="1.0" encoding="utf-8"?>
<formControlPr xmlns="http://schemas.microsoft.com/office/spreadsheetml/2009/9/main" objectType="Radio" checked="Checked" firstButton="1" fmlaLink="Master!$B$2" noThreeD="1"/>
</file>

<file path=xl/ctrlProps/ctrlProp20.xml><?xml version="1.0" encoding="utf-8"?>
<formControlPr xmlns="http://schemas.microsoft.com/office/spreadsheetml/2009/9/main" objectType="Radio" noThreeD="1"/>
</file>

<file path=xl/ctrlProps/ctrlProp21.xml><?xml version="1.0" encoding="utf-8"?>
<formControlPr xmlns="http://schemas.microsoft.com/office/spreadsheetml/2009/9/main" objectType="Radio" firstButton="1" noThreeD="1"/>
</file>

<file path=xl/ctrlProps/ctrlProp22.xml><?xml version="1.0" encoding="utf-8"?>
<formControlPr xmlns="http://schemas.microsoft.com/office/spreadsheetml/2009/9/main" objectType="Radio" noThreeD="1"/>
</file>

<file path=xl/ctrlProps/ctrlProp23.xml><?xml version="1.0" encoding="utf-8"?>
<formControlPr xmlns="http://schemas.microsoft.com/office/spreadsheetml/2009/9/main" objectType="Radio" firstButton="1" noThreeD="1"/>
</file>

<file path=xl/ctrlProps/ctrlProp24.xml><?xml version="1.0" encoding="utf-8"?>
<formControlPr xmlns="http://schemas.microsoft.com/office/spreadsheetml/2009/9/main" objectType="Radio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4" Type="http://schemas.openxmlformats.org/officeDocument/2006/relationships/hyperlink" Target="#'2013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Pregled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2019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9'!_2015plan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2018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8'!_2015pla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50" y="18415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99540" y="85725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Početak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8">
      <xdr:nvSpPr>
        <xdr:cNvPr id="7" name="Rounded 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563225" y="94615"/>
          <a:ext cx="1799590" cy="216535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Mjesečni podaci 2015</a:t>
          </a:fld>
          <a:endParaRPr lang="en-US" sz="105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9">
      <xdr:nvSpPr>
        <xdr:cNvPr id="8" name="Rounded Rectangl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563225" y="390525"/>
          <a:ext cx="1799590" cy="2159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Mjesečni podaci 2014</a:t>
          </a:fld>
          <a:endParaRPr lang="en-US" sz="100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20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558145" y="681355"/>
          <a:ext cx="1799590" cy="2159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Mjesečni podaci 2013</a:t>
          </a:fld>
          <a:endParaRPr lang="en-US" sz="100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544425" y="95250"/>
          <a:ext cx="1799590" cy="2159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23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553950" y="381000"/>
          <a:ext cx="1799590" cy="2159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Istorijski podaci, od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24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562840" y="676275"/>
          <a:ext cx="1800225" cy="2159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Javni dug</a:t>
          </a:fld>
          <a:endParaRPr lang="en-US" sz="5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133351</xdr:colOff>
      <xdr:row>6</xdr:row>
      <xdr:rowOff>180976</xdr:rowOff>
    </xdr:from>
    <xdr:to>
      <xdr:col>15</xdr:col>
      <xdr:colOff>238125</xdr:colOff>
      <xdr:row>22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410325" y="1323975"/>
          <a:ext cx="3152775" cy="293370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eaLnBrk="1" fontAlgn="auto" latinLnBrk="0" hangingPunct="1"/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Prihodi budžeta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periodu januar-septembar 2026. godine iznosili su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,318.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27.0% procijenjenog BDP-a i za 46.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2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.0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 su veći u odnosu na plan. U odnosu na isti period 2025. godine, prihodi su veći za 216.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10.3%. </a:t>
          </a:r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1" fontAlgn="auto" latinLnBrk="0" hangingPunct="1"/>
          <a:r>
            <a:rPr lang="sr-Latn-RS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Izdaci budžeta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istom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periodu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iznosili su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,4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42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28.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BDP-a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U odnosu na planirane rashodi su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manji 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za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10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0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4% dok su u odnosu na isti period 2025. godine veći za 256.2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7%.</a:t>
          </a:r>
        </a:p>
        <a:p>
          <a:pPr algn="just" eaLnBrk="1" fontAlgn="auto" latinLnBrk="0" hangingPunct="1"/>
          <a:endParaRPr lang="en-US">
            <a:solidFill>
              <a:sysClr val="windowText" lastClr="000000"/>
            </a:solidFill>
            <a:effectLst/>
          </a:endParaRPr>
        </a:p>
        <a:p>
          <a:pPr algn="just" eaLnBrk="1" fontAlgn="auto" latinLnBrk="0" hangingPunct="1"/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periodu januar-septembar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godine zabilježen je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deficit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budžeta u iznosu od 124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1.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4% procijenjenog BDP-a.</a:t>
          </a:r>
          <a:endParaRPr lang="en-US">
            <a:solidFill>
              <a:sysClr val="windowText" lastClr="000000"/>
            </a:solidFill>
            <a:effectLst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sr-Latn-RS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355600</xdr:colOff>
      <xdr:row>6</xdr:row>
      <xdr:rowOff>138643</xdr:rowOff>
    </xdr:from>
    <xdr:to>
      <xdr:col>24</xdr:col>
      <xdr:colOff>0</xdr:colOff>
      <xdr:row>22</xdr:row>
      <xdr:rowOff>21167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732433" y="1281643"/>
          <a:ext cx="5168900" cy="293052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sr-Latn-R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Ovim izvještajem predstavljani su konačni podaci o ostvarenju budžeta za 2025. godinu koji su prezentovani u Predlogu završnog računa budžeta Crne Gore za 2025.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pripremljen je u skladu sa Zakonom o budžetu Crne Gore za 2026. godinu.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eaLnBrk="1" fontAlgn="auto" latinLnBrk="0" hangingPunct="1"/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9050" y="18415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504315" y="85725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7</xdr:row>
      <xdr:rowOff>76200</xdr:rowOff>
    </xdr:from>
    <xdr:ext cx="620106" cy="264560"/>
    <xdr:sp macro="" textlink="Master!G280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276350" y="1419225"/>
          <a:ext cx="61976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/>
            <a:t>Pregled</a:t>
          </a:fld>
          <a:endParaRPr lang="en-US" sz="1800" u="sng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57150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57150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46505" y="65405"/>
          <a:ext cx="890270" cy="8235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8065" name="Option Button 1" hidden="1">
              <a:extLst>
                <a:ext uri="{63B3BB69-23CF-44E3-9099-C40C66FF867C}">
                  <a14:compatExt spid="_x0000_s88065"/>
                </a:ext>
                <a:ext uri="{FF2B5EF4-FFF2-40B4-BE49-F238E27FC236}">
                  <a16:creationId xmlns:a16="http://schemas.microsoft.com/office/drawing/2014/main" id="{00000000-0008-0000-0200-00000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8066" name="Option Button 2" hidden="1">
              <a:extLst>
                <a:ext uri="{63B3BB69-23CF-44E3-9099-C40C66FF867C}">
                  <a14:compatExt spid="_x0000_s88066"/>
                </a:ext>
                <a:ext uri="{FF2B5EF4-FFF2-40B4-BE49-F238E27FC236}">
                  <a16:creationId xmlns:a16="http://schemas.microsoft.com/office/drawing/2014/main" id="{00000000-0008-0000-0200-00000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050" y="18415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99540" y="85725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7</xdr:col>
      <xdr:colOff>440222</xdr:colOff>
      <xdr:row>1</xdr:row>
      <xdr:rowOff>122092</xdr:rowOff>
    </xdr:from>
    <xdr:to>
      <xdr:col>10</xdr:col>
      <xdr:colOff>195582</xdr:colOff>
      <xdr:row>3</xdr:row>
      <xdr:rowOff>74467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040630" y="312420"/>
          <a:ext cx="2270125" cy="3333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58C89A-53A8-483B-86BE-9D66F557DBAC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Početak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17409" name="Option 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3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17410" name="Option 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3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46505" y="65405"/>
          <a:ext cx="890270" cy="8235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112641" name="Option Button 1" hidden="1">
              <a:extLst>
                <a:ext uri="{63B3BB69-23CF-44E3-9099-C40C66FF867C}">
                  <a14:compatExt spid="_x0000_s112641"/>
                </a:ext>
                <a:ext uri="{FF2B5EF4-FFF2-40B4-BE49-F238E27FC236}">
                  <a16:creationId xmlns:a16="http://schemas.microsoft.com/office/drawing/2014/main" id="{00000000-0008-0000-0400-000001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112642" name="Option Button 2" hidden="1">
              <a:extLst>
                <a:ext uri="{63B3BB69-23CF-44E3-9099-C40C66FF867C}">
                  <a14:compatExt spid="_x0000_s112642"/>
                </a:ext>
                <a:ext uri="{FF2B5EF4-FFF2-40B4-BE49-F238E27FC236}">
                  <a16:creationId xmlns:a16="http://schemas.microsoft.com/office/drawing/2014/main" id="{00000000-0008-0000-0400-000002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46505" y="65405"/>
          <a:ext cx="890270" cy="8235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104449" name="Option Button 1" hidden="1">
              <a:extLst>
                <a:ext uri="{63B3BB69-23CF-44E3-9099-C40C66FF867C}">
                  <a14:compatExt spid="_x0000_s104449"/>
                </a:ext>
                <a:ext uri="{FF2B5EF4-FFF2-40B4-BE49-F238E27FC236}">
                  <a16:creationId xmlns:a16="http://schemas.microsoft.com/office/drawing/2014/main" id="{00000000-0008-0000-0500-000001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104450" name="Option Button 2" hidden="1">
              <a:extLst>
                <a:ext uri="{63B3BB69-23CF-44E3-9099-C40C66FF867C}">
                  <a14:compatExt spid="_x0000_s104450"/>
                </a:ext>
                <a:ext uri="{FF2B5EF4-FFF2-40B4-BE49-F238E27FC236}">
                  <a16:creationId xmlns:a16="http://schemas.microsoft.com/office/drawing/2014/main" id="{00000000-0008-0000-0500-000002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96257" name="Option Button 1" hidden="1">
              <a:extLst>
                <a:ext uri="{63B3BB69-23CF-44E3-9099-C40C66FF867C}">
                  <a14:compatExt spid="_x0000_s96257"/>
                </a:ext>
                <a:ext uri="{FF2B5EF4-FFF2-40B4-BE49-F238E27FC236}">
                  <a16:creationId xmlns:a16="http://schemas.microsoft.com/office/drawing/2014/main" id="{00000000-0008-0000-0600-000001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96258" name="Option Button 2" hidden="1">
              <a:extLst>
                <a:ext uri="{63B3BB69-23CF-44E3-9099-C40C66FF867C}">
                  <a14:compatExt spid="_x0000_s96258"/>
                </a:ext>
                <a:ext uri="{FF2B5EF4-FFF2-40B4-BE49-F238E27FC236}">
                  <a16:creationId xmlns:a16="http://schemas.microsoft.com/office/drawing/2014/main" id="{00000000-0008-0000-0600-000002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1921" name="Option Button 1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0700-000001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1922" name="Option Button 2" hidden="1">
              <a:extLst>
                <a:ext uri="{63B3BB69-23CF-44E3-9099-C40C66FF867C}">
                  <a14:compatExt spid="_x0000_s81922"/>
                </a:ext>
                <a:ext uri="{FF2B5EF4-FFF2-40B4-BE49-F238E27FC236}">
                  <a16:creationId xmlns:a16="http://schemas.microsoft.com/office/drawing/2014/main" id="{00000000-0008-0000-0700-000002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8</xdr:col>
      <xdr:colOff>324485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628650</xdr:colOff>
      <xdr:row>2</xdr:row>
      <xdr:rowOff>123824</xdr:rowOff>
    </xdr:from>
    <xdr:to>
      <xdr:col>11</xdr:col>
      <xdr:colOff>130810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11</xdr:col>
      <xdr:colOff>447675</xdr:colOff>
      <xdr:row>3</xdr:row>
      <xdr:rowOff>28575</xdr:rowOff>
    </xdr:from>
    <xdr:to>
      <xdr:col>13</xdr:col>
      <xdr:colOff>305118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13</xdr:col>
      <xdr:colOff>590550</xdr:colOff>
      <xdr:row>3</xdr:row>
      <xdr:rowOff>9525</xdr:rowOff>
    </xdr:from>
    <xdr:to>
      <xdr:col>15</xdr:col>
      <xdr:colOff>447993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3729" name="Option Button 1" hidden="1">
              <a:extLst>
                <a:ext uri="{63B3BB69-23CF-44E3-9099-C40C66FF867C}">
                  <a14:compatExt spid="_x0000_s73729"/>
                </a:ext>
                <a:ext uri="{FF2B5EF4-FFF2-40B4-BE49-F238E27FC236}">
                  <a16:creationId xmlns:a16="http://schemas.microsoft.com/office/drawing/2014/main" id="{00000000-0008-0000-08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3730" name="Option Button 2" hidden="1">
              <a:extLst>
                <a:ext uri="{63B3BB69-23CF-44E3-9099-C40C66FF867C}">
                  <a14:compatExt spid="_x0000_s73730"/>
                </a:ext>
                <a:ext uri="{FF2B5EF4-FFF2-40B4-BE49-F238E27FC236}">
                  <a16:creationId xmlns:a16="http://schemas.microsoft.com/office/drawing/2014/main" id="{00000000-0008-0000-0800-000002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209550</xdr:colOff>
      <xdr:row>2</xdr:row>
      <xdr:rowOff>123824</xdr:rowOff>
    </xdr:from>
    <xdr:to>
      <xdr:col>8</xdr:col>
      <xdr:colOff>676910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3990975" y="351790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 panose="020F0502020204030204"/>
            </a:rPr>
            <a:pPr algn="ctr"/>
            <a:t>Početak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9</xdr:col>
      <xdr:colOff>266700</xdr:colOff>
      <xdr:row>2</xdr:row>
      <xdr:rowOff>123824</xdr:rowOff>
    </xdr:from>
    <xdr:to>
      <xdr:col>11</xdr:col>
      <xdr:colOff>483235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6191250" y="351790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Analitika</a:t>
          </a:fld>
          <a:endParaRPr lang="en-US" sz="1050"/>
        </a:p>
      </xdr:txBody>
    </xdr:sp>
    <xdr:clientData/>
  </xdr:twoCellAnchor>
  <xdr:twoCellAnchor editAs="absolute">
    <xdr:from>
      <xdr:col>12</xdr:col>
      <xdr:colOff>85725</xdr:colOff>
      <xdr:row>3</xdr:row>
      <xdr:rowOff>28575</xdr:rowOff>
    </xdr:from>
    <xdr:to>
      <xdr:col>13</xdr:col>
      <xdr:colOff>657543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8401050" y="44767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000"/>
        </a:p>
      </xdr:txBody>
    </xdr:sp>
    <xdr:clientData/>
  </xdr:twoCellAnchor>
  <xdr:twoCellAnchor editAs="absolute">
    <xdr:from>
      <xdr:col>14</xdr:col>
      <xdr:colOff>228600</xdr:colOff>
      <xdr:row>3</xdr:row>
      <xdr:rowOff>9525</xdr:rowOff>
    </xdr:from>
    <xdr:to>
      <xdr:col>16</xdr:col>
      <xdr:colOff>86043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9972675" y="4286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7585" name="Option Button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09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7586" name="Option Button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09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647700</xdr:colOff>
      <xdr:row>2</xdr:row>
      <xdr:rowOff>76200</xdr:rowOff>
    </xdr:from>
    <xdr:to>
      <xdr:col>9</xdr:col>
      <xdr:colOff>400685</xdr:colOff>
      <xdr:row>4</xdr:row>
      <xdr:rowOff>76200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4429125" y="304800"/>
          <a:ext cx="1896110" cy="3810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9</xdr:col>
      <xdr:colOff>838200</xdr:colOff>
      <xdr:row>2</xdr:row>
      <xdr:rowOff>152400</xdr:rowOff>
    </xdr:from>
    <xdr:to>
      <xdr:col>11</xdr:col>
      <xdr:colOff>447993</xdr:colOff>
      <xdr:row>3</xdr:row>
      <xdr:rowOff>161925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6762750" y="381000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12</xdr:col>
      <xdr:colOff>95250</xdr:colOff>
      <xdr:row>2</xdr:row>
      <xdr:rowOff>161925</xdr:rowOff>
    </xdr:from>
    <xdr:to>
      <xdr:col>13</xdr:col>
      <xdr:colOff>667068</xdr:colOff>
      <xdr:row>3</xdr:row>
      <xdr:rowOff>171450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8410575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9633" name="Option Button 1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0A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9634" name="Option Button 2" hidden="1">
              <a:extLst>
                <a:ext uri="{63B3BB69-23CF-44E3-9099-C40C66FF867C}">
                  <a14:compatExt spid="_x0000_s69634"/>
                </a:ext>
                <a:ext uri="{FF2B5EF4-FFF2-40B4-BE49-F238E27FC236}">
                  <a16:creationId xmlns:a16="http://schemas.microsoft.com/office/drawing/2014/main" id="{00000000-0008-0000-0A00-00000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19050" y="18415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56665" y="38100"/>
          <a:ext cx="890905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8</xdr:col>
      <xdr:colOff>485775</xdr:colOff>
      <xdr:row>2</xdr:row>
      <xdr:rowOff>66674</xdr:rowOff>
    </xdr:from>
    <xdr:to>
      <xdr:col>10</xdr:col>
      <xdr:colOff>705485</xdr:colOff>
      <xdr:row>4</xdr:row>
      <xdr:rowOff>76199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4543425" y="294640"/>
          <a:ext cx="1896110" cy="39052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11</xdr:col>
      <xdr:colOff>428625</xdr:colOff>
      <xdr:row>2</xdr:row>
      <xdr:rowOff>161925</xdr:rowOff>
    </xdr:from>
    <xdr:to>
      <xdr:col>13</xdr:col>
      <xdr:colOff>286068</xdr:colOff>
      <xdr:row>3</xdr:row>
      <xdr:rowOff>171450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6877050" y="390525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13</xdr:col>
      <xdr:colOff>676275</xdr:colOff>
      <xdr:row>2</xdr:row>
      <xdr:rowOff>171450</xdr:rowOff>
    </xdr:from>
    <xdr:to>
      <xdr:col>15</xdr:col>
      <xdr:colOff>533718</xdr:colOff>
      <xdr:row>3</xdr:row>
      <xdr:rowOff>180975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8553450" y="400050"/>
          <a:ext cx="1285875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 panose="020F0502020204030204"/>
              <a:cs typeface="Calibri" panose="020F0502020204030204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0657" name="Option Button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0B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0658" name="Option Button 2" hidden="1">
              <a:extLst>
                <a:ext uri="{63B3BB69-23CF-44E3-9099-C40C66FF867C}">
                  <a14:compatExt spid="_x0000_s70658"/>
                </a:ext>
                <a:ext uri="{FF2B5EF4-FFF2-40B4-BE49-F238E27FC236}">
                  <a16:creationId xmlns:a16="http://schemas.microsoft.com/office/drawing/2014/main" id="{00000000-0008-0000-0B00-00000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76200</xdr:colOff>
      <xdr:row>0</xdr:row>
      <xdr:rowOff>85725</xdr:rowOff>
    </xdr:from>
    <xdr:to>
      <xdr:col>183</xdr:col>
      <xdr:colOff>190500</xdr:colOff>
      <xdr:row>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spect="1"/>
        </xdr:cNvSpPr>
      </xdr:nvSpPr>
      <xdr:spPr>
        <a:xfrm>
          <a:off x="619125" y="85725"/>
          <a:ext cx="116490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!!!</a:t>
          </a:r>
          <a:r>
            <a:rPr lang="x-none" sz="1100" baseline="0"/>
            <a:t> </a:t>
          </a:r>
          <a:r>
            <a:rPr lang="x-none" sz="1100"/>
            <a:t>NAPOMENA!!!</a:t>
          </a:r>
        </a:p>
        <a:p>
          <a:r>
            <a:rPr lang="x-none" sz="1100"/>
            <a:t>!!! Mjesečni podaci</a:t>
          </a:r>
          <a:r>
            <a:rPr lang="x-none" sz="1100" baseline="0"/>
            <a:t> prije 2010 dobijeni su ekstrapoliranjem godišnjih podataka na osnovu mjesečne distribucije prihoda i rashoda za period 2010 - 2013.</a:t>
          </a:r>
        </a:p>
        <a:p>
          <a:r>
            <a:rPr lang="x-none" sz="1100"/>
            <a:t>!!!  Podaci su prila</a:t>
          </a:r>
          <a:r>
            <a:rPr lang="sr-Latn-RS" sz="1100"/>
            <a:t>g</a:t>
          </a:r>
          <a:r>
            <a:rPr lang="x-none" sz="1100"/>
            <a:t>ođeni</a:t>
          </a:r>
          <a:r>
            <a:rPr lang="x-none" sz="1100" baseline="0"/>
            <a:t> kontnom planu usvojenom 2013. godine, na način što su  Rashodi za materijal i usluge 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jubica.radovic/Desktop/Copy%20of%20GDDS_6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2">
          <cell r="G232" t="str">
            <v>Januar</v>
          </cell>
        </row>
        <row r="233">
          <cell r="G233" t="str">
            <v>Februar</v>
          </cell>
        </row>
        <row r="234">
          <cell r="G234" t="str">
            <v>Mart</v>
          </cell>
        </row>
        <row r="235">
          <cell r="G235" t="str">
            <v>April</v>
          </cell>
        </row>
        <row r="236">
          <cell r="G236" t="str">
            <v>Maj</v>
          </cell>
        </row>
        <row r="237">
          <cell r="G237" t="str">
            <v>Jun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5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9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ctrlProp" Target="../ctrlProps/ctrlProp1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3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ctrlProp" Target="../ctrlProps/ctrlProp1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5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ctrlProp" Target="../ctrlProps/ctrlProp1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7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ctrlProp" Target="../ctrlProps/ctrlProp1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9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ctrlProp" Target="../ctrlProps/ctrlProp2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ctrlProp" Target="../ctrlProps/ctrlProp2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3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ctrlProp" Target="../ctrlProps/ctrlProp2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T67"/>
  <sheetViews>
    <sheetView workbookViewId="0">
      <pane ySplit="5" topLeftCell="A6" activePane="bottomLeft" state="frozen"/>
      <selection pane="bottomLeft" activeCell="I23" sqref="I23"/>
    </sheetView>
  </sheetViews>
  <sheetFormatPr defaultColWidth="9.140625" defaultRowHeight="15"/>
  <cols>
    <col min="1" max="1" width="5" style="414" customWidth="1"/>
    <col min="2" max="2" width="11.7109375" style="414" customWidth="1"/>
    <col min="3" max="6" width="9.140625" style="414"/>
    <col min="7" max="13" width="12.42578125" style="414" customWidth="1"/>
    <col min="14" max="18" width="12.140625" style="414" customWidth="1"/>
    <col min="19" max="16384" width="9.140625" style="414"/>
  </cols>
  <sheetData>
    <row r="1" spans="1:20" s="127" customFormat="1"/>
    <row r="2" spans="1:20" s="127" customFormat="1">
      <c r="C2" s="417"/>
      <c r="E2" s="127" t="str">
        <f>+Master!G6</f>
        <v>Crna Gora</v>
      </c>
      <c r="I2" s="418"/>
    </row>
    <row r="3" spans="1:20" s="127" customFormat="1">
      <c r="E3" s="418" t="str">
        <f>+Master!G7</f>
        <v>Ministarstvo finansija</v>
      </c>
    </row>
    <row r="4" spans="1:20" s="127" customFormat="1">
      <c r="E4" s="418" t="str">
        <f>+Master!G8</f>
        <v>Direktorat za državni budžet</v>
      </c>
    </row>
    <row r="5" spans="1:20" s="127" customFormat="1"/>
    <row r="6" spans="1:20">
      <c r="A6" s="421"/>
      <c r="B6" s="421"/>
      <c r="C6" s="421"/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3" t="str">
        <f>+IF(Master!B3-10&gt;=0,CONCATENATE(Master!B4,"-",Master!B3),CONCATENATE(Master!B4,"-0",Master!B3))</f>
        <v>2026-09</v>
      </c>
      <c r="O6" s="423" t="str">
        <f>+CONCATENATE(N6,"p")</f>
        <v>2026-09p</v>
      </c>
      <c r="P6" s="421"/>
      <c r="Q6" s="421"/>
      <c r="R6" s="423" t="str">
        <f>+IF(Master!B3-10&gt;=0,CONCATENATE(Master!B4-1,"-",Master!B3),CONCATENATE(Master!B4-1,"-0",Master!B3))</f>
        <v>2025-09</v>
      </c>
      <c r="S6" s="421"/>
      <c r="T6" s="421"/>
    </row>
    <row r="7" spans="1:20">
      <c r="A7" s="136"/>
      <c r="B7" s="584" t="s">
        <v>0</v>
      </c>
      <c r="C7" s="585"/>
      <c r="D7" s="585"/>
      <c r="E7" s="585"/>
      <c r="F7" s="585"/>
      <c r="G7" s="550" t="s">
        <v>1</v>
      </c>
      <c r="H7" s="551"/>
      <c r="I7" s="551"/>
      <c r="J7" s="551"/>
      <c r="K7" s="551"/>
      <c r="L7" s="551"/>
      <c r="M7" s="552"/>
      <c r="N7" s="553" t="str">
        <f>+Master!G243</f>
        <v>Decembar</v>
      </c>
      <c r="O7" s="551"/>
      <c r="P7" s="551"/>
      <c r="Q7" s="551"/>
      <c r="R7" s="551"/>
      <c r="S7" s="551"/>
      <c r="T7" s="554"/>
    </row>
    <row r="8" spans="1:20">
      <c r="A8" s="136"/>
      <c r="B8" s="586"/>
      <c r="C8" s="587"/>
      <c r="D8" s="587"/>
      <c r="E8" s="587"/>
      <c r="F8" s="588"/>
      <c r="G8" s="141" t="str">
        <f>+Master!G26</f>
        <v>Ostvarenje</v>
      </c>
      <c r="H8" s="141" t="str">
        <f>+Master!G25</f>
        <v>Plan</v>
      </c>
      <c r="I8" s="555" t="str">
        <f>+Master!G261</f>
        <v>Odstupanje</v>
      </c>
      <c r="J8" s="555"/>
      <c r="K8" s="141" t="str">
        <f>+CONCATENATE(Master!G246," ",Master!B4-1)</f>
        <v>Jan - Sep 2025</v>
      </c>
      <c r="L8" s="555" t="str">
        <f>+I8</f>
        <v>Odstupanje</v>
      </c>
      <c r="M8" s="556"/>
      <c r="N8" s="512" t="str">
        <f>+G8</f>
        <v>Ostvarenje</v>
      </c>
      <c r="O8" s="141" t="str">
        <f>+H8</f>
        <v>Plan</v>
      </c>
      <c r="P8" s="555" t="str">
        <f>+I8</f>
        <v>Odstupanje</v>
      </c>
      <c r="Q8" s="555"/>
      <c r="R8" s="141" t="str">
        <f>+CONCATENATE(Master!G245," ",Master!B4-1)</f>
        <v>Septembar 2025</v>
      </c>
      <c r="S8" s="555" t="str">
        <f>+P8</f>
        <v>Odstupanje</v>
      </c>
      <c r="T8" s="557"/>
    </row>
    <row r="9" spans="1:20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3</v>
      </c>
      <c r="K9" s="142" t="s">
        <v>2</v>
      </c>
      <c r="L9" s="142" t="s">
        <v>2</v>
      </c>
      <c r="M9" s="513" t="s">
        <v>3</v>
      </c>
      <c r="N9" s="514" t="s">
        <v>2</v>
      </c>
      <c r="O9" s="142" t="s">
        <v>2</v>
      </c>
      <c r="P9" s="142" t="s">
        <v>2</v>
      </c>
      <c r="Q9" s="142" t="s">
        <v>3</v>
      </c>
      <c r="R9" s="142" t="s">
        <v>2</v>
      </c>
      <c r="S9" s="142" t="s">
        <v>2</v>
      </c>
      <c r="T9" s="427" t="s">
        <v>3</v>
      </c>
    </row>
    <row r="10" spans="1:20">
      <c r="A10" s="145">
        <v>7</v>
      </c>
      <c r="B10" s="558" t="str">
        <f>+VLOOKUP($A10,Master!$D$30:$G$226,4,FALSE)</f>
        <v>Prihodi budžeta</v>
      </c>
      <c r="C10" s="559"/>
      <c r="D10" s="559"/>
      <c r="E10" s="559"/>
      <c r="F10" s="559"/>
      <c r="G10" s="146">
        <v>1351853176.5899999</v>
      </c>
      <c r="H10" s="146">
        <v>1276056399.43717</v>
      </c>
      <c r="I10" s="428">
        <f>+G10-H10</f>
        <v>75796777.152829602</v>
      </c>
      <c r="J10" s="515">
        <f>+IF(ISNUMBER(G10/H10-1),G10/H10-1,"…")</f>
        <v>5.9399237515098201E-2</v>
      </c>
      <c r="K10" s="146">
        <v>1243436508.1900001</v>
      </c>
      <c r="L10" s="428">
        <f>+G10-K10</f>
        <v>108416668.40000001</v>
      </c>
      <c r="M10" s="429">
        <f>+IF(ISNUMBER(G10/K10-1),G10/K10-1,"…")</f>
        <v>8.7191157478410997E-2</v>
      </c>
      <c r="N10" s="516">
        <v>155249038.93000001</v>
      </c>
      <c r="O10" s="146">
        <v>145612291.91159901</v>
      </c>
      <c r="P10" s="428">
        <f>+N10-O10</f>
        <v>9636747.0184007604</v>
      </c>
      <c r="Q10" s="515">
        <f>+IF(ISNUMBER(N10/O10-1),N10/O10-1,"…")</f>
        <v>6.6180862150368294E-2</v>
      </c>
      <c r="R10" s="146">
        <v>145120002.58000001</v>
      </c>
      <c r="S10" s="428">
        <f>+N10-R10</f>
        <v>10129036.3500001</v>
      </c>
      <c r="T10" s="430">
        <f>+IF(ISNUMBER(N10/R10-1),N10/R10-1,"…")</f>
        <v>6.9797658282263697E-2</v>
      </c>
    </row>
    <row r="11" spans="1:20">
      <c r="A11" s="145">
        <v>711</v>
      </c>
      <c r="B11" s="560" t="str">
        <f>+VLOOKUP($A11,Master!$D$30:$G$226,4,FALSE)</f>
        <v>Porezi</v>
      </c>
      <c r="C11" s="561"/>
      <c r="D11" s="561"/>
      <c r="E11" s="561"/>
      <c r="F11" s="561"/>
      <c r="G11" s="149">
        <v>833203582.51999998</v>
      </c>
      <c r="H11" s="149">
        <v>797828901.35953104</v>
      </c>
      <c r="I11" s="434">
        <f t="shared" ref="I11:I67" si="0">+G11-H11</f>
        <v>35374681.160469197</v>
      </c>
      <c r="J11" s="517">
        <f t="shared" ref="J11:J67" si="1">+IF(ISNUMBER(G11/H11-1),G11/H11-1,"…")</f>
        <v>4.4338681013171399E-2</v>
      </c>
      <c r="K11" s="149">
        <v>755696459.50999999</v>
      </c>
      <c r="L11" s="434">
        <f t="shared" ref="L11:L67" si="2">+G11-K11</f>
        <v>77507123.009999901</v>
      </c>
      <c r="M11" s="435">
        <f t="shared" ref="M11:M67" si="3">+IF(ISNUMBER(G11/K11-1),G11/K11-1,"…")</f>
        <v>0.102563829742244</v>
      </c>
      <c r="N11" s="518">
        <v>70043886.920000002</v>
      </c>
      <c r="O11" s="149">
        <v>76418346.230174497</v>
      </c>
      <c r="P11" s="434">
        <f t="shared" ref="P11:P67" si="4">+N11-O11</f>
        <v>-6374459.3101744903</v>
      </c>
      <c r="Q11" s="517">
        <f t="shared" ref="Q11:Q67" si="5">+IF(ISNUMBER(N11/O11-1),N11/O11-1,"…")</f>
        <v>-8.3415300443357099E-2</v>
      </c>
      <c r="R11" s="149">
        <v>72178168.760000005</v>
      </c>
      <c r="S11" s="434">
        <f t="shared" ref="S11:S67" si="6">+N11-R11</f>
        <v>-2134281.84</v>
      </c>
      <c r="T11" s="436">
        <f t="shared" ref="T11:T67" si="7">+IF(ISNUMBER(N11/R11-1),N11/R11-1,"…")</f>
        <v>-2.95696313257366E-2</v>
      </c>
    </row>
    <row r="12" spans="1:20">
      <c r="A12" s="145">
        <v>7111</v>
      </c>
      <c r="B12" s="562" t="str">
        <f>+VLOOKUP($A12,Master!$D$30:$G$226,4,FALSE)</f>
        <v>Porez na dohodak fizičkih lica</v>
      </c>
      <c r="C12" s="563"/>
      <c r="D12" s="563"/>
      <c r="E12" s="563"/>
      <c r="F12" s="563"/>
      <c r="G12" s="153">
        <v>104405821.67</v>
      </c>
      <c r="H12" s="153">
        <v>96011654.614494905</v>
      </c>
      <c r="I12" s="437">
        <f t="shared" si="0"/>
        <v>8394167.0555051006</v>
      </c>
      <c r="J12" s="519">
        <f t="shared" si="1"/>
        <v>8.7428626130955395E-2</v>
      </c>
      <c r="K12" s="153">
        <v>95618433.909999996</v>
      </c>
      <c r="L12" s="437">
        <f t="shared" si="2"/>
        <v>8787387.7600000091</v>
      </c>
      <c r="M12" s="438">
        <f t="shared" si="3"/>
        <v>9.1900561436417699E-2</v>
      </c>
      <c r="N12" s="520">
        <v>15621993.34</v>
      </c>
      <c r="O12" s="153">
        <v>15517267.438764</v>
      </c>
      <c r="P12" s="437">
        <f t="shared" si="4"/>
        <v>104725.901235962</v>
      </c>
      <c r="Q12" s="519">
        <f t="shared" si="5"/>
        <v>6.74899118992722E-3</v>
      </c>
      <c r="R12" s="153">
        <v>15533677.9</v>
      </c>
      <c r="S12" s="437">
        <f t="shared" si="6"/>
        <v>88315.440000005095</v>
      </c>
      <c r="T12" s="439">
        <f t="shared" si="7"/>
        <v>5.6854172314211304E-3</v>
      </c>
    </row>
    <row r="13" spans="1:20">
      <c r="A13" s="145">
        <v>7112</v>
      </c>
      <c r="B13" s="562" t="str">
        <f>+VLOOKUP($A13,Master!$D$30:$G$226,4,FALSE)</f>
        <v>Porez na dobit pravnih lica</v>
      </c>
      <c r="C13" s="563"/>
      <c r="D13" s="563"/>
      <c r="E13" s="563"/>
      <c r="F13" s="563"/>
      <c r="G13" s="153">
        <v>45020371.5</v>
      </c>
      <c r="H13" s="153">
        <v>44395641.531501003</v>
      </c>
      <c r="I13" s="437">
        <f t="shared" si="0"/>
        <v>624729.96849899704</v>
      </c>
      <c r="J13" s="519">
        <f t="shared" si="1"/>
        <v>1.4071876133510099E-2</v>
      </c>
      <c r="K13" s="153">
        <v>40638726.390000001</v>
      </c>
      <c r="L13" s="437">
        <f t="shared" si="2"/>
        <v>4381645.1099999901</v>
      </c>
      <c r="M13" s="438">
        <f t="shared" si="3"/>
        <v>0.10781944955534301</v>
      </c>
      <c r="N13" s="520">
        <v>1484776.32</v>
      </c>
      <c r="O13" s="153">
        <v>1100346.3151346301</v>
      </c>
      <c r="P13" s="437">
        <f t="shared" si="4"/>
        <v>384430.00486537401</v>
      </c>
      <c r="Q13" s="519">
        <f t="shared" si="5"/>
        <v>0.34937182919392001</v>
      </c>
      <c r="R13" s="153">
        <v>1041215.84</v>
      </c>
      <c r="S13" s="437">
        <f t="shared" si="6"/>
        <v>443560.48</v>
      </c>
      <c r="T13" s="439">
        <f t="shared" si="7"/>
        <v>0.42600243192612203</v>
      </c>
    </row>
    <row r="14" spans="1:20">
      <c r="A14" s="145">
        <v>7113</v>
      </c>
      <c r="B14" s="562" t="str">
        <f>+VLOOKUP($A14,Master!$D$30:$G$226,4,FALSE)</f>
        <v>Porez na promet nepokretnosti</v>
      </c>
      <c r="C14" s="563"/>
      <c r="D14" s="563"/>
      <c r="E14" s="563"/>
      <c r="F14" s="563"/>
      <c r="G14" s="153">
        <v>1479399.88</v>
      </c>
      <c r="H14" s="153">
        <v>1544536.6728920401</v>
      </c>
      <c r="I14" s="437">
        <f t="shared" si="0"/>
        <v>-65136.792892040001</v>
      </c>
      <c r="J14" s="519">
        <f t="shared" si="1"/>
        <v>-4.2172383495482697E-2</v>
      </c>
      <c r="K14" s="153">
        <v>1440565.32</v>
      </c>
      <c r="L14" s="437">
        <f t="shared" si="2"/>
        <v>38834.559999999801</v>
      </c>
      <c r="M14" s="438">
        <f t="shared" si="3"/>
        <v>2.6957861237420201E-2</v>
      </c>
      <c r="N14" s="520">
        <v>164005.82999999999</v>
      </c>
      <c r="O14" s="153">
        <v>149884.27130578301</v>
      </c>
      <c r="P14" s="437">
        <f t="shared" si="4"/>
        <v>14121.558694216699</v>
      </c>
      <c r="Q14" s="519">
        <f t="shared" si="5"/>
        <v>9.42164149125886E-2</v>
      </c>
      <c r="R14" s="153">
        <v>140999.42000000001</v>
      </c>
      <c r="S14" s="437">
        <f t="shared" si="6"/>
        <v>23006.41</v>
      </c>
      <c r="T14" s="439">
        <f t="shared" si="7"/>
        <v>0.163166699550962</v>
      </c>
    </row>
    <row r="15" spans="1:20">
      <c r="A15" s="145">
        <v>7114</v>
      </c>
      <c r="B15" s="562" t="str">
        <f>+VLOOKUP($A15,Master!$D$30:$G$226,4,FALSE)</f>
        <v>Porez na dodatu vrijednost</v>
      </c>
      <c r="C15" s="563"/>
      <c r="D15" s="563"/>
      <c r="E15" s="563"/>
      <c r="F15" s="563"/>
      <c r="G15" s="153">
        <v>497589192.80000001</v>
      </c>
      <c r="H15" s="153">
        <v>455945630.52919102</v>
      </c>
      <c r="I15" s="437">
        <f t="shared" si="0"/>
        <v>41643562.270809002</v>
      </c>
      <c r="J15" s="519">
        <f t="shared" si="1"/>
        <v>9.1334491400818105E-2</v>
      </c>
      <c r="K15" s="153">
        <v>429195069.32999998</v>
      </c>
      <c r="L15" s="437">
        <f t="shared" si="2"/>
        <v>68394123.469999999</v>
      </c>
      <c r="M15" s="438">
        <f t="shared" si="3"/>
        <v>0.159354401663485</v>
      </c>
      <c r="N15" s="520">
        <v>37184322.609999999</v>
      </c>
      <c r="O15" s="153">
        <v>41248055.373853602</v>
      </c>
      <c r="P15" s="437">
        <f t="shared" si="4"/>
        <v>-4063732.7638536198</v>
      </c>
      <c r="Q15" s="519">
        <f t="shared" si="5"/>
        <v>-9.8519378114235695E-2</v>
      </c>
      <c r="R15" s="153">
        <v>40192913.060000002</v>
      </c>
      <c r="S15" s="437">
        <f t="shared" si="6"/>
        <v>-3008590.45</v>
      </c>
      <c r="T15" s="439">
        <f t="shared" si="7"/>
        <v>-7.4853754578792994E-2</v>
      </c>
    </row>
    <row r="16" spans="1:20">
      <c r="A16" s="145">
        <v>7115</v>
      </c>
      <c r="B16" s="562" t="str">
        <f>+VLOOKUP($A16,Master!$D$30:$G$226,4,FALSE)</f>
        <v>Akcize</v>
      </c>
      <c r="C16" s="563"/>
      <c r="D16" s="563"/>
      <c r="E16" s="563"/>
      <c r="F16" s="563"/>
      <c r="G16" s="153">
        <v>156466946.75</v>
      </c>
      <c r="H16" s="153">
        <v>171111988.52539</v>
      </c>
      <c r="I16" s="437">
        <f t="shared" si="0"/>
        <v>-14645041.7753901</v>
      </c>
      <c r="J16" s="519">
        <f t="shared" si="1"/>
        <v>-8.5587467608776197E-2</v>
      </c>
      <c r="K16" s="153">
        <v>161445470.16999999</v>
      </c>
      <c r="L16" s="437">
        <f t="shared" si="2"/>
        <v>-4978523.4200000204</v>
      </c>
      <c r="M16" s="438">
        <f t="shared" si="3"/>
        <v>-3.0837182453974699E-2</v>
      </c>
      <c r="N16" s="520">
        <v>13096343.609999999</v>
      </c>
      <c r="O16" s="153">
        <v>16210263.7210781</v>
      </c>
      <c r="P16" s="437">
        <f t="shared" si="4"/>
        <v>-3113920.1110780602</v>
      </c>
      <c r="Q16" s="519">
        <f t="shared" si="5"/>
        <v>-0.19209558614577399</v>
      </c>
      <c r="R16" s="153">
        <v>13187797.07</v>
      </c>
      <c r="S16" s="437">
        <f t="shared" si="6"/>
        <v>-91453.4600000028</v>
      </c>
      <c r="T16" s="439">
        <f t="shared" si="7"/>
        <v>-6.9347033105358101E-3</v>
      </c>
    </row>
    <row r="17" spans="1:20">
      <c r="A17" s="145">
        <v>7116</v>
      </c>
      <c r="B17" s="562" t="str">
        <f>+VLOOKUP($A17,Master!$D$30:$G$226,4,FALSE)</f>
        <v>Porez na međunarodnu trgovinu i transakcije</v>
      </c>
      <c r="C17" s="563"/>
      <c r="D17" s="563"/>
      <c r="E17" s="563"/>
      <c r="F17" s="563"/>
      <c r="G17" s="153">
        <v>22270229.460000001</v>
      </c>
      <c r="H17" s="153">
        <v>23735353.6965583</v>
      </c>
      <c r="I17" s="437">
        <f t="shared" si="0"/>
        <v>-1465124.2365582599</v>
      </c>
      <c r="J17" s="519">
        <f t="shared" si="1"/>
        <v>-6.1727508057767402E-2</v>
      </c>
      <c r="K17" s="153">
        <v>22269382.640000001</v>
      </c>
      <c r="L17" s="437">
        <f t="shared" si="2"/>
        <v>846.82000000029802</v>
      </c>
      <c r="M17" s="438">
        <f t="shared" si="3"/>
        <v>3.8026200083196598E-5</v>
      </c>
      <c r="N17" s="520">
        <v>1965267.81</v>
      </c>
      <c r="O17" s="153">
        <v>1802456.6976206801</v>
      </c>
      <c r="P17" s="437">
        <f t="shared" si="4"/>
        <v>162811.11237932401</v>
      </c>
      <c r="Q17" s="519">
        <f t="shared" si="5"/>
        <v>9.0327336348352799E-2</v>
      </c>
      <c r="R17" s="153">
        <v>1691131.23</v>
      </c>
      <c r="S17" s="437">
        <f t="shared" si="6"/>
        <v>274136.58</v>
      </c>
      <c r="T17" s="439">
        <f t="shared" si="7"/>
        <v>0.16210248804878399</v>
      </c>
    </row>
    <row r="18" spans="1:20">
      <c r="A18" s="145">
        <v>7117</v>
      </c>
      <c r="B18" s="562" t="e">
        <f>+VLOOKUP($A18,Master!$D$30:$G$226,4,FALSE)</f>
        <v>#N/A</v>
      </c>
      <c r="C18" s="563"/>
      <c r="D18" s="563"/>
      <c r="E18" s="563"/>
      <c r="F18" s="563"/>
      <c r="G18" s="153">
        <v>0</v>
      </c>
      <c r="H18" s="153">
        <v>0</v>
      </c>
      <c r="I18" s="437">
        <f t="shared" si="0"/>
        <v>0</v>
      </c>
      <c r="J18" s="519" t="str">
        <f t="shared" si="1"/>
        <v>…</v>
      </c>
      <c r="K18" s="153">
        <v>0</v>
      </c>
      <c r="L18" s="437">
        <f t="shared" si="2"/>
        <v>0</v>
      </c>
      <c r="M18" s="438" t="str">
        <f t="shared" si="3"/>
        <v>…</v>
      </c>
      <c r="N18" s="520">
        <v>0</v>
      </c>
      <c r="O18" s="153">
        <v>0</v>
      </c>
      <c r="P18" s="437">
        <f t="shared" si="4"/>
        <v>0</v>
      </c>
      <c r="Q18" s="519" t="str">
        <f t="shared" si="5"/>
        <v>…</v>
      </c>
      <c r="R18" s="153">
        <v>0</v>
      </c>
      <c r="S18" s="437">
        <f t="shared" si="6"/>
        <v>0</v>
      </c>
      <c r="T18" s="439" t="str">
        <f t="shared" si="7"/>
        <v>…</v>
      </c>
    </row>
    <row r="19" spans="1:20">
      <c r="A19" s="145">
        <v>7118</v>
      </c>
      <c r="B19" s="562" t="str">
        <f>+VLOOKUP($A19,Master!$D$30:$G$226,4,FALSE)</f>
        <v>Ostali državni porezi</v>
      </c>
      <c r="C19" s="563"/>
      <c r="D19" s="563"/>
      <c r="E19" s="563"/>
      <c r="F19" s="563"/>
      <c r="G19" s="153">
        <v>5971620.46</v>
      </c>
      <c r="H19" s="153">
        <v>5084095.7895035101</v>
      </c>
      <c r="I19" s="437">
        <f t="shared" si="0"/>
        <v>887524.670496493</v>
      </c>
      <c r="J19" s="519">
        <f t="shared" si="1"/>
        <v>0.17456883332702999</v>
      </c>
      <c r="K19" s="153">
        <v>5088811.75</v>
      </c>
      <c r="L19" s="437">
        <f t="shared" si="2"/>
        <v>882808.71</v>
      </c>
      <c r="M19" s="438">
        <f t="shared" si="3"/>
        <v>0.17348032377106501</v>
      </c>
      <c r="N19" s="520">
        <v>527177.4</v>
      </c>
      <c r="O19" s="153">
        <v>390072.41241769301</v>
      </c>
      <c r="P19" s="437">
        <f t="shared" si="4"/>
        <v>137104.98758230699</v>
      </c>
      <c r="Q19" s="519">
        <f t="shared" si="5"/>
        <v>0.351485988800186</v>
      </c>
      <c r="R19" s="153">
        <v>390434.24</v>
      </c>
      <c r="S19" s="437">
        <f t="shared" si="6"/>
        <v>136743.16</v>
      </c>
      <c r="T19" s="439">
        <f t="shared" si="7"/>
        <v>0.350233524600711</v>
      </c>
    </row>
    <row r="20" spans="1:20">
      <c r="A20" s="145">
        <v>712</v>
      </c>
      <c r="B20" s="564" t="str">
        <f>+VLOOKUP($A20,Master!$D$30:$G$226,4,FALSE)</f>
        <v>Doprinosi</v>
      </c>
      <c r="C20" s="565"/>
      <c r="D20" s="565"/>
      <c r="E20" s="565"/>
      <c r="F20" s="565"/>
      <c r="G20" s="156">
        <v>444303244.55000001</v>
      </c>
      <c r="H20" s="156">
        <v>397823173.70918298</v>
      </c>
      <c r="I20" s="440">
        <f t="shared" si="0"/>
        <v>46480070.840817302</v>
      </c>
      <c r="J20" s="521">
        <f t="shared" si="1"/>
        <v>0.116836006327764</v>
      </c>
      <c r="K20" s="156">
        <v>398494284.19</v>
      </c>
      <c r="L20" s="440">
        <f t="shared" si="2"/>
        <v>45808960.359999798</v>
      </c>
      <c r="M20" s="441">
        <f t="shared" si="3"/>
        <v>0.11495512527391299</v>
      </c>
      <c r="N20" s="522">
        <v>75176038.930000007</v>
      </c>
      <c r="O20" s="156">
        <v>59783744.593186997</v>
      </c>
      <c r="P20" s="440">
        <f t="shared" si="4"/>
        <v>15392294.336812999</v>
      </c>
      <c r="Q20" s="521">
        <f t="shared" si="5"/>
        <v>0.25746621329181801</v>
      </c>
      <c r="R20" s="156">
        <v>60241080.990000002</v>
      </c>
      <c r="S20" s="440">
        <f t="shared" si="6"/>
        <v>14934957.939999999</v>
      </c>
      <c r="T20" s="442">
        <f t="shared" si="7"/>
        <v>0.247919819740273</v>
      </c>
    </row>
    <row r="21" spans="1:20">
      <c r="A21" s="145">
        <v>7121</v>
      </c>
      <c r="B21" s="562" t="str">
        <f>+VLOOKUP($A21,Master!$D$30:$G$226,4,FALSE)</f>
        <v>Doprinosi za penzijsko i invalidsko osiguranje</v>
      </c>
      <c r="C21" s="563"/>
      <c r="D21" s="563"/>
      <c r="E21" s="563"/>
      <c r="F21" s="563"/>
      <c r="G21" s="153">
        <v>270120228.04000002</v>
      </c>
      <c r="H21" s="153">
        <v>234882396.70208699</v>
      </c>
      <c r="I21" s="437">
        <f t="shared" si="0"/>
        <v>35237831.337912999</v>
      </c>
      <c r="J21" s="519">
        <f t="shared" si="1"/>
        <v>0.15002329605230899</v>
      </c>
      <c r="K21" s="153">
        <v>241949355.72999999</v>
      </c>
      <c r="L21" s="437">
        <f t="shared" si="2"/>
        <v>28170872.309999999</v>
      </c>
      <c r="M21" s="438">
        <f t="shared" si="3"/>
        <v>0.116432929631096</v>
      </c>
      <c r="N21" s="520">
        <v>45661635.619999997</v>
      </c>
      <c r="O21" s="153">
        <v>35471517.456119701</v>
      </c>
      <c r="P21" s="437">
        <f t="shared" si="4"/>
        <v>10190118.1638803</v>
      </c>
      <c r="Q21" s="519">
        <f t="shared" si="5"/>
        <v>0.28727607090635798</v>
      </c>
      <c r="R21" s="153">
        <v>36741484.630000003</v>
      </c>
      <c r="S21" s="437">
        <f t="shared" si="6"/>
        <v>8920150.9899999909</v>
      </c>
      <c r="T21" s="439">
        <f t="shared" si="7"/>
        <v>0.242781452078737</v>
      </c>
    </row>
    <row r="22" spans="1:20">
      <c r="A22" s="145">
        <v>7122</v>
      </c>
      <c r="B22" s="562" t="str">
        <f>+VLOOKUP($A22,Master!$D$30:$G$226,4,FALSE)</f>
        <v>Doprinosi za zdravstveno osiguranje</v>
      </c>
      <c r="C22" s="563"/>
      <c r="D22" s="563"/>
      <c r="E22" s="563"/>
      <c r="F22" s="563"/>
      <c r="G22" s="153">
        <v>151034703.58000001</v>
      </c>
      <c r="H22" s="153">
        <v>138667298.82084399</v>
      </c>
      <c r="I22" s="437">
        <f t="shared" si="0"/>
        <v>12367404.759156</v>
      </c>
      <c r="J22" s="519">
        <f t="shared" si="1"/>
        <v>8.9187608501226201E-2</v>
      </c>
      <c r="K22" s="153">
        <v>134703897.09</v>
      </c>
      <c r="L22" s="437">
        <f t="shared" si="2"/>
        <v>16330806.49</v>
      </c>
      <c r="M22" s="438">
        <f t="shared" si="3"/>
        <v>0.12123484800954799</v>
      </c>
      <c r="N22" s="520">
        <v>25500379.309999999</v>
      </c>
      <c r="O22" s="153">
        <v>20777724.4885066</v>
      </c>
      <c r="P22" s="437">
        <f t="shared" si="4"/>
        <v>4722654.8214933602</v>
      </c>
      <c r="Q22" s="519">
        <f t="shared" si="5"/>
        <v>0.227294130505279</v>
      </c>
      <c r="R22" s="153">
        <v>20296721.100000001</v>
      </c>
      <c r="S22" s="437">
        <f t="shared" si="6"/>
        <v>5203658.2099999897</v>
      </c>
      <c r="T22" s="439">
        <f t="shared" si="7"/>
        <v>0.256379253789913</v>
      </c>
    </row>
    <row r="23" spans="1:20">
      <c r="A23" s="145">
        <v>7123</v>
      </c>
      <c r="B23" s="562" t="str">
        <f>+VLOOKUP($A23,Master!$D$30:$G$226,4,FALSE)</f>
        <v>Doprinosi za osiguranje od nezaposlenosti</v>
      </c>
      <c r="C23" s="563"/>
      <c r="D23" s="563"/>
      <c r="E23" s="563"/>
      <c r="F23" s="563"/>
      <c r="G23" s="153">
        <v>12160117.390000001</v>
      </c>
      <c r="H23" s="153">
        <v>11617385.520490499</v>
      </c>
      <c r="I23" s="437">
        <f t="shared" si="0"/>
        <v>542731.86950949999</v>
      </c>
      <c r="J23" s="519">
        <f t="shared" si="1"/>
        <v>4.6717212625184898E-2</v>
      </c>
      <c r="K23" s="153">
        <v>10770190.189999999</v>
      </c>
      <c r="L23" s="437">
        <f t="shared" si="2"/>
        <v>1389927.2</v>
      </c>
      <c r="M23" s="438">
        <f t="shared" si="3"/>
        <v>0.129053171344228</v>
      </c>
      <c r="N23" s="520">
        <v>2051002.51</v>
      </c>
      <c r="O23" s="153">
        <v>1773125.53784207</v>
      </c>
      <c r="P23" s="437">
        <f t="shared" si="4"/>
        <v>277876.97215793398</v>
      </c>
      <c r="Q23" s="519">
        <f t="shared" si="5"/>
        <v>0.15671590433248</v>
      </c>
      <c r="R23" s="153">
        <v>1652845.01</v>
      </c>
      <c r="S23" s="437">
        <f t="shared" si="6"/>
        <v>398157.5</v>
      </c>
      <c r="T23" s="439">
        <f t="shared" si="7"/>
        <v>0.24089221771616701</v>
      </c>
    </row>
    <row r="24" spans="1:20">
      <c r="A24" s="145">
        <v>7124</v>
      </c>
      <c r="B24" s="562" t="str">
        <f>+VLOOKUP($A24,Master!$D$30:$G$226,4,FALSE)</f>
        <v>Ostali doprinosi</v>
      </c>
      <c r="C24" s="563"/>
      <c r="D24" s="563"/>
      <c r="E24" s="563"/>
      <c r="F24" s="563"/>
      <c r="G24" s="153">
        <v>10988195.539999999</v>
      </c>
      <c r="H24" s="153">
        <v>12656092.6657611</v>
      </c>
      <c r="I24" s="437">
        <f t="shared" si="0"/>
        <v>-1667897.1257611001</v>
      </c>
      <c r="J24" s="519">
        <f t="shared" si="1"/>
        <v>-0.13178610253647299</v>
      </c>
      <c r="K24" s="153">
        <v>11070841.18</v>
      </c>
      <c r="L24" s="437">
        <f t="shared" si="2"/>
        <v>-82645.640000000596</v>
      </c>
      <c r="M24" s="438">
        <f t="shared" si="3"/>
        <v>-7.4651635459556101E-3</v>
      </c>
      <c r="N24" s="520">
        <v>1963021.49</v>
      </c>
      <c r="O24" s="153">
        <v>1761377.11071862</v>
      </c>
      <c r="P24" s="437">
        <f t="shared" si="4"/>
        <v>201644.379281381</v>
      </c>
      <c r="Q24" s="519">
        <f t="shared" si="5"/>
        <v>0.11448109439727699</v>
      </c>
      <c r="R24" s="153">
        <v>1550030.25</v>
      </c>
      <c r="S24" s="437">
        <f t="shared" si="6"/>
        <v>412991.239999999</v>
      </c>
      <c r="T24" s="439">
        <f t="shared" si="7"/>
        <v>0.26644076139804301</v>
      </c>
    </row>
    <row r="25" spans="1:20">
      <c r="A25" s="145">
        <v>713</v>
      </c>
      <c r="B25" s="566" t="str">
        <f>+VLOOKUP($A25,Master!$D$30:$G$226,4,FALSE)</f>
        <v>Takse</v>
      </c>
      <c r="C25" s="567"/>
      <c r="D25" s="567"/>
      <c r="E25" s="567"/>
      <c r="F25" s="567"/>
      <c r="G25" s="159">
        <v>15006989.84</v>
      </c>
      <c r="H25" s="159">
        <v>20923047.198280599</v>
      </c>
      <c r="I25" s="443">
        <f t="shared" si="0"/>
        <v>-5916057.3582806401</v>
      </c>
      <c r="J25" s="523">
        <f t="shared" si="1"/>
        <v>-0.28275314308743699</v>
      </c>
      <c r="K25" s="159">
        <v>27179432.649999999</v>
      </c>
      <c r="L25" s="443">
        <f t="shared" si="2"/>
        <v>-12172442.810000001</v>
      </c>
      <c r="M25" s="444">
        <f t="shared" si="3"/>
        <v>-0.44785492643460301</v>
      </c>
      <c r="N25" s="524">
        <v>1146974.23</v>
      </c>
      <c r="O25" s="159">
        <v>2370557.2656825301</v>
      </c>
      <c r="P25" s="443">
        <f t="shared" si="4"/>
        <v>-1223583.0356825299</v>
      </c>
      <c r="Q25" s="523">
        <f t="shared" si="5"/>
        <v>-0.51615839591634405</v>
      </c>
      <c r="R25" s="159">
        <v>3282224.97</v>
      </c>
      <c r="S25" s="443">
        <f t="shared" si="6"/>
        <v>-2135250.7400000002</v>
      </c>
      <c r="T25" s="445">
        <f t="shared" si="7"/>
        <v>-0.65054978239349603</v>
      </c>
    </row>
    <row r="26" spans="1:20">
      <c r="A26" s="145">
        <v>714</v>
      </c>
      <c r="B26" s="566" t="str">
        <f>+VLOOKUP($A26,Master!$D$30:$G$226,4,FALSE)</f>
        <v>Naknade</v>
      </c>
      <c r="C26" s="567"/>
      <c r="D26" s="567"/>
      <c r="E26" s="567"/>
      <c r="F26" s="567"/>
      <c r="G26" s="159">
        <v>16956990.550000001</v>
      </c>
      <c r="H26" s="159">
        <v>13024243.7682718</v>
      </c>
      <c r="I26" s="443">
        <f t="shared" si="0"/>
        <v>3932746.78172823</v>
      </c>
      <c r="J26" s="523">
        <f t="shared" si="1"/>
        <v>0.30195586413306802</v>
      </c>
      <c r="K26" s="159">
        <v>13233490.18</v>
      </c>
      <c r="L26" s="443">
        <f t="shared" si="2"/>
        <v>3723500.37</v>
      </c>
      <c r="M26" s="444">
        <f t="shared" si="3"/>
        <v>0.28136948902772402</v>
      </c>
      <c r="N26" s="524">
        <v>1428133.03</v>
      </c>
      <c r="O26" s="159">
        <v>915688.23864849098</v>
      </c>
      <c r="P26" s="443">
        <f t="shared" si="4"/>
        <v>512444.79135150899</v>
      </c>
      <c r="Q26" s="523">
        <f t="shared" si="5"/>
        <v>0.55962801499760695</v>
      </c>
      <c r="R26" s="159">
        <v>927547.93</v>
      </c>
      <c r="S26" s="443">
        <f t="shared" si="6"/>
        <v>500585.1</v>
      </c>
      <c r="T26" s="445">
        <f t="shared" si="7"/>
        <v>0.53968650439444099</v>
      </c>
    </row>
    <row r="27" spans="1:20">
      <c r="A27" s="145">
        <v>715</v>
      </c>
      <c r="B27" s="566" t="str">
        <f>+VLOOKUP($A27,Master!$D$30:$G$226,4,FALSE)</f>
        <v>Ostali prihodi</v>
      </c>
      <c r="C27" s="567"/>
      <c r="D27" s="567"/>
      <c r="E27" s="567"/>
      <c r="F27" s="567"/>
      <c r="G27" s="159">
        <v>29530041.649999999</v>
      </c>
      <c r="H27" s="159">
        <v>31410770.914738201</v>
      </c>
      <c r="I27" s="443">
        <f t="shared" si="0"/>
        <v>-1880729.26473822</v>
      </c>
      <c r="J27" s="523">
        <f t="shared" si="1"/>
        <v>-5.9875297866559499E-2</v>
      </c>
      <c r="K27" s="159">
        <v>33675751.280000001</v>
      </c>
      <c r="L27" s="443">
        <f t="shared" si="2"/>
        <v>-4145709.6300000101</v>
      </c>
      <c r="M27" s="444">
        <f t="shared" si="3"/>
        <v>-0.123106670895926</v>
      </c>
      <c r="N27" s="524">
        <v>4214617.99</v>
      </c>
      <c r="O27" s="159">
        <v>4766285.5166419102</v>
      </c>
      <c r="P27" s="443">
        <f t="shared" si="4"/>
        <v>-551667.52664190496</v>
      </c>
      <c r="Q27" s="523">
        <f t="shared" si="5"/>
        <v>-0.115743701193667</v>
      </c>
      <c r="R27" s="159">
        <v>5571807.3499999996</v>
      </c>
      <c r="S27" s="443">
        <f t="shared" si="6"/>
        <v>-1357189.36</v>
      </c>
      <c r="T27" s="445">
        <f t="shared" si="7"/>
        <v>-0.24358153014748399</v>
      </c>
    </row>
    <row r="28" spans="1:20">
      <c r="A28" s="145">
        <v>73</v>
      </c>
      <c r="B28" s="566" t="str">
        <f>+VLOOKUP($A28,Master!$D$30:$G$226,4,FALSE)</f>
        <v>Primici od otplate kredita i sredstva prenesena iz prethodne godine</v>
      </c>
      <c r="C28" s="567"/>
      <c r="D28" s="567"/>
      <c r="E28" s="567"/>
      <c r="F28" s="567"/>
      <c r="G28" s="159">
        <v>7382202.0499999998</v>
      </c>
      <c r="H28" s="159">
        <v>7046262.4871663097</v>
      </c>
      <c r="I28" s="443">
        <f t="shared" si="0"/>
        <v>335939.56283369497</v>
      </c>
      <c r="J28" s="523">
        <f t="shared" si="1"/>
        <v>4.7676277096625003E-2</v>
      </c>
      <c r="K28" s="159">
        <v>8543082.6699999999</v>
      </c>
      <c r="L28" s="443">
        <f t="shared" si="2"/>
        <v>-1160880.6200000001</v>
      </c>
      <c r="M28" s="444">
        <f t="shared" si="3"/>
        <v>-0.13588544847828299</v>
      </c>
      <c r="N28" s="524">
        <v>2215639.15</v>
      </c>
      <c r="O28" s="159">
        <v>691003.40059818898</v>
      </c>
      <c r="P28" s="443">
        <f t="shared" si="4"/>
        <v>1524635.7494018101</v>
      </c>
      <c r="Q28" s="523">
        <f t="shared" si="5"/>
        <v>2.2064084606269101</v>
      </c>
      <c r="R28" s="159">
        <v>1810625.69</v>
      </c>
      <c r="S28" s="443">
        <f t="shared" si="6"/>
        <v>405013.46</v>
      </c>
      <c r="T28" s="445">
        <f t="shared" si="7"/>
        <v>0.223687017276332</v>
      </c>
    </row>
    <row r="29" spans="1:20">
      <c r="A29" s="145">
        <v>74</v>
      </c>
      <c r="B29" s="568" t="str">
        <f>+VLOOKUP($A29,Master!$D$30:$G$226,4,FALSE)</f>
        <v>Donacije i transferi</v>
      </c>
      <c r="C29" s="569"/>
      <c r="D29" s="569"/>
      <c r="E29" s="569"/>
      <c r="F29" s="569"/>
      <c r="G29" s="159">
        <v>5470125.4299999997</v>
      </c>
      <c r="H29" s="159">
        <v>8000000</v>
      </c>
      <c r="I29" s="443">
        <f t="shared" si="0"/>
        <v>-2529874.5699999998</v>
      </c>
      <c r="J29" s="523">
        <f t="shared" si="1"/>
        <v>-0.31623432125000001</v>
      </c>
      <c r="K29" s="159">
        <v>6614007.71</v>
      </c>
      <c r="L29" s="443">
        <f t="shared" si="2"/>
        <v>-1143882.28</v>
      </c>
      <c r="M29" s="444">
        <f t="shared" si="3"/>
        <v>-0.172948434618622</v>
      </c>
      <c r="N29" s="524">
        <v>1023748.68</v>
      </c>
      <c r="O29" s="159">
        <v>666666.66666666698</v>
      </c>
      <c r="P29" s="443">
        <f t="shared" si="4"/>
        <v>357082.01333333302</v>
      </c>
      <c r="Q29" s="523">
        <f t="shared" si="5"/>
        <v>0.53562301999999995</v>
      </c>
      <c r="R29" s="159">
        <v>1108546.8899999999</v>
      </c>
      <c r="S29" s="443">
        <f t="shared" si="6"/>
        <v>-84798.210000000094</v>
      </c>
      <c r="T29" s="445">
        <f t="shared" si="7"/>
        <v>-7.6494923908902099E-2</v>
      </c>
    </row>
    <row r="30" spans="1:20">
      <c r="A30" s="145">
        <v>4</v>
      </c>
      <c r="B30" s="570" t="str">
        <f>+VLOOKUP($A30,Master!$D$30:$G$226,4,FALSE)</f>
        <v>Izdaci budžeta</v>
      </c>
      <c r="C30" s="571"/>
      <c r="D30" s="571"/>
      <c r="E30" s="571"/>
      <c r="F30" s="571"/>
      <c r="G30" s="146">
        <v>1454424592.8399999</v>
      </c>
      <c r="H30" s="146">
        <v>1337605069.8199999</v>
      </c>
      <c r="I30" s="428">
        <f t="shared" si="0"/>
        <v>116819523.02</v>
      </c>
      <c r="J30" s="515">
        <f t="shared" si="1"/>
        <v>8.7334838702219003E-2</v>
      </c>
      <c r="K30" s="146">
        <v>1444789714.3499999</v>
      </c>
      <c r="L30" s="428">
        <f t="shared" si="2"/>
        <v>9634878.4899997693</v>
      </c>
      <c r="M30" s="429">
        <f t="shared" si="3"/>
        <v>6.6687064520905004E-3</v>
      </c>
      <c r="N30" s="516">
        <v>173918629.22</v>
      </c>
      <c r="O30" s="146">
        <v>110629366.79018199</v>
      </c>
      <c r="P30" s="428">
        <f t="shared" si="4"/>
        <v>63289262.429817803</v>
      </c>
      <c r="Q30" s="515">
        <f t="shared" si="5"/>
        <v>0.57208374472441104</v>
      </c>
      <c r="R30" s="146">
        <v>160423364.29416701</v>
      </c>
      <c r="S30" s="428">
        <f t="shared" si="6"/>
        <v>13495264.9258333</v>
      </c>
      <c r="T30" s="430">
        <f t="shared" si="7"/>
        <v>8.4122814561395004E-2</v>
      </c>
    </row>
    <row r="31" spans="1:20">
      <c r="A31" s="145">
        <v>41</v>
      </c>
      <c r="B31" s="572" t="str">
        <f>+VLOOKUP($A31,Master!$D$30:$G$226,4,FALSE)</f>
        <v>Tekući izdaci</v>
      </c>
      <c r="C31" s="573"/>
      <c r="D31" s="573"/>
      <c r="E31" s="573"/>
      <c r="F31" s="573"/>
      <c r="G31" s="165">
        <v>1379272218.51</v>
      </c>
      <c r="H31" s="165">
        <v>1235784569.8199999</v>
      </c>
      <c r="I31" s="525">
        <f t="shared" si="0"/>
        <v>143487648.69</v>
      </c>
      <c r="J31" s="526">
        <f t="shared" si="1"/>
        <v>0.11611056829338801</v>
      </c>
      <c r="K31" s="165">
        <v>1367570486.9200001</v>
      </c>
      <c r="L31" s="525">
        <f t="shared" si="2"/>
        <v>11701731.590000199</v>
      </c>
      <c r="M31" s="527">
        <f t="shared" si="3"/>
        <v>8.5565838850139003E-3</v>
      </c>
      <c r="N31" s="528">
        <v>155933566.94999999</v>
      </c>
      <c r="O31" s="165">
        <v>103106825.12351499</v>
      </c>
      <c r="P31" s="525">
        <f t="shared" si="4"/>
        <v>52826741.826484501</v>
      </c>
      <c r="Q31" s="526">
        <f t="shared" si="5"/>
        <v>0.51234961180505201</v>
      </c>
      <c r="R31" s="165">
        <v>141764211.90000001</v>
      </c>
      <c r="S31" s="525">
        <f t="shared" si="6"/>
        <v>14169355.050000001</v>
      </c>
      <c r="T31" s="529">
        <f t="shared" si="7"/>
        <v>9.9950155685237102E-2</v>
      </c>
    </row>
    <row r="32" spans="1:20">
      <c r="A32" s="145">
        <v>40</v>
      </c>
      <c r="B32" s="574" t="str">
        <f>+VLOOKUP($A32,Master!$D$30:$G$226,4,FALSE)</f>
        <v>Tekuća budžetska potrošnja</v>
      </c>
      <c r="C32" s="575"/>
      <c r="D32" s="575"/>
      <c r="E32" s="575"/>
      <c r="F32" s="575"/>
      <c r="G32" s="168">
        <v>691525208.71000004</v>
      </c>
      <c r="H32" s="168">
        <v>625526473.46000004</v>
      </c>
      <c r="I32" s="447">
        <f t="shared" si="0"/>
        <v>65998735.250000097</v>
      </c>
      <c r="J32" s="530">
        <f t="shared" si="1"/>
        <v>0.105509100014486</v>
      </c>
      <c r="K32" s="168">
        <v>605642630.86000001</v>
      </c>
      <c r="L32" s="447">
        <f t="shared" si="2"/>
        <v>85882577.850000098</v>
      </c>
      <c r="M32" s="449">
        <f t="shared" si="3"/>
        <v>0.141804049903239</v>
      </c>
      <c r="N32" s="531">
        <v>79489436.039999902</v>
      </c>
      <c r="O32" s="168">
        <v>52676003.420000002</v>
      </c>
      <c r="P32" s="447">
        <f t="shared" si="4"/>
        <v>26813432.620000001</v>
      </c>
      <c r="Q32" s="530">
        <f t="shared" si="5"/>
        <v>0.50902556912317798</v>
      </c>
      <c r="R32" s="168">
        <v>70669565.129999995</v>
      </c>
      <c r="S32" s="447">
        <f t="shared" si="6"/>
        <v>8819870.9099999703</v>
      </c>
      <c r="T32" s="448">
        <f t="shared" si="7"/>
        <v>0.12480437503436501</v>
      </c>
    </row>
    <row r="33" spans="1:20">
      <c r="A33" s="145">
        <v>411</v>
      </c>
      <c r="B33" s="562" t="str">
        <f>+VLOOKUP($A33,Master!$D$30:$G$226,4,FALSE)</f>
        <v>Bruto zarade i doprinosi na teret poslodavca</v>
      </c>
      <c r="C33" s="563"/>
      <c r="D33" s="563"/>
      <c r="E33" s="563"/>
      <c r="F33" s="563"/>
      <c r="G33" s="153">
        <v>387343216.04000002</v>
      </c>
      <c r="H33" s="153">
        <v>386488693.72000003</v>
      </c>
      <c r="I33" s="437">
        <f t="shared" si="0"/>
        <v>854522.32000011206</v>
      </c>
      <c r="J33" s="519">
        <f t="shared" si="1"/>
        <v>2.2109891799815301E-3</v>
      </c>
      <c r="K33" s="153">
        <v>371004370.17000002</v>
      </c>
      <c r="L33" s="437">
        <f t="shared" si="2"/>
        <v>16338845.8700001</v>
      </c>
      <c r="M33" s="438">
        <f t="shared" si="3"/>
        <v>4.40394970617555E-2</v>
      </c>
      <c r="N33" s="520">
        <v>35561795.229999997</v>
      </c>
      <c r="O33" s="153">
        <v>32195307.643333301</v>
      </c>
      <c r="P33" s="437">
        <f t="shared" si="4"/>
        <v>3366487.5866666702</v>
      </c>
      <c r="Q33" s="519">
        <f t="shared" si="5"/>
        <v>0.10456454163946401</v>
      </c>
      <c r="R33" s="153">
        <v>29829447</v>
      </c>
      <c r="S33" s="437">
        <f t="shared" si="6"/>
        <v>5732348.2300000004</v>
      </c>
      <c r="T33" s="439">
        <f t="shared" si="7"/>
        <v>0.192170784460067</v>
      </c>
    </row>
    <row r="34" spans="1:20">
      <c r="A34" s="145">
        <v>412</v>
      </c>
      <c r="B34" s="562" t="str">
        <f>+VLOOKUP($A34,Master!$D$30:$G$226,4,FALSE)</f>
        <v>Ostala lična primanja</v>
      </c>
      <c r="C34" s="563"/>
      <c r="D34" s="563"/>
      <c r="E34" s="563"/>
      <c r="F34" s="563"/>
      <c r="G34" s="153">
        <v>11826015.560000001</v>
      </c>
      <c r="H34" s="153">
        <v>11478163.960000001</v>
      </c>
      <c r="I34" s="437">
        <f t="shared" si="0"/>
        <v>347851.59999999002</v>
      </c>
      <c r="J34" s="519">
        <f t="shared" si="1"/>
        <v>3.03055088960404E-2</v>
      </c>
      <c r="K34" s="153">
        <v>12022159.039999999</v>
      </c>
      <c r="L34" s="437">
        <f t="shared" si="2"/>
        <v>-196143.480000012</v>
      </c>
      <c r="M34" s="438">
        <f t="shared" si="3"/>
        <v>-1.6315162638208799E-2</v>
      </c>
      <c r="N34" s="520">
        <v>2425531.4</v>
      </c>
      <c r="O34" s="153">
        <v>956513.66333333298</v>
      </c>
      <c r="P34" s="437">
        <f t="shared" si="4"/>
        <v>1469017.7366666601</v>
      </c>
      <c r="Q34" s="519">
        <f t="shared" si="5"/>
        <v>1.53580423676052</v>
      </c>
      <c r="R34" s="153">
        <v>1871989.55</v>
      </c>
      <c r="S34" s="437">
        <f t="shared" si="6"/>
        <v>553541.849999998</v>
      </c>
      <c r="T34" s="439">
        <f t="shared" si="7"/>
        <v>0.29569708335177403</v>
      </c>
    </row>
    <row r="35" spans="1:20">
      <c r="A35" s="145">
        <v>413</v>
      </c>
      <c r="B35" s="562" t="str">
        <f>+VLOOKUP($A35,Master!$D$30:$G$226,4,FALSE)</f>
        <v>Rashodi za materijal</v>
      </c>
      <c r="C35" s="563"/>
      <c r="D35" s="563"/>
      <c r="E35" s="563"/>
      <c r="F35" s="563"/>
      <c r="G35" s="153">
        <v>28585285.350000001</v>
      </c>
      <c r="H35" s="153">
        <v>29295302.829999998</v>
      </c>
      <c r="I35" s="437">
        <f t="shared" si="0"/>
        <v>-710017.48</v>
      </c>
      <c r="J35" s="519">
        <f t="shared" si="1"/>
        <v>-2.4236563933823001E-2</v>
      </c>
      <c r="K35" s="153">
        <v>27269260.949999999</v>
      </c>
      <c r="L35" s="437">
        <f t="shared" si="2"/>
        <v>1316024.3999999999</v>
      </c>
      <c r="M35" s="438">
        <f t="shared" si="3"/>
        <v>4.8260361819596698E-2</v>
      </c>
      <c r="N35" s="520">
        <v>6753045.8399999999</v>
      </c>
      <c r="O35" s="153">
        <v>2567060.82607716</v>
      </c>
      <c r="P35" s="437">
        <f t="shared" si="4"/>
        <v>4185985.0139228501</v>
      </c>
      <c r="Q35" s="519">
        <f t="shared" si="5"/>
        <v>1.6306528351023299</v>
      </c>
      <c r="R35" s="153">
        <v>5693241.2300000004</v>
      </c>
      <c r="S35" s="437">
        <f t="shared" si="6"/>
        <v>1059804.6100000001</v>
      </c>
      <c r="T35" s="439">
        <f t="shared" si="7"/>
        <v>0.18615136214771</v>
      </c>
    </row>
    <row r="36" spans="1:20">
      <c r="A36" s="145">
        <v>414</v>
      </c>
      <c r="B36" s="562" t="str">
        <f>+VLOOKUP($A36,Master!$D$30:$G$226,4,FALSE)</f>
        <v>Rashodi za usluge</v>
      </c>
      <c r="C36" s="563"/>
      <c r="D36" s="563"/>
      <c r="E36" s="563"/>
      <c r="F36" s="563"/>
      <c r="G36" s="153">
        <v>51906870.649999999</v>
      </c>
      <c r="H36" s="153">
        <v>40692845.799999997</v>
      </c>
      <c r="I36" s="437">
        <f t="shared" si="0"/>
        <v>11214024.85</v>
      </c>
      <c r="J36" s="519">
        <f t="shared" si="1"/>
        <v>0.27557730676088499</v>
      </c>
      <c r="K36" s="153">
        <v>47503563.840000004</v>
      </c>
      <c r="L36" s="437">
        <f t="shared" si="2"/>
        <v>4403306.8099999903</v>
      </c>
      <c r="M36" s="438">
        <f t="shared" si="3"/>
        <v>9.2694241316947604E-2</v>
      </c>
      <c r="N36" s="520">
        <v>9401300.1599999405</v>
      </c>
      <c r="O36" s="153">
        <v>3555210.7859614599</v>
      </c>
      <c r="P36" s="437">
        <f t="shared" si="4"/>
        <v>5846089.3740384802</v>
      </c>
      <c r="Q36" s="519">
        <f t="shared" si="5"/>
        <v>1.6443720853691901</v>
      </c>
      <c r="R36" s="153">
        <v>9675540.9999999702</v>
      </c>
      <c r="S36" s="437">
        <f t="shared" si="6"/>
        <v>-274240.84000002802</v>
      </c>
      <c r="T36" s="439">
        <f t="shared" si="7"/>
        <v>-2.8343721555211102E-2</v>
      </c>
    </row>
    <row r="37" spans="1:20">
      <c r="A37" s="145">
        <v>415</v>
      </c>
      <c r="B37" s="562" t="str">
        <f>+VLOOKUP($A37,Master!$D$30:$G$226,4,FALSE)</f>
        <v>Rashodi za tekuće održavanje</v>
      </c>
      <c r="C37" s="563"/>
      <c r="D37" s="563"/>
      <c r="E37" s="563"/>
      <c r="F37" s="563"/>
      <c r="G37" s="153">
        <v>21275343.77</v>
      </c>
      <c r="H37" s="153">
        <v>21654903.199999999</v>
      </c>
      <c r="I37" s="437">
        <f t="shared" si="0"/>
        <v>-379559.42999999598</v>
      </c>
      <c r="J37" s="519">
        <f t="shared" si="1"/>
        <v>-1.7527643808631602E-2</v>
      </c>
      <c r="K37" s="153">
        <v>20415784.170000002</v>
      </c>
      <c r="L37" s="437">
        <f t="shared" si="2"/>
        <v>859559.60000000102</v>
      </c>
      <c r="M37" s="438">
        <f t="shared" si="3"/>
        <v>4.2102698228123001E-2</v>
      </c>
      <c r="N37" s="520">
        <v>3374455</v>
      </c>
      <c r="O37" s="153">
        <v>1804116.9333333301</v>
      </c>
      <c r="P37" s="437">
        <f t="shared" si="4"/>
        <v>1570338.0666666699</v>
      </c>
      <c r="Q37" s="519">
        <f t="shared" si="5"/>
        <v>0.87041922707596797</v>
      </c>
      <c r="R37" s="153">
        <v>4861519.66</v>
      </c>
      <c r="S37" s="437">
        <f t="shared" si="6"/>
        <v>-1487064.66</v>
      </c>
      <c r="T37" s="439">
        <f t="shared" si="7"/>
        <v>-0.30588473646119102</v>
      </c>
    </row>
    <row r="38" spans="1:20">
      <c r="A38" s="145">
        <v>416</v>
      </c>
      <c r="B38" s="562" t="str">
        <f>+VLOOKUP($A38,Master!$D$30:$G$226,4,FALSE)</f>
        <v>Kamate</v>
      </c>
      <c r="C38" s="563"/>
      <c r="D38" s="563"/>
      <c r="E38" s="563"/>
      <c r="F38" s="563"/>
      <c r="G38" s="153">
        <v>74981970.939999998</v>
      </c>
      <c r="H38" s="153">
        <v>73316123.120000005</v>
      </c>
      <c r="I38" s="437">
        <f t="shared" si="0"/>
        <v>1665847.8199999901</v>
      </c>
      <c r="J38" s="519">
        <f t="shared" si="1"/>
        <v>2.2721439011081E-2</v>
      </c>
      <c r="K38" s="153">
        <v>67922775.540000007</v>
      </c>
      <c r="L38" s="437">
        <f t="shared" si="2"/>
        <v>7059195.4000000097</v>
      </c>
      <c r="M38" s="438">
        <f t="shared" si="3"/>
        <v>0.10392972524868101</v>
      </c>
      <c r="N38" s="520">
        <v>5676117.54</v>
      </c>
      <c r="O38" s="153">
        <v>6297113.5108333305</v>
      </c>
      <c r="P38" s="437">
        <f t="shared" si="4"/>
        <v>-620995.97083333205</v>
      </c>
      <c r="Q38" s="519">
        <f t="shared" si="5"/>
        <v>-9.8615972185508896E-2</v>
      </c>
      <c r="R38" s="153">
        <v>5611866.1399999997</v>
      </c>
      <c r="S38" s="437">
        <f t="shared" si="6"/>
        <v>64251.400000000402</v>
      </c>
      <c r="T38" s="439">
        <f t="shared" si="7"/>
        <v>1.14492039541059E-2</v>
      </c>
    </row>
    <row r="39" spans="1:20">
      <c r="A39" s="145">
        <v>417</v>
      </c>
      <c r="B39" s="562" t="str">
        <f>+VLOOKUP($A39,Master!$D$30:$G$226,4,FALSE)</f>
        <v>Renta</v>
      </c>
      <c r="C39" s="563"/>
      <c r="D39" s="563"/>
      <c r="E39" s="563"/>
      <c r="F39" s="563"/>
      <c r="G39" s="153">
        <v>8048001.7000000002</v>
      </c>
      <c r="H39" s="153">
        <v>8172802.1399999997</v>
      </c>
      <c r="I39" s="437">
        <f t="shared" si="0"/>
        <v>-124800.44</v>
      </c>
      <c r="J39" s="519">
        <f t="shared" si="1"/>
        <v>-1.52702142866266E-2</v>
      </c>
      <c r="K39" s="153">
        <v>7928041.8099999996</v>
      </c>
      <c r="L39" s="437">
        <f t="shared" si="2"/>
        <v>119959.889999999</v>
      </c>
      <c r="M39" s="438">
        <f t="shared" si="3"/>
        <v>1.51310869537402E-2</v>
      </c>
      <c r="N39" s="520">
        <v>640245.18999999994</v>
      </c>
      <c r="O39" s="153">
        <v>678983.51166666695</v>
      </c>
      <c r="P39" s="437">
        <f t="shared" si="4"/>
        <v>-38738.321666666903</v>
      </c>
      <c r="Q39" s="519">
        <f t="shared" si="5"/>
        <v>-5.7053405570303001E-2</v>
      </c>
      <c r="R39" s="153">
        <v>668357.01</v>
      </c>
      <c r="S39" s="437">
        <f t="shared" si="6"/>
        <v>-28111.820000000102</v>
      </c>
      <c r="T39" s="439">
        <f t="shared" si="7"/>
        <v>-4.2061083491890201E-2</v>
      </c>
    </row>
    <row r="40" spans="1:20">
      <c r="A40" s="145">
        <v>418</v>
      </c>
      <c r="B40" s="562" t="str">
        <f>+VLOOKUP($A40,Master!$D$30:$G$226,4,FALSE)</f>
        <v>Subvencije</v>
      </c>
      <c r="C40" s="563"/>
      <c r="D40" s="563"/>
      <c r="E40" s="563"/>
      <c r="F40" s="563"/>
      <c r="G40" s="153">
        <v>18426863.34</v>
      </c>
      <c r="H40" s="153">
        <v>18874600</v>
      </c>
      <c r="I40" s="437">
        <f t="shared" si="0"/>
        <v>-447736.66</v>
      </c>
      <c r="J40" s="519">
        <f t="shared" si="1"/>
        <v>-2.3721650260137901E-2</v>
      </c>
      <c r="K40" s="153">
        <v>17425749.960000001</v>
      </c>
      <c r="L40" s="437">
        <f t="shared" si="2"/>
        <v>1001113.38</v>
      </c>
      <c r="M40" s="438">
        <f t="shared" si="3"/>
        <v>5.7450232116150503E-2</v>
      </c>
      <c r="N40" s="520">
        <v>4582041.3</v>
      </c>
      <c r="O40" s="153">
        <v>1572883.33333333</v>
      </c>
      <c r="P40" s="437">
        <f t="shared" si="4"/>
        <v>3009157.9666666701</v>
      </c>
      <c r="Q40" s="519">
        <f t="shared" si="5"/>
        <v>1.9131475951808199</v>
      </c>
      <c r="R40" s="153">
        <v>3977237.29</v>
      </c>
      <c r="S40" s="437">
        <f t="shared" si="6"/>
        <v>604804.01</v>
      </c>
      <c r="T40" s="439">
        <f t="shared" si="7"/>
        <v>0.152066363131177</v>
      </c>
    </row>
    <row r="41" spans="1:20">
      <c r="A41" s="145">
        <v>419</v>
      </c>
      <c r="B41" s="562" t="str">
        <f>+VLOOKUP($A41,Master!$D$30:$G$226,4,FALSE)</f>
        <v>Ostali izdaci</v>
      </c>
      <c r="C41" s="563"/>
      <c r="D41" s="563"/>
      <c r="E41" s="563"/>
      <c r="F41" s="563"/>
      <c r="G41" s="153">
        <v>24777222.48</v>
      </c>
      <c r="H41" s="153">
        <v>25049575.370000001</v>
      </c>
      <c r="I41" s="437">
        <f t="shared" si="0"/>
        <v>-272352.890000001</v>
      </c>
      <c r="J41" s="519">
        <f t="shared" si="1"/>
        <v>-1.0872555162199499E-2</v>
      </c>
      <c r="K41" s="153">
        <v>21938694.789999999</v>
      </c>
      <c r="L41" s="437">
        <f t="shared" si="2"/>
        <v>2838527.69</v>
      </c>
      <c r="M41" s="438">
        <f t="shared" si="3"/>
        <v>0.12938452889612401</v>
      </c>
      <c r="N41" s="520">
        <v>4342483.6900000004</v>
      </c>
      <c r="O41" s="153">
        <v>2186482.9354613898</v>
      </c>
      <c r="P41" s="437">
        <f t="shared" si="4"/>
        <v>2156000.7545386101</v>
      </c>
      <c r="Q41" s="519">
        <f t="shared" si="5"/>
        <v>0.98605880684985103</v>
      </c>
      <c r="R41" s="153">
        <v>3716241.43</v>
      </c>
      <c r="S41" s="437">
        <f t="shared" si="6"/>
        <v>626242.26</v>
      </c>
      <c r="T41" s="439">
        <f t="shared" si="7"/>
        <v>0.168514955714274</v>
      </c>
    </row>
    <row r="42" spans="1:20">
      <c r="A42" s="145">
        <v>440</v>
      </c>
      <c r="B42" s="562" t="e">
        <f>+VLOOKUP($A42,Master!$D$30:$G$226,4,FALSE)</f>
        <v>#N/A</v>
      </c>
      <c r="C42" s="563"/>
      <c r="D42" s="563"/>
      <c r="E42" s="563"/>
      <c r="F42" s="563"/>
      <c r="G42" s="153">
        <v>64354418.880000003</v>
      </c>
      <c r="H42" s="153">
        <v>10502963.32</v>
      </c>
      <c r="I42" s="437">
        <f t="shared" si="0"/>
        <v>53851455.560000002</v>
      </c>
      <c r="J42" s="519">
        <f t="shared" si="1"/>
        <v>5.1272630322772601</v>
      </c>
      <c r="K42" s="153">
        <v>12212230.59</v>
      </c>
      <c r="L42" s="437">
        <f t="shared" si="2"/>
        <v>52142188.289999999</v>
      </c>
      <c r="M42" s="438">
        <f t="shared" si="3"/>
        <v>4.2696694846801098</v>
      </c>
      <c r="N42" s="520">
        <v>6732420.6900000004</v>
      </c>
      <c r="O42" s="153">
        <v>862330.27666666696</v>
      </c>
      <c r="P42" s="437">
        <f t="shared" si="4"/>
        <v>5870090.4133333303</v>
      </c>
      <c r="Q42" s="519">
        <f t="shared" si="5"/>
        <v>6.80724146208125</v>
      </c>
      <c r="R42" s="153">
        <v>4764124.82</v>
      </c>
      <c r="S42" s="437">
        <f t="shared" si="6"/>
        <v>1968295.87</v>
      </c>
      <c r="T42" s="439">
        <f t="shared" si="7"/>
        <v>0.41314951735458399</v>
      </c>
    </row>
    <row r="43" spans="1:20">
      <c r="A43" s="145">
        <v>42</v>
      </c>
      <c r="B43" s="576" t="str">
        <f>+VLOOKUP($A43,Master!$D$30:$G$226,4,FALSE)</f>
        <v>Transferi za socijalnu zaštitu</v>
      </c>
      <c r="C43" s="577"/>
      <c r="D43" s="577"/>
      <c r="E43" s="577"/>
      <c r="F43" s="577"/>
      <c r="G43" s="174">
        <v>492148010.12</v>
      </c>
      <c r="H43" s="174">
        <v>498223398.97000003</v>
      </c>
      <c r="I43" s="450">
        <f t="shared" si="0"/>
        <v>-6075388.8500000201</v>
      </c>
      <c r="J43" s="532">
        <f t="shared" si="1"/>
        <v>-1.21941058219264E-2</v>
      </c>
      <c r="K43" s="174">
        <v>482967420.48000002</v>
      </c>
      <c r="L43" s="450">
        <f t="shared" si="2"/>
        <v>9180589.6400000509</v>
      </c>
      <c r="M43" s="451">
        <f t="shared" si="3"/>
        <v>1.90087141506892E-2</v>
      </c>
      <c r="N43" s="533">
        <v>42841697.649999999</v>
      </c>
      <c r="O43" s="174">
        <v>41226949.914166696</v>
      </c>
      <c r="P43" s="450">
        <f t="shared" si="4"/>
        <v>1614747.7358333201</v>
      </c>
      <c r="Q43" s="532">
        <f t="shared" si="5"/>
        <v>3.91672859426948E-2</v>
      </c>
      <c r="R43" s="174">
        <v>43051593.350000001</v>
      </c>
      <c r="S43" s="450">
        <f t="shared" si="6"/>
        <v>-209895.70000000301</v>
      </c>
      <c r="T43" s="452">
        <f t="shared" si="7"/>
        <v>-4.8754455681487797E-3</v>
      </c>
    </row>
    <row r="44" spans="1:20">
      <c r="A44" s="145">
        <v>421</v>
      </c>
      <c r="B44" s="562" t="str">
        <f>+VLOOKUP($A44,Master!$D$30:$G$226,4,FALSE)</f>
        <v>Prava iz oblasti socijalne zaštite</v>
      </c>
      <c r="C44" s="563"/>
      <c r="D44" s="563"/>
      <c r="E44" s="563"/>
      <c r="F44" s="563"/>
      <c r="G44" s="153">
        <v>61864914.020000003</v>
      </c>
      <c r="H44" s="153">
        <v>58645000</v>
      </c>
      <c r="I44" s="437">
        <f t="shared" si="0"/>
        <v>3219914.02</v>
      </c>
      <c r="J44" s="519">
        <f t="shared" si="1"/>
        <v>5.4905175547787399E-2</v>
      </c>
      <c r="K44" s="153">
        <v>64036543.990000002</v>
      </c>
      <c r="L44" s="437">
        <f t="shared" si="2"/>
        <v>-2171629.97000001</v>
      </c>
      <c r="M44" s="438">
        <f t="shared" si="3"/>
        <v>-3.3912354332225197E-2</v>
      </c>
      <c r="N44" s="520">
        <v>5256058.13</v>
      </c>
      <c r="O44" s="153">
        <v>4887083.3333333302</v>
      </c>
      <c r="P44" s="437">
        <f t="shared" si="4"/>
        <v>368974.79666666698</v>
      </c>
      <c r="Q44" s="519">
        <f t="shared" si="5"/>
        <v>7.5500001023105306E-2</v>
      </c>
      <c r="R44" s="153">
        <v>5578422.5700000003</v>
      </c>
      <c r="S44" s="437">
        <f t="shared" si="6"/>
        <v>-322364.43999999901</v>
      </c>
      <c r="T44" s="439">
        <f t="shared" si="7"/>
        <v>-5.7787741239545297E-2</v>
      </c>
    </row>
    <row r="45" spans="1:20">
      <c r="A45" s="145">
        <v>422</v>
      </c>
      <c r="B45" s="562" t="str">
        <f>+VLOOKUP($A45,Master!$D$30:$G$226,4,FALSE)</f>
        <v>Sredstva za tehnološke viškove</v>
      </c>
      <c r="C45" s="563"/>
      <c r="D45" s="563"/>
      <c r="E45" s="563"/>
      <c r="F45" s="563"/>
      <c r="G45" s="153">
        <v>22587777.399999999</v>
      </c>
      <c r="H45" s="153">
        <v>20758124</v>
      </c>
      <c r="I45" s="437">
        <f t="shared" si="0"/>
        <v>1829653.3999999899</v>
      </c>
      <c r="J45" s="519">
        <f t="shared" si="1"/>
        <v>8.8141558456823699E-2</v>
      </c>
      <c r="K45" s="153">
        <v>13086355.52</v>
      </c>
      <c r="L45" s="437">
        <f t="shared" si="2"/>
        <v>9501421.8799999896</v>
      </c>
      <c r="M45" s="438">
        <f t="shared" si="3"/>
        <v>0.726055613075686</v>
      </c>
      <c r="N45" s="520">
        <v>3352388.24</v>
      </c>
      <c r="O45" s="153">
        <v>1438177</v>
      </c>
      <c r="P45" s="437">
        <f t="shared" si="4"/>
        <v>1914211.24</v>
      </c>
      <c r="Q45" s="519">
        <f t="shared" si="5"/>
        <v>1.3309983680729101</v>
      </c>
      <c r="R45" s="153">
        <v>1939799.67</v>
      </c>
      <c r="S45" s="437">
        <f t="shared" si="6"/>
        <v>1412588.57</v>
      </c>
      <c r="T45" s="439">
        <f t="shared" si="7"/>
        <v>0.72821363558639995</v>
      </c>
    </row>
    <row r="46" spans="1:20">
      <c r="A46" s="145">
        <v>423</v>
      </c>
      <c r="B46" s="562" t="str">
        <f>+VLOOKUP($A46,Master!$D$30:$G$226,4,FALSE)</f>
        <v>Prava iz oblasti penzijskog i invalidskog osiguranja</v>
      </c>
      <c r="C46" s="563"/>
      <c r="D46" s="563"/>
      <c r="E46" s="563"/>
      <c r="F46" s="563"/>
      <c r="G46" s="153">
        <v>384390842.85000002</v>
      </c>
      <c r="H46" s="153">
        <v>397320274.97000003</v>
      </c>
      <c r="I46" s="437">
        <f t="shared" si="0"/>
        <v>-12929432.119999999</v>
      </c>
      <c r="J46" s="519">
        <f t="shared" si="1"/>
        <v>-3.2541586560052203E-2</v>
      </c>
      <c r="K46" s="153">
        <v>383189899.51999998</v>
      </c>
      <c r="L46" s="437">
        <f t="shared" si="2"/>
        <v>1200943.3299999801</v>
      </c>
      <c r="M46" s="438">
        <f t="shared" si="3"/>
        <v>3.1340683340148599E-3</v>
      </c>
      <c r="N46" s="520">
        <v>32063162.379999999</v>
      </c>
      <c r="O46" s="153">
        <v>33110022.9141667</v>
      </c>
      <c r="P46" s="437">
        <f t="shared" si="4"/>
        <v>-1046860.53416668</v>
      </c>
      <c r="Q46" s="519">
        <f t="shared" si="5"/>
        <v>-3.1617632427513601E-2</v>
      </c>
      <c r="R46" s="153">
        <v>32148029.949999999</v>
      </c>
      <c r="S46" s="437">
        <f t="shared" si="6"/>
        <v>-84867.570000003994</v>
      </c>
      <c r="T46" s="439">
        <f t="shared" si="7"/>
        <v>-2.6398995562714198E-3</v>
      </c>
    </row>
    <row r="47" spans="1:20">
      <c r="A47" s="145">
        <v>424</v>
      </c>
      <c r="B47" s="562" t="str">
        <f>+VLOOKUP($A47,Master!$D$30:$G$226,4,FALSE)</f>
        <v>Ostala prava iz oblasti zdravstvene zaštite</v>
      </c>
      <c r="C47" s="563"/>
      <c r="D47" s="563"/>
      <c r="E47" s="563"/>
      <c r="F47" s="563"/>
      <c r="G47" s="153">
        <v>15215135.74</v>
      </c>
      <c r="H47" s="153">
        <v>14500000</v>
      </c>
      <c r="I47" s="437">
        <f t="shared" si="0"/>
        <v>715135.74</v>
      </c>
      <c r="J47" s="519">
        <f t="shared" si="1"/>
        <v>4.9319706206896602E-2</v>
      </c>
      <c r="K47" s="153">
        <v>14792096.09</v>
      </c>
      <c r="L47" s="437">
        <f t="shared" si="2"/>
        <v>423039.65</v>
      </c>
      <c r="M47" s="438">
        <f t="shared" si="3"/>
        <v>2.85990333909465E-2</v>
      </c>
      <c r="N47" s="520">
        <v>1426429.06</v>
      </c>
      <c r="O47" s="153">
        <v>1208333.33333333</v>
      </c>
      <c r="P47" s="437">
        <f t="shared" si="4"/>
        <v>218095.726666667</v>
      </c>
      <c r="Q47" s="519">
        <f t="shared" si="5"/>
        <v>0.18049301517241401</v>
      </c>
      <c r="R47" s="153">
        <v>2021633.85</v>
      </c>
      <c r="S47" s="437">
        <f t="shared" si="6"/>
        <v>-595204.78999999806</v>
      </c>
      <c r="T47" s="439">
        <f t="shared" si="7"/>
        <v>-0.29441770081164698</v>
      </c>
    </row>
    <row r="48" spans="1:20">
      <c r="A48" s="145">
        <v>425</v>
      </c>
      <c r="B48" s="562" t="str">
        <f>+VLOOKUP($A48,Master!$D$30:$G$226,4,FALSE)</f>
        <v>Ostala prava iz zdravstvenog osiguranja</v>
      </c>
      <c r="C48" s="563"/>
      <c r="D48" s="563"/>
      <c r="E48" s="563"/>
      <c r="F48" s="563"/>
      <c r="G48" s="153">
        <v>8089340.1100000003</v>
      </c>
      <c r="H48" s="153">
        <v>7000000</v>
      </c>
      <c r="I48" s="437">
        <f t="shared" si="0"/>
        <v>1089340.1100000001</v>
      </c>
      <c r="J48" s="519">
        <f t="shared" si="1"/>
        <v>0.15562001571428599</v>
      </c>
      <c r="K48" s="153">
        <v>7862525.3600000003</v>
      </c>
      <c r="L48" s="437">
        <f t="shared" si="2"/>
        <v>226814.75000000099</v>
      </c>
      <c r="M48" s="438">
        <f t="shared" si="3"/>
        <v>2.8847569911049802E-2</v>
      </c>
      <c r="N48" s="520">
        <v>743659.84</v>
      </c>
      <c r="O48" s="153">
        <v>583333.33333333302</v>
      </c>
      <c r="P48" s="437">
        <f t="shared" si="4"/>
        <v>160326.506666667</v>
      </c>
      <c r="Q48" s="519">
        <f t="shared" si="5"/>
        <v>0.27484544</v>
      </c>
      <c r="R48" s="153">
        <v>1363707.31</v>
      </c>
      <c r="S48" s="437">
        <f t="shared" si="6"/>
        <v>-620047.47</v>
      </c>
      <c r="T48" s="439">
        <f t="shared" si="7"/>
        <v>-0.45467782232537901</v>
      </c>
    </row>
    <row r="49" spans="1:20">
      <c r="A49" s="145">
        <v>43</v>
      </c>
      <c r="B49" s="580" t="str">
        <f>+VLOOKUP($A49,Master!$D$30:$G$226,4,FALSE)</f>
        <v>Transferi institucijama, pojedincima, nevladinom i javnom sektoru</v>
      </c>
      <c r="C49" s="581"/>
      <c r="D49" s="581"/>
      <c r="E49" s="581"/>
      <c r="F49" s="581"/>
      <c r="G49" s="159">
        <v>99049746.079999998</v>
      </c>
      <c r="H49" s="159">
        <v>101040047.62</v>
      </c>
      <c r="I49" s="443">
        <f t="shared" si="0"/>
        <v>-1990301.53999999</v>
      </c>
      <c r="J49" s="523">
        <f t="shared" si="1"/>
        <v>-1.96981453085344E-2</v>
      </c>
      <c r="K49" s="159">
        <v>94307026.209999993</v>
      </c>
      <c r="L49" s="443">
        <f t="shared" si="2"/>
        <v>4742719.8699999703</v>
      </c>
      <c r="M49" s="444">
        <f t="shared" si="3"/>
        <v>5.0290207003654601E-2</v>
      </c>
      <c r="N49" s="524">
        <v>11500398.33</v>
      </c>
      <c r="O49" s="159">
        <v>8287650.9751821198</v>
      </c>
      <c r="P49" s="443">
        <f t="shared" si="4"/>
        <v>3212747.3548178799</v>
      </c>
      <c r="Q49" s="523">
        <f t="shared" si="5"/>
        <v>0.38765476061173998</v>
      </c>
      <c r="R49" s="159">
        <v>17851748.629999999</v>
      </c>
      <c r="S49" s="443">
        <f t="shared" si="6"/>
        <v>-6351350.2999999998</v>
      </c>
      <c r="T49" s="445">
        <f t="shared" si="7"/>
        <v>-0.35578309058903701</v>
      </c>
    </row>
    <row r="50" spans="1:20">
      <c r="A50" s="145">
        <v>44</v>
      </c>
      <c r="B50" s="580" t="str">
        <f>+VLOOKUP($A50,Master!$D$30:$G$226,4,FALSE)</f>
        <v>Kapitalni izdaci</v>
      </c>
      <c r="C50" s="581"/>
      <c r="D50" s="581"/>
      <c r="E50" s="581"/>
      <c r="F50" s="581"/>
      <c r="G50" s="159">
        <v>75152374.329999998</v>
      </c>
      <c r="H50" s="159">
        <v>101820500</v>
      </c>
      <c r="I50" s="443">
        <f t="shared" si="0"/>
        <v>-26668125.670000002</v>
      </c>
      <c r="J50" s="523">
        <f t="shared" si="1"/>
        <v>-0.26191312820109902</v>
      </c>
      <c r="K50" s="159">
        <v>77219227.430000007</v>
      </c>
      <c r="L50" s="443">
        <f t="shared" si="2"/>
        <v>-2066853.0999999901</v>
      </c>
      <c r="M50" s="444">
        <f t="shared" si="3"/>
        <v>-2.6766042199445901E-2</v>
      </c>
      <c r="N50" s="524">
        <v>17985062.27</v>
      </c>
      <c r="O50" s="159">
        <v>7522541.6666666698</v>
      </c>
      <c r="P50" s="443">
        <f t="shared" si="4"/>
        <v>10462520.603333401</v>
      </c>
      <c r="Q50" s="523">
        <f t="shared" si="5"/>
        <v>1.3908225526611699</v>
      </c>
      <c r="R50" s="159">
        <v>18659152.394166701</v>
      </c>
      <c r="S50" s="443">
        <f t="shared" si="6"/>
        <v>-674090.12416666397</v>
      </c>
      <c r="T50" s="445">
        <f t="shared" si="7"/>
        <v>-3.6126513676869899E-2</v>
      </c>
    </row>
    <row r="51" spans="1:20">
      <c r="A51" s="145">
        <v>451</v>
      </c>
      <c r="B51" s="582" t="str">
        <f>+VLOOKUP($A51,Master!$D$30:$G$226,4,FALSE)</f>
        <v>Pozajmice i krediti</v>
      </c>
      <c r="C51" s="583"/>
      <c r="D51" s="583"/>
      <c r="E51" s="583"/>
      <c r="F51" s="583"/>
      <c r="G51" s="153">
        <v>2484899.77</v>
      </c>
      <c r="H51" s="153">
        <v>2140000</v>
      </c>
      <c r="I51" s="437">
        <f t="shared" si="0"/>
        <v>344899.77</v>
      </c>
      <c r="J51" s="519">
        <f t="shared" si="1"/>
        <v>0.16116811682243001</v>
      </c>
      <c r="K51" s="153">
        <v>2752781.98</v>
      </c>
      <c r="L51" s="437">
        <f t="shared" si="2"/>
        <v>-267882.21000000002</v>
      </c>
      <c r="M51" s="438">
        <f t="shared" si="3"/>
        <v>-9.7313267794640404E-2</v>
      </c>
      <c r="N51" s="520">
        <v>599222.65</v>
      </c>
      <c r="O51" s="153">
        <v>178333.33333333299</v>
      </c>
      <c r="P51" s="437">
        <f t="shared" si="4"/>
        <v>420889.316666667</v>
      </c>
      <c r="Q51" s="519">
        <f t="shared" si="5"/>
        <v>2.3601270093457898</v>
      </c>
      <c r="R51" s="153">
        <v>828836.4</v>
      </c>
      <c r="S51" s="437">
        <f t="shared" si="6"/>
        <v>-229613.75</v>
      </c>
      <c r="T51" s="439">
        <f t="shared" si="7"/>
        <v>-0.27703145035618598</v>
      </c>
    </row>
    <row r="52" spans="1:20">
      <c r="A52" s="145">
        <v>47</v>
      </c>
      <c r="B52" s="582" t="str">
        <f>+VLOOKUP($A52,Master!$D$30:$G$226,4,FALSE)</f>
        <v>Rezerve</v>
      </c>
      <c r="C52" s="583"/>
      <c r="D52" s="583"/>
      <c r="E52" s="583"/>
      <c r="F52" s="583"/>
      <c r="G52" s="153">
        <v>13532542.720000001</v>
      </c>
      <c r="H52" s="153">
        <v>8854649.7699999996</v>
      </c>
      <c r="I52" s="437">
        <f t="shared" si="0"/>
        <v>4677892.95</v>
      </c>
      <c r="J52" s="519">
        <f t="shared" si="1"/>
        <v>0.52829790804927601</v>
      </c>
      <c r="K52" s="153">
        <v>14126844.789999999</v>
      </c>
      <c r="L52" s="437">
        <f t="shared" si="2"/>
        <v>-594302.06999999995</v>
      </c>
      <c r="M52" s="438">
        <f t="shared" si="3"/>
        <v>-4.2068988428377897E-2</v>
      </c>
      <c r="N52" s="520">
        <v>2586424.5499999998</v>
      </c>
      <c r="O52" s="153">
        <v>737887.48083333299</v>
      </c>
      <c r="P52" s="437">
        <f t="shared" si="4"/>
        <v>1848537.0691666701</v>
      </c>
      <c r="Q52" s="519">
        <f t="shared" si="5"/>
        <v>2.5051747281022001</v>
      </c>
      <c r="R52" s="153">
        <v>1306027.21</v>
      </c>
      <c r="S52" s="437">
        <f t="shared" si="6"/>
        <v>1280397.3400000001</v>
      </c>
      <c r="T52" s="439">
        <f t="shared" si="7"/>
        <v>0.98037569982940798</v>
      </c>
    </row>
    <row r="53" spans="1:20">
      <c r="A53" s="145">
        <v>462</v>
      </c>
      <c r="B53" s="578" t="str">
        <f>+VLOOKUP($A53,Master!$D$30:$G$226,4,FALSE)</f>
        <v>Otplata garancija</v>
      </c>
      <c r="C53" s="579"/>
      <c r="D53" s="579"/>
      <c r="E53" s="579"/>
      <c r="F53" s="579"/>
      <c r="G53" s="180">
        <v>15258930.949999999</v>
      </c>
      <c r="H53" s="180">
        <v>0</v>
      </c>
      <c r="I53" s="534">
        <f t="shared" si="0"/>
        <v>15258930.949999999</v>
      </c>
      <c r="J53" s="535" t="str">
        <f t="shared" si="1"/>
        <v>…</v>
      </c>
      <c r="K53" s="180">
        <v>107230592.5</v>
      </c>
      <c r="L53" s="534">
        <f t="shared" si="2"/>
        <v>-91971661.549999997</v>
      </c>
      <c r="M53" s="536">
        <f t="shared" si="3"/>
        <v>-0.857699835520353</v>
      </c>
      <c r="N53" s="537">
        <v>0</v>
      </c>
      <c r="O53" s="180">
        <v>0</v>
      </c>
      <c r="P53" s="534">
        <f t="shared" si="4"/>
        <v>0</v>
      </c>
      <c r="Q53" s="535" t="str">
        <f t="shared" si="5"/>
        <v>…</v>
      </c>
      <c r="R53" s="180">
        <v>575548.03</v>
      </c>
      <c r="S53" s="534">
        <f t="shared" si="6"/>
        <v>-575548.03</v>
      </c>
      <c r="T53" s="538">
        <f t="shared" si="7"/>
        <v>-1</v>
      </c>
    </row>
    <row r="54" spans="1:20">
      <c r="A54" s="136">
        <v>4630</v>
      </c>
      <c r="B54" s="578" t="str">
        <f>+VLOOKUP($A54,Master!$D$30:$G$226,4,FALSE)</f>
        <v>Otplata obaveza iz prethodnog perioda</v>
      </c>
      <c r="C54" s="579"/>
      <c r="D54" s="579"/>
      <c r="E54" s="579"/>
      <c r="F54" s="579"/>
      <c r="G54" s="180">
        <v>65272880.159999996</v>
      </c>
      <c r="H54" s="180">
        <v>0</v>
      </c>
      <c r="I54" s="534">
        <f t="shared" si="0"/>
        <v>65272880.159999996</v>
      </c>
      <c r="J54" s="535" t="str">
        <f t="shared" si="1"/>
        <v>…</v>
      </c>
      <c r="K54" s="180">
        <v>60543190.100000001</v>
      </c>
      <c r="L54" s="534">
        <f t="shared" si="2"/>
        <v>4729690.0599999903</v>
      </c>
      <c r="M54" s="536">
        <f t="shared" si="3"/>
        <v>7.8120925775267303E-2</v>
      </c>
      <c r="N54" s="537">
        <v>18916387.73</v>
      </c>
      <c r="O54" s="180">
        <v>0</v>
      </c>
      <c r="P54" s="534">
        <f t="shared" si="4"/>
        <v>18916387.73</v>
      </c>
      <c r="Q54" s="535" t="str">
        <f>+IF(ISNUMBER(N54/O54-O592),N54/O54-1,"…")</f>
        <v>…</v>
      </c>
      <c r="R54" s="180">
        <v>7480893.1500000004</v>
      </c>
      <c r="S54" s="534">
        <f t="shared" si="6"/>
        <v>11435494.58</v>
      </c>
      <c r="T54" s="538">
        <f t="shared" si="7"/>
        <v>1.52862691001007</v>
      </c>
    </row>
    <row r="55" spans="1:20">
      <c r="A55" s="136">
        <v>1005</v>
      </c>
      <c r="B55" s="578" t="str">
        <f>+VLOOKUP($A55,Master!$D$30:$G$228,4,FALSE)</f>
        <v>Neto povećanje obaveza</v>
      </c>
      <c r="C55" s="579"/>
      <c r="D55" s="579"/>
      <c r="E55" s="579"/>
      <c r="F55" s="579"/>
      <c r="G55" s="180">
        <v>0</v>
      </c>
      <c r="H55" s="180">
        <v>0</v>
      </c>
      <c r="I55" s="534">
        <f t="shared" si="0"/>
        <v>0</v>
      </c>
      <c r="J55" s="535" t="str">
        <f t="shared" si="1"/>
        <v>…</v>
      </c>
      <c r="K55" s="180">
        <v>14438105.227299999</v>
      </c>
      <c r="L55" s="534">
        <f t="shared" si="2"/>
        <v>-14438105.227299999</v>
      </c>
      <c r="M55" s="536">
        <f t="shared" si="3"/>
        <v>-1</v>
      </c>
      <c r="N55" s="537">
        <v>0</v>
      </c>
      <c r="O55" s="180">
        <v>0</v>
      </c>
      <c r="P55" s="534">
        <f t="shared" si="4"/>
        <v>0</v>
      </c>
      <c r="Q55" s="535" t="str">
        <f>+IF(ISNUMBER(N55/O55-O593),N55/O55-1,"…")</f>
        <v>…</v>
      </c>
      <c r="R55" s="180">
        <v>14438105.227299999</v>
      </c>
      <c r="S55" s="534">
        <f t="shared" si="6"/>
        <v>-14438105.227299999</v>
      </c>
      <c r="T55" s="538">
        <f t="shared" si="7"/>
        <v>-1</v>
      </c>
    </row>
    <row r="56" spans="1:20">
      <c r="A56" s="136">
        <v>1000</v>
      </c>
      <c r="B56" s="596" t="str">
        <f>+VLOOKUP($A56,Master!$D$30:$G$226,4,FALSE)</f>
        <v>Suficit / deficit</v>
      </c>
      <c r="C56" s="597"/>
      <c r="D56" s="597"/>
      <c r="E56" s="597"/>
      <c r="F56" s="597"/>
      <c r="G56" s="146">
        <v>-102571416.25</v>
      </c>
      <c r="H56" s="146">
        <v>-61509737.965015799</v>
      </c>
      <c r="I56" s="428">
        <f t="shared" si="0"/>
        <v>-41061678.284984201</v>
      </c>
      <c r="J56" s="515">
        <f t="shared" si="1"/>
        <v>0.66756386295025905</v>
      </c>
      <c r="K56" s="146">
        <v>-215791311.38730001</v>
      </c>
      <c r="L56" s="428">
        <f t="shared" si="2"/>
        <v>113219895.1373</v>
      </c>
      <c r="M56" s="429">
        <f t="shared" si="3"/>
        <v>-0.52467309461822598</v>
      </c>
      <c r="N56" s="516">
        <v>-18669590.289999899</v>
      </c>
      <c r="O56" s="146">
        <v>34982925.121417202</v>
      </c>
      <c r="P56" s="428">
        <f t="shared" si="4"/>
        <v>-53652515.411417097</v>
      </c>
      <c r="Q56" s="515">
        <f t="shared" si="5"/>
        <v>-1.5336772218218599</v>
      </c>
      <c r="R56" s="146">
        <v>-29741466.9414667</v>
      </c>
      <c r="S56" s="428">
        <f t="shared" si="6"/>
        <v>11071876.6514668</v>
      </c>
      <c r="T56" s="430">
        <f t="shared" si="7"/>
        <v>-0.37227069778558702</v>
      </c>
    </row>
    <row r="57" spans="1:20">
      <c r="A57" s="136">
        <v>1001</v>
      </c>
      <c r="B57" s="598" t="str">
        <f>+VLOOKUP($A57,Master!$D$30:$G$226,4,FALSE)</f>
        <v>Primarni suficit/deficit</v>
      </c>
      <c r="C57" s="599"/>
      <c r="D57" s="599"/>
      <c r="E57" s="599"/>
      <c r="F57" s="599"/>
      <c r="G57" s="190">
        <v>-27589445.309999999</v>
      </c>
      <c r="H57" s="190">
        <v>11767452.737170599</v>
      </c>
      <c r="I57" s="471">
        <f t="shared" si="0"/>
        <v>-39356898.047170602</v>
      </c>
      <c r="J57" s="539">
        <f t="shared" si="1"/>
        <v>-3.3445554383109202</v>
      </c>
      <c r="K57" s="190">
        <v>-147868535.84729999</v>
      </c>
      <c r="L57" s="471">
        <f t="shared" si="2"/>
        <v>120279090.53730001</v>
      </c>
      <c r="M57" s="472">
        <f t="shared" si="3"/>
        <v>-0.81341909452264405</v>
      </c>
      <c r="N57" s="540">
        <v>-12993472.749999899</v>
      </c>
      <c r="O57" s="190">
        <v>41280038.632250503</v>
      </c>
      <c r="P57" s="471">
        <f t="shared" si="4"/>
        <v>-54273511.382250398</v>
      </c>
      <c r="Q57" s="539">
        <f t="shared" si="5"/>
        <v>-1.3147640646791601</v>
      </c>
      <c r="R57" s="190">
        <v>-24129600.8014667</v>
      </c>
      <c r="S57" s="471">
        <f t="shared" si="6"/>
        <v>11136128.0514668</v>
      </c>
      <c r="T57" s="473">
        <f t="shared" si="7"/>
        <v>-0.46151314906087798</v>
      </c>
    </row>
    <row r="58" spans="1:20">
      <c r="A58" s="136">
        <v>46</v>
      </c>
      <c r="B58" s="576" t="str">
        <f>+VLOOKUP($A58,Master!$D$30:$G$226,4,FALSE)</f>
        <v>Otplata dugova</v>
      </c>
      <c r="C58" s="577"/>
      <c r="D58" s="577"/>
      <c r="E58" s="577"/>
      <c r="F58" s="577"/>
      <c r="G58" s="174">
        <v>209750952.28</v>
      </c>
      <c r="H58" s="174">
        <v>171426905.49000001</v>
      </c>
      <c r="I58" s="450">
        <f t="shared" si="0"/>
        <v>38324046.789999999</v>
      </c>
      <c r="J58" s="532">
        <f t="shared" si="1"/>
        <v>0.223559112150196</v>
      </c>
      <c r="K58" s="174">
        <v>174025451.75</v>
      </c>
      <c r="L58" s="450">
        <f t="shared" si="2"/>
        <v>35725500.530000001</v>
      </c>
      <c r="M58" s="451">
        <f t="shared" si="3"/>
        <v>0.205288940041496</v>
      </c>
      <c r="N58" s="533">
        <v>31216208.469999999</v>
      </c>
      <c r="O58" s="174">
        <v>14285575.4575</v>
      </c>
      <c r="P58" s="450">
        <f t="shared" si="4"/>
        <v>16930633.012499999</v>
      </c>
      <c r="Q58" s="532">
        <f t="shared" si="5"/>
        <v>1.1851558281897101</v>
      </c>
      <c r="R58" s="174">
        <v>64186408.939999998</v>
      </c>
      <c r="S58" s="450">
        <f t="shared" si="6"/>
        <v>-32970200.469999999</v>
      </c>
      <c r="T58" s="452">
        <f t="shared" si="7"/>
        <v>-0.51366326632823101</v>
      </c>
    </row>
    <row r="59" spans="1:20">
      <c r="A59" s="136">
        <v>4611</v>
      </c>
      <c r="B59" s="594" t="str">
        <f>+VLOOKUP($A59,Master!$D$30:$G$226,4,FALSE)</f>
        <v>Otplata hartija od vrijednosti i kredita rezidentima</v>
      </c>
      <c r="C59" s="595"/>
      <c r="D59" s="595"/>
      <c r="E59" s="595"/>
      <c r="F59" s="595"/>
      <c r="G59" s="176">
        <v>99756836.799999997</v>
      </c>
      <c r="H59" s="176">
        <v>30008345.27</v>
      </c>
      <c r="I59" s="478">
        <f t="shared" si="0"/>
        <v>69748491.530000001</v>
      </c>
      <c r="J59" s="541">
        <f t="shared" si="1"/>
        <v>2.32430315308752</v>
      </c>
      <c r="K59" s="176">
        <v>107621020.42</v>
      </c>
      <c r="L59" s="478">
        <f t="shared" si="2"/>
        <v>-7864183.6200000001</v>
      </c>
      <c r="M59" s="479">
        <f t="shared" si="3"/>
        <v>-7.3072933050712399E-2</v>
      </c>
      <c r="N59" s="542">
        <v>9805053.8499999996</v>
      </c>
      <c r="O59" s="176">
        <v>2500695.4391666702</v>
      </c>
      <c r="P59" s="478">
        <f t="shared" si="4"/>
        <v>7304358.4108333299</v>
      </c>
      <c r="Q59" s="541">
        <f t="shared" si="5"/>
        <v>2.92093083245173</v>
      </c>
      <c r="R59" s="176">
        <v>48820983.07</v>
      </c>
      <c r="S59" s="478">
        <f t="shared" si="6"/>
        <v>-39015929.219999999</v>
      </c>
      <c r="T59" s="480">
        <f t="shared" si="7"/>
        <v>-0.79916312139922696</v>
      </c>
    </row>
    <row r="60" spans="1:20">
      <c r="A60" s="136">
        <v>4612</v>
      </c>
      <c r="B60" s="582" t="str">
        <f>+VLOOKUP($A60,Master!$D$30:$G$226,4,FALSE)</f>
        <v>Otplata hartija od vrijednosti i kredita nerezidentima</v>
      </c>
      <c r="C60" s="583"/>
      <c r="D60" s="583"/>
      <c r="E60" s="583"/>
      <c r="F60" s="583"/>
      <c r="G60" s="176">
        <v>109994115.48</v>
      </c>
      <c r="H60" s="176">
        <v>108080400.25</v>
      </c>
      <c r="I60" s="478">
        <f t="shared" si="0"/>
        <v>1913715.23000003</v>
      </c>
      <c r="J60" s="541">
        <f t="shared" si="1"/>
        <v>1.7706403987896201E-2</v>
      </c>
      <c r="K60" s="176">
        <v>66404431.329999998</v>
      </c>
      <c r="L60" s="478">
        <f t="shared" si="2"/>
        <v>43589684.149999999</v>
      </c>
      <c r="M60" s="479">
        <f t="shared" si="3"/>
        <v>0.656427338913257</v>
      </c>
      <c r="N60" s="542">
        <v>21411154.620000001</v>
      </c>
      <c r="O60" s="176">
        <v>9006700.0208333302</v>
      </c>
      <c r="P60" s="478">
        <f t="shared" si="4"/>
        <v>12404454.599166701</v>
      </c>
      <c r="Q60" s="541">
        <f t="shared" si="5"/>
        <v>1.37724744584298</v>
      </c>
      <c r="R60" s="176">
        <v>15365425.869999999</v>
      </c>
      <c r="S60" s="478">
        <f t="shared" si="6"/>
        <v>6045728.75</v>
      </c>
      <c r="T60" s="480">
        <f t="shared" si="7"/>
        <v>0.39346314258714399</v>
      </c>
    </row>
    <row r="61" spans="1:20">
      <c r="A61" s="136" t="s">
        <v>4</v>
      </c>
      <c r="B61" s="177" t="str">
        <f>+B54</f>
        <v>Otplata obaveza iz prethodnog perioda</v>
      </c>
      <c r="C61" s="178"/>
      <c r="D61" s="178"/>
      <c r="E61" s="178"/>
      <c r="F61" s="178"/>
      <c r="G61" s="176"/>
      <c r="H61" s="176">
        <v>33338159.969999999</v>
      </c>
      <c r="I61" s="478">
        <f t="shared" si="0"/>
        <v>-33338159.969999999</v>
      </c>
      <c r="J61" s="541">
        <f t="shared" si="1"/>
        <v>-1</v>
      </c>
      <c r="K61" s="176"/>
      <c r="L61" s="478">
        <f t="shared" si="2"/>
        <v>0</v>
      </c>
      <c r="M61" s="479" t="str">
        <f t="shared" si="3"/>
        <v>…</v>
      </c>
      <c r="N61" s="542"/>
      <c r="O61" s="176">
        <v>2778179.9975000001</v>
      </c>
      <c r="P61" s="478"/>
      <c r="Q61" s="541"/>
      <c r="R61" s="176"/>
      <c r="S61" s="478"/>
      <c r="T61" s="480"/>
    </row>
    <row r="62" spans="1:20">
      <c r="A62" s="136">
        <v>1002</v>
      </c>
      <c r="B62" s="592" t="str">
        <f>+VLOOKUP($A62,Master!$D$30:$G$226,4,FALSE)</f>
        <v>Nedostajuća sredstva</v>
      </c>
      <c r="C62" s="593"/>
      <c r="D62" s="593"/>
      <c r="E62" s="593"/>
      <c r="F62" s="593"/>
      <c r="G62" s="197">
        <v>-312322368.52999997</v>
      </c>
      <c r="H62" s="197">
        <v>-232936643.45501599</v>
      </c>
      <c r="I62" s="543">
        <f t="shared" si="0"/>
        <v>-79385725.074984193</v>
      </c>
      <c r="J62" s="544">
        <f t="shared" si="1"/>
        <v>0.340803936630584</v>
      </c>
      <c r="K62" s="197">
        <v>-389816763.13730001</v>
      </c>
      <c r="L62" s="543">
        <f t="shared" si="2"/>
        <v>77494394.607299894</v>
      </c>
      <c r="M62" s="545">
        <f t="shared" si="3"/>
        <v>-0.198796978312616</v>
      </c>
      <c r="N62" s="546">
        <v>-49885798.759999901</v>
      </c>
      <c r="O62" s="197">
        <v>20697349.663917199</v>
      </c>
      <c r="P62" s="543">
        <f t="shared" si="4"/>
        <v>-70583148.4239171</v>
      </c>
      <c r="Q62" s="544">
        <f t="shared" si="5"/>
        <v>-3.4102505668621199</v>
      </c>
      <c r="R62" s="197">
        <v>-93927875.881466702</v>
      </c>
      <c r="S62" s="543">
        <f t="shared" si="6"/>
        <v>44042077.121466801</v>
      </c>
      <c r="T62" s="547">
        <f t="shared" si="7"/>
        <v>-0.46889250617192901</v>
      </c>
    </row>
    <row r="63" spans="1:20">
      <c r="A63" s="136">
        <v>1003</v>
      </c>
      <c r="B63" s="570" t="str">
        <f>+VLOOKUP($A63,Master!$D$30:$G$226,4,FALSE)</f>
        <v>Finansiranje</v>
      </c>
      <c r="C63" s="571"/>
      <c r="D63" s="571"/>
      <c r="E63" s="571"/>
      <c r="F63" s="571"/>
      <c r="G63" s="146">
        <v>312322368.52999997</v>
      </c>
      <c r="H63" s="146">
        <v>232936643.45501599</v>
      </c>
      <c r="I63" s="428">
        <f t="shared" si="0"/>
        <v>79385725.074984193</v>
      </c>
      <c r="J63" s="515">
        <f t="shared" si="1"/>
        <v>0.340803936630584</v>
      </c>
      <c r="K63" s="146">
        <v>389816763.13730001</v>
      </c>
      <c r="L63" s="428">
        <f t="shared" si="2"/>
        <v>-77494394.607299894</v>
      </c>
      <c r="M63" s="429">
        <f t="shared" si="3"/>
        <v>-0.198796978312616</v>
      </c>
      <c r="N63" s="516">
        <v>49885798.759999901</v>
      </c>
      <c r="O63" s="146">
        <v>-20697349.663917199</v>
      </c>
      <c r="P63" s="428">
        <f t="shared" si="4"/>
        <v>70583148.4239171</v>
      </c>
      <c r="Q63" s="515">
        <f t="shared" si="5"/>
        <v>-3.4102505668621199</v>
      </c>
      <c r="R63" s="146">
        <v>93927875.881466702</v>
      </c>
      <c r="S63" s="428">
        <f t="shared" si="6"/>
        <v>-44042077.121466801</v>
      </c>
      <c r="T63" s="430">
        <f t="shared" si="7"/>
        <v>-0.46889250617192901</v>
      </c>
    </row>
    <row r="64" spans="1:20">
      <c r="A64" s="136">
        <v>7511</v>
      </c>
      <c r="B64" s="594" t="str">
        <f>+VLOOKUP($A64,Master!$D$30:$G$226,4,FALSE)</f>
        <v>Pozajmice i krediti od domaćih izvora</v>
      </c>
      <c r="C64" s="595"/>
      <c r="D64" s="595"/>
      <c r="E64" s="595"/>
      <c r="F64" s="595"/>
      <c r="G64" s="176">
        <v>104410759.67</v>
      </c>
      <c r="H64" s="176">
        <v>0</v>
      </c>
      <c r="I64" s="478">
        <f t="shared" si="0"/>
        <v>104410759.67</v>
      </c>
      <c r="J64" s="541" t="str">
        <f t="shared" si="1"/>
        <v>…</v>
      </c>
      <c r="K64" s="176">
        <v>145350142</v>
      </c>
      <c r="L64" s="478">
        <f t="shared" si="2"/>
        <v>-40939382.329999998</v>
      </c>
      <c r="M64" s="479">
        <f t="shared" si="3"/>
        <v>-0.28166042197605801</v>
      </c>
      <c r="N64" s="542">
        <v>6000000</v>
      </c>
      <c r="O64" s="176">
        <v>0</v>
      </c>
      <c r="P64" s="478">
        <f t="shared" si="4"/>
        <v>6000000</v>
      </c>
      <c r="Q64" s="541" t="str">
        <f t="shared" si="5"/>
        <v>…</v>
      </c>
      <c r="R64" s="176">
        <v>20000000</v>
      </c>
      <c r="S64" s="478">
        <f t="shared" si="6"/>
        <v>-14000000</v>
      </c>
      <c r="T64" s="480">
        <f t="shared" si="7"/>
        <v>-0.7</v>
      </c>
    </row>
    <row r="65" spans="1:20">
      <c r="A65" s="136">
        <v>7512</v>
      </c>
      <c r="B65" s="582" t="str">
        <f>+VLOOKUP($A65,Master!$D$30:$G$226,4,FALSE)</f>
        <v>Pozajmice i krediti od inostranih izvora</v>
      </c>
      <c r="C65" s="583"/>
      <c r="D65" s="583"/>
      <c r="E65" s="583"/>
      <c r="F65" s="583"/>
      <c r="G65" s="176">
        <v>205747503.71000001</v>
      </c>
      <c r="H65" s="176">
        <v>227975575.862829</v>
      </c>
      <c r="I65" s="478">
        <f t="shared" si="0"/>
        <v>-22228072.152829502</v>
      </c>
      <c r="J65" s="541">
        <f t="shared" si="1"/>
        <v>-9.7501989275394593E-2</v>
      </c>
      <c r="K65" s="176">
        <v>188517208.25</v>
      </c>
      <c r="L65" s="478">
        <f t="shared" si="2"/>
        <v>17230295.4599999</v>
      </c>
      <c r="M65" s="479">
        <f t="shared" si="3"/>
        <v>9.1399059109501496E-2</v>
      </c>
      <c r="N65" s="542">
        <v>991400.61</v>
      </c>
      <c r="O65" s="176">
        <v>18997964.655235801</v>
      </c>
      <c r="P65" s="478">
        <f t="shared" si="4"/>
        <v>-18006564.045235801</v>
      </c>
      <c r="Q65" s="541">
        <f t="shared" si="5"/>
        <v>-0.94781543033733495</v>
      </c>
      <c r="R65" s="176">
        <v>83544900.230000004</v>
      </c>
      <c r="S65" s="478">
        <f t="shared" si="6"/>
        <v>-82553499.620000005</v>
      </c>
      <c r="T65" s="480">
        <f t="shared" si="7"/>
        <v>-0.98813331984034103</v>
      </c>
    </row>
    <row r="66" spans="1:20">
      <c r="A66" s="136">
        <v>72</v>
      </c>
      <c r="B66" s="582" t="str">
        <f>+VLOOKUP($A66,Master!$D$30:$G$226,4,FALSE)</f>
        <v>Primici od prodaje imovine</v>
      </c>
      <c r="C66" s="583"/>
      <c r="D66" s="583"/>
      <c r="E66" s="583"/>
      <c r="F66" s="583"/>
      <c r="G66" s="176">
        <v>3918918.72</v>
      </c>
      <c r="H66" s="176">
        <v>5000000</v>
      </c>
      <c r="I66" s="478">
        <f t="shared" si="0"/>
        <v>-1081081.28</v>
      </c>
      <c r="J66" s="541">
        <f t="shared" si="1"/>
        <v>-0.216216256</v>
      </c>
      <c r="K66" s="176">
        <v>11948846.35</v>
      </c>
      <c r="L66" s="478">
        <f t="shared" si="2"/>
        <v>-8029927.6299999999</v>
      </c>
      <c r="M66" s="479">
        <f t="shared" si="3"/>
        <v>-0.67202534828812199</v>
      </c>
      <c r="N66" s="542">
        <v>462623.71</v>
      </c>
      <c r="O66" s="176">
        <v>416666.66666666698</v>
      </c>
      <c r="P66" s="478">
        <f t="shared" si="4"/>
        <v>45957.043333333299</v>
      </c>
      <c r="Q66" s="541">
        <f t="shared" si="5"/>
        <v>0.110296904</v>
      </c>
      <c r="R66" s="176">
        <v>27299.41</v>
      </c>
      <c r="S66" s="478">
        <f t="shared" si="6"/>
        <v>435324.3</v>
      </c>
      <c r="T66" s="480">
        <f t="shared" si="7"/>
        <v>15.946289681718399</v>
      </c>
    </row>
    <row r="67" spans="1:20">
      <c r="A67" s="136">
        <v>1004</v>
      </c>
      <c r="B67" s="202" t="str">
        <f>+VLOOKUP($A67,Master!$D$30:$G$226,4,FALSE)</f>
        <v>Povećanje / smanjenje depozita</v>
      </c>
      <c r="C67" s="203"/>
      <c r="D67" s="203"/>
      <c r="E67" s="203"/>
      <c r="F67" s="203"/>
      <c r="G67" s="204">
        <v>-1754813.56999993</v>
      </c>
      <c r="H67" s="204">
        <v>-38932.407813630998</v>
      </c>
      <c r="I67" s="492">
        <f t="shared" si="0"/>
        <v>-1715881.1621862999</v>
      </c>
      <c r="J67" s="548">
        <f t="shared" si="1"/>
        <v>44.073337832075701</v>
      </c>
      <c r="K67" s="204">
        <v>44000566.537299901</v>
      </c>
      <c r="L67" s="492">
        <f t="shared" si="2"/>
        <v>-45755380.107299797</v>
      </c>
      <c r="M67" s="493">
        <f t="shared" si="3"/>
        <v>-1.03988161308133</v>
      </c>
      <c r="N67" s="549">
        <v>42431774.439999901</v>
      </c>
      <c r="O67" s="204">
        <v>-40111980.985819601</v>
      </c>
      <c r="P67" s="492">
        <f t="shared" si="4"/>
        <v>82543755.425819501</v>
      </c>
      <c r="Q67" s="548">
        <f t="shared" si="5"/>
        <v>-2.05783293163707</v>
      </c>
      <c r="R67" s="204">
        <v>-9644323.7585333399</v>
      </c>
      <c r="S67" s="492">
        <f t="shared" si="6"/>
        <v>52076098.1985332</v>
      </c>
      <c r="T67" s="494">
        <f t="shared" si="7"/>
        <v>-5.39966300410188</v>
      </c>
    </row>
  </sheetData>
  <mergeCells count="63">
    <mergeCell ref="B66:F66"/>
    <mergeCell ref="B7:F9"/>
    <mergeCell ref="B60:F60"/>
    <mergeCell ref="B62:F62"/>
    <mergeCell ref="B63:F63"/>
    <mergeCell ref="B64:F64"/>
    <mergeCell ref="B65:F65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45:F45"/>
    <mergeCell ref="B46:F46"/>
    <mergeCell ref="B47:F47"/>
    <mergeCell ref="B48:F48"/>
    <mergeCell ref="B49:F49"/>
    <mergeCell ref="B40:F40"/>
    <mergeCell ref="B41:F41"/>
    <mergeCell ref="B42:F42"/>
    <mergeCell ref="B43:F43"/>
    <mergeCell ref="B44:F44"/>
    <mergeCell ref="B35:F35"/>
    <mergeCell ref="B36:F36"/>
    <mergeCell ref="B37:F37"/>
    <mergeCell ref="B38:F38"/>
    <mergeCell ref="B39:F39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  <mergeCell ref="B15:F15"/>
    <mergeCell ref="B16:F16"/>
    <mergeCell ref="B17:F17"/>
    <mergeCell ref="B18:F18"/>
    <mergeCell ref="B19:F19"/>
    <mergeCell ref="B10:F10"/>
    <mergeCell ref="B11:F11"/>
    <mergeCell ref="B12:F12"/>
    <mergeCell ref="B13:F13"/>
    <mergeCell ref="B14:F14"/>
    <mergeCell ref="G7:M7"/>
    <mergeCell ref="N7:T7"/>
    <mergeCell ref="I8:J8"/>
    <mergeCell ref="L8:M8"/>
    <mergeCell ref="P8:Q8"/>
    <mergeCell ref="S8:T8"/>
  </mergeCells>
  <pageMargins left="0.7" right="0.7" top="0.75" bottom="0.75" header="0.3" footer="0.3"/>
  <pageSetup paperSize="9" scale="3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C1:K32"/>
  <sheetViews>
    <sheetView tabSelected="1" zoomScale="90" zoomScaleNormal="90" workbookViewId="0">
      <pane ySplit="5" topLeftCell="A6" activePane="bottomLeft" state="frozen"/>
      <selection pane="bottomLeft" activeCell="L30" sqref="L30:L31"/>
    </sheetView>
  </sheetViews>
  <sheetFormatPr defaultColWidth="9.140625" defaultRowHeight="15"/>
  <cols>
    <col min="1" max="3" width="9.140625" style="421"/>
    <col min="4" max="4" width="10" style="421" customWidth="1"/>
    <col min="5" max="5" width="9.140625" style="421"/>
    <col min="6" max="7" width="9.140625" style="421" customWidth="1"/>
    <col min="8" max="8" width="11" style="421" customWidth="1"/>
    <col min="9" max="9" width="9.140625" style="421" customWidth="1"/>
    <col min="10" max="16384" width="9.140625" style="421"/>
  </cols>
  <sheetData>
    <row r="1" spans="3:10" s="132" customFormat="1"/>
    <row r="2" spans="3:10" s="132" customFormat="1">
      <c r="C2" s="133"/>
      <c r="E2" s="498" t="str">
        <f>+Master!G6</f>
        <v>Crna Gora</v>
      </c>
      <c r="F2" s="498"/>
      <c r="G2" s="498"/>
      <c r="I2" s="134"/>
    </row>
    <row r="3" spans="3:10" s="132" customFormat="1">
      <c r="E3" s="499" t="str">
        <f>+Master!G7</f>
        <v>Ministarstvo finansija</v>
      </c>
      <c r="F3" s="498"/>
      <c r="G3" s="498"/>
    </row>
    <row r="4" spans="3:10" s="132" customFormat="1">
      <c r="E4" s="499" t="str">
        <f>+Master!G8</f>
        <v>Direktorat za državni budžet</v>
      </c>
      <c r="F4" s="498"/>
      <c r="G4" s="498"/>
    </row>
    <row r="5" spans="3:10" s="132" customFormat="1"/>
    <row r="8" spans="3:10">
      <c r="C8" s="500"/>
      <c r="D8" s="501"/>
      <c r="E8" s="501"/>
      <c r="F8" s="501"/>
      <c r="G8" s="501"/>
      <c r="H8" s="501"/>
      <c r="I8" s="501"/>
      <c r="J8" s="502"/>
    </row>
    <row r="9" spans="3:10">
      <c r="C9" s="503"/>
      <c r="J9" s="504"/>
    </row>
    <row r="10" spans="3:10">
      <c r="C10" s="503"/>
      <c r="J10" s="504"/>
    </row>
    <row r="11" spans="3:10">
      <c r="C11" s="503"/>
      <c r="D11" s="505" t="str">
        <f>+Master!G270</f>
        <v>Prihodi za mjesec Septembar</v>
      </c>
      <c r="G11" s="505" t="str">
        <f>+Master!G274</f>
        <v>Prihodi za period Januar - Septembar</v>
      </c>
      <c r="J11" s="504"/>
    </row>
    <row r="12" spans="3:10">
      <c r="C12" s="503"/>
      <c r="D12" s="506">
        <f>+'Analitika 2026'!N10</f>
        <v>312838958.61000001</v>
      </c>
      <c r="E12" s="507">
        <f>+D12/'2026'!T7</f>
        <v>3.6413883812505821E-2</v>
      </c>
      <c r="G12" s="506">
        <f>+'Analitika 2026'!G10</f>
        <v>2318466301.3800001</v>
      </c>
      <c r="H12" s="507">
        <f>+G12/'2026'!T7</f>
        <v>0.26986524599357481</v>
      </c>
      <c r="J12" s="504"/>
    </row>
    <row r="13" spans="3:10">
      <c r="C13" s="503"/>
      <c r="D13" s="142" t="s">
        <v>2</v>
      </c>
      <c r="E13" s="142" t="str">
        <f>+Master!G250</f>
        <v>% BDP</v>
      </c>
      <c r="G13" s="142" t="s">
        <v>2</v>
      </c>
      <c r="H13" s="142" t="s">
        <v>5</v>
      </c>
      <c r="J13" s="504"/>
    </row>
    <row r="14" spans="3:10">
      <c r="C14" s="503"/>
      <c r="J14" s="504"/>
    </row>
    <row r="15" spans="3:10">
      <c r="C15" s="503"/>
      <c r="D15" s="505" t="str">
        <f>+Master!G271</f>
        <v>Rashodi za mjesec Septembar</v>
      </c>
      <c r="G15" s="505" t="str">
        <f>+Master!G275</f>
        <v>Rashodi za period Januar - Septembar</v>
      </c>
      <c r="J15" s="504"/>
    </row>
    <row r="16" spans="3:10">
      <c r="C16" s="503"/>
      <c r="D16" s="506">
        <f>+'Analitika 2026'!N29</f>
        <v>290808897.38999999</v>
      </c>
      <c r="E16" s="507">
        <f>+D16/'2026'!T7</f>
        <v>3.3849624894077661E-2</v>
      </c>
      <c r="G16" s="506">
        <f>+'Analitika 2026'!G29</f>
        <v>2442675608.0700002</v>
      </c>
      <c r="H16" s="507">
        <f>+G16/'2026'!T7</f>
        <v>0.28432298259498096</v>
      </c>
      <c r="J16" s="504"/>
    </row>
    <row r="17" spans="3:11">
      <c r="C17" s="503"/>
      <c r="D17" s="142" t="str">
        <f>+D13</f>
        <v>mil. €</v>
      </c>
      <c r="E17" s="142" t="str">
        <f>+E13</f>
        <v>% BDP</v>
      </c>
      <c r="G17" s="142" t="s">
        <v>2</v>
      </c>
      <c r="H17" s="142" t="s">
        <v>5</v>
      </c>
      <c r="J17" s="504"/>
    </row>
    <row r="18" spans="3:11">
      <c r="C18" s="503"/>
      <c r="J18" s="504"/>
    </row>
    <row r="19" spans="3:11">
      <c r="C19" s="503"/>
      <c r="D19" s="505" t="str">
        <f>+Master!G272</f>
        <v>Suficit/Deficit za mjesec Septembar</v>
      </c>
      <c r="G19" s="505" t="str">
        <f>+Master!G276</f>
        <v>Suficit/Deficit za period Januar - Septembar</v>
      </c>
      <c r="J19" s="504"/>
    </row>
    <row r="20" spans="3:11">
      <c r="C20" s="503"/>
      <c r="D20" s="506">
        <f>+'Analitika 2026'!N53</f>
        <v>22030061.220000029</v>
      </c>
      <c r="E20" s="507">
        <f>+D20/'2026'!T7</f>
        <v>2.5642589184281623E-3</v>
      </c>
      <c r="G20" s="506">
        <f>+'Analitika 2026'!G53</f>
        <v>-124209306.69000009</v>
      </c>
      <c r="H20" s="507">
        <f>+G20/'2026'!T7</f>
        <v>-1.4457736601406101E-2</v>
      </c>
      <c r="J20" s="504"/>
    </row>
    <row r="21" spans="3:11">
      <c r="C21" s="503"/>
      <c r="D21" s="142" t="str">
        <f>+D17</f>
        <v>mil. €</v>
      </c>
      <c r="E21" s="142" t="str">
        <f>+E17</f>
        <v>% BDP</v>
      </c>
      <c r="G21" s="142" t="s">
        <v>2</v>
      </c>
      <c r="H21" s="142" t="s">
        <v>5</v>
      </c>
      <c r="J21" s="504"/>
    </row>
    <row r="22" spans="3:11">
      <c r="C22" s="508"/>
      <c r="D22" s="509"/>
      <c r="E22" s="509"/>
      <c r="F22" s="509"/>
      <c r="G22" s="509"/>
      <c r="H22" s="509"/>
      <c r="I22" s="509"/>
      <c r="J22" s="510"/>
    </row>
    <row r="25" spans="3:11">
      <c r="H25" s="137"/>
    </row>
    <row r="32" spans="3:11">
      <c r="K32" s="511"/>
    </row>
  </sheetData>
  <sheetProtection algorithmName="SHA-512" hashValue="ou+jIMzEPA4PkwcXENRT/6u9IZsCJcNHBYwmFWBN7b6vxgWX27gDZOhGGObMUFA6hyWOWUodxc+gls3CSXlg7Q==" saltValue="Uy6zKZ28HUfTLHv2CVJFSg==" spinCount="100000" sheet="1" objects="1" scenarios="1"/>
  <pageMargins left="0.70866141732283505" right="0.70866141732283505" top="0.74803149606299202" bottom="0.74803149606299202" header="0.31496062992126" footer="0.31496062992126"/>
  <pageSetup paperSize="9" scale="5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>
    <pageSetUpPr fitToPage="1"/>
  </sheetPr>
  <dimension ref="A1:Z150"/>
  <sheetViews>
    <sheetView topLeftCell="B1" zoomScale="90" zoomScaleNormal="90" workbookViewId="0">
      <pane ySplit="1" topLeftCell="A2" activePane="bottomLeft" state="frozen"/>
      <selection pane="bottomLeft" activeCell="G62" sqref="G62:R65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6.85546875" style="173" customWidth="1"/>
    <col min="22" max="23" width="19.85546875" style="129" customWidth="1"/>
    <col min="24" max="24" width="14.5703125" style="129" customWidth="1"/>
    <col min="25" max="16384" width="9.140625" style="129"/>
  </cols>
  <sheetData>
    <row r="1" spans="1:24" s="127" customFormat="1" ht="3" customHeight="1">
      <c r="A1" s="130"/>
      <c r="G1" s="127" t="s">
        <v>6</v>
      </c>
      <c r="O1" s="127" t="s">
        <v>7</v>
      </c>
      <c r="U1" s="354"/>
    </row>
    <row r="2" spans="1:24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4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4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4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L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ref="M5:R5" si="1">+RIGHT(M6,2)*1</f>
        <v>7</v>
      </c>
      <c r="N5" s="135">
        <f t="shared" si="1"/>
        <v>8</v>
      </c>
      <c r="O5" s="135">
        <f t="shared" si="1"/>
        <v>9</v>
      </c>
      <c r="P5" s="135">
        <f t="shared" si="1"/>
        <v>10</v>
      </c>
      <c r="Q5" s="135">
        <f t="shared" si="1"/>
        <v>11</v>
      </c>
      <c r="R5" s="135">
        <f t="shared" si="1"/>
        <v>12</v>
      </c>
      <c r="S5" s="132"/>
      <c r="T5" s="132"/>
      <c r="U5" s="354"/>
    </row>
    <row r="6" spans="1:24">
      <c r="A6" s="136"/>
      <c r="B6" s="137"/>
      <c r="C6" s="137"/>
      <c r="D6" s="137"/>
      <c r="E6" s="137"/>
      <c r="F6" s="137"/>
      <c r="G6" s="138" t="s">
        <v>8</v>
      </c>
      <c r="H6" s="138" t="s">
        <v>9</v>
      </c>
      <c r="I6" s="138" t="s">
        <v>10</v>
      </c>
      <c r="J6" s="138" t="s">
        <v>11</v>
      </c>
      <c r="K6" s="138" t="s">
        <v>12</v>
      </c>
      <c r="L6" s="138" t="s">
        <v>13</v>
      </c>
      <c r="M6" s="138" t="s">
        <v>14</v>
      </c>
      <c r="N6" s="138" t="s">
        <v>15</v>
      </c>
      <c r="O6" s="138" t="s">
        <v>16</v>
      </c>
      <c r="P6" s="138" t="s">
        <v>17</v>
      </c>
      <c r="Q6" s="138" t="s">
        <v>18</v>
      </c>
      <c r="R6" s="138" t="s">
        <v>19</v>
      </c>
      <c r="S6" s="137"/>
      <c r="T6" s="137"/>
    </row>
    <row r="7" spans="1:24" ht="15" customHeight="1">
      <c r="A7" s="136"/>
      <c r="B7" s="584" t="str">
        <f>+Master!G252</f>
        <v>Ostvarenje budžeta</v>
      </c>
      <c r="C7" s="585"/>
      <c r="D7" s="585"/>
      <c r="E7" s="585"/>
      <c r="F7" s="585"/>
      <c r="G7" s="550">
        <v>2024</v>
      </c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4"/>
      <c r="S7" s="139" t="str">
        <f>+Master!G249</f>
        <v>BDP</v>
      </c>
      <c r="T7" s="140">
        <v>7459213000</v>
      </c>
    </row>
    <row r="8" spans="1:24" ht="16.5" customHeight="1">
      <c r="A8" s="136"/>
      <c r="B8" s="586"/>
      <c r="C8" s="587"/>
      <c r="D8" s="587"/>
      <c r="E8" s="587"/>
      <c r="F8" s="588"/>
      <c r="G8" s="141" t="str">
        <f>+[1]Master!G232</f>
        <v>Januar</v>
      </c>
      <c r="H8" s="141" t="str">
        <f>+[1]Master!G233</f>
        <v>Februar</v>
      </c>
      <c r="I8" s="141" t="str">
        <f>+[1]Master!G234</f>
        <v>Mart</v>
      </c>
      <c r="J8" s="141" t="str">
        <f>+[1]Master!G235</f>
        <v>April</v>
      </c>
      <c r="K8" s="141" t="str">
        <f>+[1]Master!G236</f>
        <v>Maj</v>
      </c>
      <c r="L8" s="141" t="str">
        <f>+[1]Master!G237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0" t="str">
        <f>+Master!G247</f>
        <v>Jan - Dec</v>
      </c>
      <c r="T8" s="554"/>
    </row>
    <row r="9" spans="1:24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4">
      <c r="A10" s="145">
        <v>7</v>
      </c>
      <c r="B10" s="570" t="str">
        <f>+VLOOKUP($A10,Master!$D$30:$G$226,4,FALSE)</f>
        <v>Prihodi budžeta</v>
      </c>
      <c r="C10" s="571"/>
      <c r="D10" s="571"/>
      <c r="E10" s="571"/>
      <c r="F10" s="571"/>
      <c r="G10" s="363">
        <f>G11+G19+G24+G25+G26+G27+G28</f>
        <v>150930624.56</v>
      </c>
      <c r="H10" s="363">
        <f t="shared" ref="H10:L10" si="2">+H11+H19+SUM(H24:H28)</f>
        <v>180248657.53999999</v>
      </c>
      <c r="I10" s="363">
        <f t="shared" si="2"/>
        <v>244547107.81999999</v>
      </c>
      <c r="J10" s="363">
        <f t="shared" si="2"/>
        <v>317574569.87</v>
      </c>
      <c r="K10" s="363">
        <f t="shared" si="2"/>
        <v>195199293.30000001</v>
      </c>
      <c r="L10" s="363">
        <f t="shared" si="2"/>
        <v>221230415.69999999</v>
      </c>
      <c r="M10" s="363">
        <f t="shared" ref="M10:R10" si="3">+M11+M19+SUM(M24:M28)</f>
        <v>263236934.84999999</v>
      </c>
      <c r="N10" s="363">
        <f t="shared" si="3"/>
        <v>254940204.97999999</v>
      </c>
      <c r="O10" s="363">
        <f t="shared" si="3"/>
        <v>247911142.52000001</v>
      </c>
      <c r="P10" s="363">
        <f t="shared" si="3"/>
        <v>242863704.44</v>
      </c>
      <c r="Q10" s="363">
        <f t="shared" si="3"/>
        <v>178969307.88</v>
      </c>
      <c r="R10" s="363">
        <f t="shared" si="3"/>
        <v>258065306.41</v>
      </c>
      <c r="S10" s="364">
        <f>+SUM(G10:R10)</f>
        <v>2755717269.8699999</v>
      </c>
      <c r="T10" s="365">
        <f>+S10/$T$7*100</f>
        <v>36.943807206872897</v>
      </c>
      <c r="V10" s="357"/>
    </row>
    <row r="11" spans="1:24">
      <c r="A11" s="145">
        <v>711</v>
      </c>
      <c r="B11" s="560" t="str">
        <f>+VLOOKUP($A11,Master!$D$30:$G$226,4,FALSE)</f>
        <v>Porezi</v>
      </c>
      <c r="C11" s="561"/>
      <c r="D11" s="561"/>
      <c r="E11" s="561"/>
      <c r="F11" s="561"/>
      <c r="G11" s="366">
        <f t="shared" ref="G11:L11" si="4">+SUM(G12:G18)</f>
        <v>122011952.06</v>
      </c>
      <c r="H11" s="366">
        <f t="shared" si="4"/>
        <v>121308599.17</v>
      </c>
      <c r="I11" s="366">
        <f t="shared" si="4"/>
        <v>184557374.94999999</v>
      </c>
      <c r="J11" s="366">
        <f t="shared" si="4"/>
        <v>237707133</v>
      </c>
      <c r="K11" s="366">
        <f t="shared" si="4"/>
        <v>140725508.58000001</v>
      </c>
      <c r="L11" s="366">
        <f t="shared" si="4"/>
        <v>153003406.78999999</v>
      </c>
      <c r="M11" s="366">
        <f t="shared" ref="M11:R11" si="5">+SUM(M12:M18)</f>
        <v>176287449.87</v>
      </c>
      <c r="N11" s="366">
        <f t="shared" si="5"/>
        <v>187772027.16</v>
      </c>
      <c r="O11" s="366">
        <f t="shared" si="5"/>
        <v>174666714.86000001</v>
      </c>
      <c r="P11" s="366">
        <f t="shared" si="5"/>
        <v>170940704.72999999</v>
      </c>
      <c r="Q11" s="366">
        <f t="shared" si="5"/>
        <v>130980738.95999999</v>
      </c>
      <c r="R11" s="367">
        <f t="shared" si="5"/>
        <v>168637973.13</v>
      </c>
      <c r="S11" s="368">
        <f>+SUM(G11:R11)</f>
        <v>1968599583.26</v>
      </c>
      <c r="T11" s="369">
        <f t="shared" ref="T11:T66" si="6">+S11/$T$7*100</f>
        <v>26.391518559129501</v>
      </c>
      <c r="V11" s="161"/>
    </row>
    <row r="12" spans="1:24">
      <c r="A12" s="145">
        <v>7111</v>
      </c>
      <c r="B12" s="562" t="str">
        <f>+VLOOKUP($A12,Master!$D$30:$G$226,4,FALSE)</f>
        <v>Porez na dohodak fizičkih lica</v>
      </c>
      <c r="C12" s="563"/>
      <c r="D12" s="563"/>
      <c r="E12" s="563"/>
      <c r="F12" s="563"/>
      <c r="G12" s="153">
        <v>1998079.15</v>
      </c>
      <c r="H12" s="153">
        <v>6162755.9100000001</v>
      </c>
      <c r="I12" s="153">
        <v>6774640.8399999999</v>
      </c>
      <c r="J12" s="153">
        <v>9120679.6699999999</v>
      </c>
      <c r="K12" s="153">
        <v>7999182.8499999996</v>
      </c>
      <c r="L12" s="153">
        <v>5714143.4299999997</v>
      </c>
      <c r="M12" s="153">
        <v>8103849.4699999997</v>
      </c>
      <c r="N12" s="153">
        <v>7506393.2000000002</v>
      </c>
      <c r="O12" s="153">
        <v>6129815.1900000004</v>
      </c>
      <c r="P12" s="153">
        <v>10490866.800000001</v>
      </c>
      <c r="Q12" s="153">
        <v>5042014.29</v>
      </c>
      <c r="R12" s="153">
        <v>13112925.42</v>
      </c>
      <c r="S12" s="270">
        <f>+SUM(G12:R12)</f>
        <v>88155346.219999999</v>
      </c>
      <c r="T12" s="329">
        <f t="shared" si="6"/>
        <v>1.1818317323824901</v>
      </c>
    </row>
    <row r="13" spans="1:24">
      <c r="A13" s="145">
        <v>7112</v>
      </c>
      <c r="B13" s="562" t="str">
        <f>+VLOOKUP($A13,Master!$D$30:$G$226,4,FALSE)</f>
        <v>Porez na dobit pravnih lica</v>
      </c>
      <c r="C13" s="563"/>
      <c r="D13" s="563"/>
      <c r="E13" s="563"/>
      <c r="F13" s="563"/>
      <c r="G13" s="153">
        <v>1951464.9</v>
      </c>
      <c r="H13" s="153">
        <v>5771727.9400000004</v>
      </c>
      <c r="I13" s="153">
        <v>71210822.510000005</v>
      </c>
      <c r="J13" s="153">
        <v>100269900.84</v>
      </c>
      <c r="K13" s="153">
        <v>6533790.1500000004</v>
      </c>
      <c r="L13" s="153">
        <v>5452063.1399999997</v>
      </c>
      <c r="M13" s="153">
        <v>6399901.1399999997</v>
      </c>
      <c r="N13" s="153">
        <v>3297843.93</v>
      </c>
      <c r="O13" s="153">
        <v>3451625.75</v>
      </c>
      <c r="P13" s="153">
        <v>1559675.82</v>
      </c>
      <c r="Q13" s="153">
        <v>1503515.81</v>
      </c>
      <c r="R13" s="153">
        <v>6565545.0700000003</v>
      </c>
      <c r="S13" s="270">
        <f t="shared" ref="S13:S65" si="7">+SUM(G13:R13)</f>
        <v>213967877</v>
      </c>
      <c r="T13" s="329">
        <f t="shared" si="6"/>
        <v>2.86850472027009</v>
      </c>
      <c r="V13" s="161"/>
      <c r="W13" s="161"/>
      <c r="X13" s="358"/>
    </row>
    <row r="14" spans="1:24">
      <c r="A14" s="145">
        <v>7113</v>
      </c>
      <c r="B14" s="562" t="str">
        <f>+VLOOKUP($A14,Master!$D$30:$G$226,4,FALSE)</f>
        <v>Porez na promet nepokretnosti</v>
      </c>
      <c r="C14" s="563"/>
      <c r="D14" s="563"/>
      <c r="E14" s="563"/>
      <c r="F14" s="563"/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3">
        <v>0</v>
      </c>
      <c r="M14" s="153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0</v>
      </c>
      <c r="S14" s="270">
        <f t="shared" si="7"/>
        <v>0</v>
      </c>
      <c r="T14" s="329">
        <f t="shared" si="6"/>
        <v>0</v>
      </c>
      <c r="V14" s="161"/>
      <c r="W14" s="161"/>
      <c r="X14" s="358"/>
    </row>
    <row r="15" spans="1:24">
      <c r="A15" s="145">
        <v>7114</v>
      </c>
      <c r="B15" s="562" t="str">
        <f>+VLOOKUP($A15,Master!$D$30:$G$226,4,FALSE)</f>
        <v>Porez na dodatu vrijednost</v>
      </c>
      <c r="C15" s="563"/>
      <c r="D15" s="563"/>
      <c r="E15" s="563"/>
      <c r="F15" s="563"/>
      <c r="G15" s="153">
        <v>91572726.909999996</v>
      </c>
      <c r="H15" s="153">
        <v>81980319.980000004</v>
      </c>
      <c r="I15" s="153">
        <v>78800496.590000004</v>
      </c>
      <c r="J15" s="153">
        <v>94537941.620000005</v>
      </c>
      <c r="K15" s="153">
        <v>88184792.75</v>
      </c>
      <c r="L15" s="153">
        <v>100885481.09</v>
      </c>
      <c r="M15" s="153">
        <v>119418214.70999999</v>
      </c>
      <c r="N15" s="153">
        <v>126480010.05</v>
      </c>
      <c r="O15" s="153">
        <v>119699878.62</v>
      </c>
      <c r="P15" s="153">
        <v>118929652.58</v>
      </c>
      <c r="Q15" s="153">
        <v>90529869.280000001</v>
      </c>
      <c r="R15" s="153">
        <v>111577546.98999999</v>
      </c>
      <c r="S15" s="270">
        <f t="shared" si="7"/>
        <v>1222596931.1700001</v>
      </c>
      <c r="T15" s="329">
        <f t="shared" si="6"/>
        <v>16.3904279334831</v>
      </c>
      <c r="V15" s="161"/>
      <c r="W15" s="161"/>
      <c r="X15" s="358"/>
    </row>
    <row r="16" spans="1:24">
      <c r="A16" s="145">
        <v>7115</v>
      </c>
      <c r="B16" s="562" t="str">
        <f>+VLOOKUP($A16,Master!$D$30:$G$226,4,FALSE)</f>
        <v>Akcize</v>
      </c>
      <c r="C16" s="563"/>
      <c r="D16" s="563"/>
      <c r="E16" s="563"/>
      <c r="F16" s="563"/>
      <c r="G16" s="153">
        <v>22556344.960000001</v>
      </c>
      <c r="H16" s="153">
        <v>22366846.550000001</v>
      </c>
      <c r="I16" s="153">
        <v>21994790.370000001</v>
      </c>
      <c r="J16" s="153">
        <v>26932676.210000001</v>
      </c>
      <c r="K16" s="153">
        <v>31723753.75</v>
      </c>
      <c r="L16" s="153">
        <v>34644163.43</v>
      </c>
      <c r="M16" s="153">
        <v>34841981.670000002</v>
      </c>
      <c r="N16" s="153">
        <v>43213446.43</v>
      </c>
      <c r="O16" s="153">
        <v>38641287.920000002</v>
      </c>
      <c r="P16" s="153">
        <v>33032024.920000002</v>
      </c>
      <c r="Q16" s="153">
        <v>28020758.82</v>
      </c>
      <c r="R16" s="153">
        <v>30621579.68</v>
      </c>
      <c r="S16" s="270">
        <f t="shared" si="7"/>
        <v>368589654.70999998</v>
      </c>
      <c r="T16" s="329">
        <f t="shared" si="6"/>
        <v>4.9414013879212204</v>
      </c>
      <c r="V16" s="161"/>
      <c r="W16" s="161"/>
      <c r="X16" s="358"/>
    </row>
    <row r="17" spans="1:24">
      <c r="A17" s="145">
        <v>7116</v>
      </c>
      <c r="B17" s="562" t="str">
        <f>+VLOOKUP($A17,Master!$D$30:$G$226,4,FALSE)</f>
        <v>Porez na međunarodnu trgovinu i transakcije</v>
      </c>
      <c r="C17" s="563"/>
      <c r="D17" s="563"/>
      <c r="E17" s="563"/>
      <c r="F17" s="563"/>
      <c r="G17" s="153">
        <v>2997811.11</v>
      </c>
      <c r="H17" s="153">
        <v>3849203.28</v>
      </c>
      <c r="I17" s="153">
        <v>4636318.09</v>
      </c>
      <c r="J17" s="153">
        <v>5632584.1600000001</v>
      </c>
      <c r="K17" s="153">
        <v>5010618.79</v>
      </c>
      <c r="L17" s="153">
        <v>5120393.08</v>
      </c>
      <c r="M17" s="153">
        <v>6113583.7999999998</v>
      </c>
      <c r="N17" s="153">
        <v>5829872.2699999996</v>
      </c>
      <c r="O17" s="153">
        <v>5498962.25</v>
      </c>
      <c r="P17" s="153">
        <v>5536331.3300000001</v>
      </c>
      <c r="Q17" s="153">
        <v>4591287.2699999996</v>
      </c>
      <c r="R17" s="153">
        <v>5559914.0899999999</v>
      </c>
      <c r="S17" s="270">
        <f t="shared" si="7"/>
        <v>60376879.520000003</v>
      </c>
      <c r="T17" s="329">
        <f t="shared" si="6"/>
        <v>0.80942693981255098</v>
      </c>
      <c r="V17" s="161"/>
      <c r="W17" s="161"/>
      <c r="X17" s="358"/>
    </row>
    <row r="18" spans="1:24">
      <c r="A18" s="145">
        <v>7118</v>
      </c>
      <c r="B18" s="562" t="str">
        <f>+VLOOKUP($A18,Master!$D$30:$G$226,4,FALSE)</f>
        <v>Ostali državni porezi</v>
      </c>
      <c r="C18" s="563"/>
      <c r="D18" s="563"/>
      <c r="E18" s="563"/>
      <c r="F18" s="563"/>
      <c r="G18" s="153">
        <v>935525.03</v>
      </c>
      <c r="H18" s="153">
        <v>1177745.51</v>
      </c>
      <c r="I18" s="153">
        <v>1140306.55</v>
      </c>
      <c r="J18" s="153">
        <v>1213350.5</v>
      </c>
      <c r="K18" s="153">
        <v>1273370.29</v>
      </c>
      <c r="L18" s="153">
        <v>1187162.6200000001</v>
      </c>
      <c r="M18" s="153">
        <v>1409919.08</v>
      </c>
      <c r="N18" s="153">
        <v>1444461.28</v>
      </c>
      <c r="O18" s="153">
        <v>1245145.1299999999</v>
      </c>
      <c r="P18" s="153">
        <v>1392153.28</v>
      </c>
      <c r="Q18" s="153">
        <v>1293293.49</v>
      </c>
      <c r="R18" s="153">
        <v>1200461.8799999999</v>
      </c>
      <c r="S18" s="270">
        <f t="shared" si="7"/>
        <v>14912894.640000001</v>
      </c>
      <c r="T18" s="329">
        <f t="shared" si="6"/>
        <v>0.199925845260083</v>
      </c>
      <c r="V18" s="161"/>
      <c r="W18" s="161"/>
      <c r="X18" s="358"/>
    </row>
    <row r="19" spans="1:24">
      <c r="A19" s="145">
        <v>712</v>
      </c>
      <c r="B19" s="566" t="str">
        <f>+VLOOKUP($A19,Master!$D$30:$G$226,4,FALSE)</f>
        <v>Doprinosi</v>
      </c>
      <c r="C19" s="567"/>
      <c r="D19" s="567"/>
      <c r="E19" s="567"/>
      <c r="F19" s="567"/>
      <c r="G19" s="370">
        <f t="shared" ref="G19" si="8">SUM(G20:G23)</f>
        <v>13548213.42</v>
      </c>
      <c r="H19" s="370">
        <f t="shared" ref="H19:L19" si="9">SUM(H20:H23)</f>
        <v>51209301.960000001</v>
      </c>
      <c r="I19" s="370">
        <f t="shared" si="9"/>
        <v>50079162.990000002</v>
      </c>
      <c r="J19" s="370">
        <f t="shared" si="9"/>
        <v>58312079.650000103</v>
      </c>
      <c r="K19" s="370">
        <f t="shared" si="9"/>
        <v>44239433.409999996</v>
      </c>
      <c r="L19" s="370">
        <f t="shared" si="9"/>
        <v>48567223.640000001</v>
      </c>
      <c r="M19" s="370">
        <f t="shared" ref="M19:R19" si="10">SUM(M20:M23)</f>
        <v>55016979.530000001</v>
      </c>
      <c r="N19" s="370">
        <f t="shared" si="10"/>
        <v>54498567.899999999</v>
      </c>
      <c r="O19" s="370">
        <f t="shared" si="10"/>
        <v>54697462.289999999</v>
      </c>
      <c r="P19" s="370">
        <f t="shared" si="10"/>
        <v>54762650.329999998</v>
      </c>
      <c r="Q19" s="370">
        <f t="shared" si="10"/>
        <v>37399955.219999999</v>
      </c>
      <c r="R19" s="370">
        <f t="shared" si="10"/>
        <v>62375513.170000002</v>
      </c>
      <c r="S19" s="371">
        <f t="shared" si="7"/>
        <v>584706543.50999999</v>
      </c>
      <c r="T19" s="372">
        <f t="shared" si="6"/>
        <v>7.8387162762345097</v>
      </c>
      <c r="V19" s="161"/>
      <c r="W19" s="161"/>
      <c r="X19" s="358"/>
    </row>
    <row r="20" spans="1:24">
      <c r="A20" s="145">
        <v>7121</v>
      </c>
      <c r="B20" s="562" t="str">
        <f>+VLOOKUP($A20,Master!$D$30:$G$226,4,FALSE)</f>
        <v>Doprinosi za penzijsko i invalidsko osiguranje</v>
      </c>
      <c r="C20" s="563"/>
      <c r="D20" s="563"/>
      <c r="E20" s="563"/>
      <c r="F20" s="563"/>
      <c r="G20" s="153">
        <v>12277377.310000001</v>
      </c>
      <c r="H20" s="153">
        <v>47091163.350000001</v>
      </c>
      <c r="I20" s="153">
        <v>45892077.740000002</v>
      </c>
      <c r="J20" s="153">
        <v>53612426.220000103</v>
      </c>
      <c r="K20" s="153">
        <v>40659761.590000004</v>
      </c>
      <c r="L20" s="153">
        <v>44568700.899999999</v>
      </c>
      <c r="M20" s="153">
        <v>50382564.299999997</v>
      </c>
      <c r="N20" s="153">
        <v>49830258.149999999</v>
      </c>
      <c r="O20" s="153">
        <v>50178879.670000002</v>
      </c>
      <c r="P20" s="153">
        <v>50008955.340000004</v>
      </c>
      <c r="Q20" s="153">
        <v>33816105.539999999</v>
      </c>
      <c r="R20" s="153">
        <v>54430290.539999999</v>
      </c>
      <c r="S20" s="270">
        <f t="shared" si="7"/>
        <v>532748560.64999998</v>
      </c>
      <c r="T20" s="329">
        <f t="shared" si="6"/>
        <v>7.1421550859319902</v>
      </c>
      <c r="V20" s="161"/>
      <c r="W20" s="161"/>
      <c r="X20" s="358"/>
    </row>
    <row r="21" spans="1:24">
      <c r="A21" s="145">
        <v>7122</v>
      </c>
      <c r="B21" s="562" t="str">
        <f>+VLOOKUP($A21,Master!$D$30:$G$226,4,FALSE)</f>
        <v>Doprinosi za zdravstveno osiguranje</v>
      </c>
      <c r="C21" s="563"/>
      <c r="D21" s="563"/>
      <c r="E21" s="563"/>
      <c r="F21" s="563"/>
      <c r="G21" s="153">
        <v>307850.36</v>
      </c>
      <c r="H21" s="153">
        <v>382153.8</v>
      </c>
      <c r="I21" s="153">
        <v>494660.43</v>
      </c>
      <c r="J21" s="153">
        <v>456232.43</v>
      </c>
      <c r="K21" s="153">
        <v>296984.02</v>
      </c>
      <c r="L21" s="153">
        <v>372046.09</v>
      </c>
      <c r="M21" s="153">
        <v>516613.79</v>
      </c>
      <c r="N21" s="153">
        <v>463962.06</v>
      </c>
      <c r="O21" s="153">
        <v>380875.64</v>
      </c>
      <c r="P21" s="153">
        <v>631287.55000000005</v>
      </c>
      <c r="Q21" s="153">
        <v>382115.57</v>
      </c>
      <c r="R21" s="153">
        <v>739249.91</v>
      </c>
      <c r="S21" s="270">
        <f t="shared" si="7"/>
        <v>5424031.6500000004</v>
      </c>
      <c r="T21" s="329">
        <f t="shared" si="6"/>
        <v>7.2715870293555099E-2</v>
      </c>
      <c r="V21" s="161"/>
      <c r="W21" s="161"/>
      <c r="X21" s="358"/>
    </row>
    <row r="22" spans="1:24">
      <c r="A22" s="145">
        <v>7123</v>
      </c>
      <c r="B22" s="562" t="str">
        <f>+VLOOKUP($A22,Master!$D$30:$G$226,4,FALSE)</f>
        <v>Doprinosi za osiguranje od nezaposlenosti</v>
      </c>
      <c r="C22" s="563"/>
      <c r="D22" s="563"/>
      <c r="E22" s="563"/>
      <c r="F22" s="563"/>
      <c r="G22" s="153">
        <v>569229.31000000006</v>
      </c>
      <c r="H22" s="153">
        <v>2203988.56</v>
      </c>
      <c r="I22" s="153">
        <v>2137007.6800000002</v>
      </c>
      <c r="J22" s="153">
        <v>2464722.08</v>
      </c>
      <c r="K22" s="153">
        <v>1910648.69</v>
      </c>
      <c r="L22" s="153">
        <v>2095564.37</v>
      </c>
      <c r="M22" s="153">
        <v>2381944.41</v>
      </c>
      <c r="N22" s="153">
        <v>2401758.41</v>
      </c>
      <c r="O22" s="153">
        <v>2372941.4300000002</v>
      </c>
      <c r="P22" s="153">
        <v>2360830.64</v>
      </c>
      <c r="Q22" s="153">
        <v>1848685.14</v>
      </c>
      <c r="R22" s="153">
        <v>4213340.57</v>
      </c>
      <c r="S22" s="270">
        <f t="shared" si="7"/>
        <v>26960661.289999999</v>
      </c>
      <c r="T22" s="329">
        <f t="shared" si="6"/>
        <v>0.36144109693609799</v>
      </c>
    </row>
    <row r="23" spans="1:24">
      <c r="A23" s="145">
        <v>7124</v>
      </c>
      <c r="B23" s="562" t="str">
        <f>+VLOOKUP($A23,Master!$D$30:$G$226,4,FALSE)</f>
        <v>Ostali doprinosi</v>
      </c>
      <c r="C23" s="563"/>
      <c r="D23" s="563"/>
      <c r="E23" s="563"/>
      <c r="F23" s="563"/>
      <c r="G23" s="153">
        <v>393756.44</v>
      </c>
      <c r="H23" s="153">
        <v>1531996.25</v>
      </c>
      <c r="I23" s="153">
        <v>1555417.14</v>
      </c>
      <c r="J23" s="153">
        <v>1778698.92</v>
      </c>
      <c r="K23" s="153">
        <v>1372039.11</v>
      </c>
      <c r="L23" s="153">
        <v>1530912.28</v>
      </c>
      <c r="M23" s="153">
        <v>1735857.03</v>
      </c>
      <c r="N23" s="153">
        <v>1802589.28</v>
      </c>
      <c r="O23" s="153">
        <v>1764765.55</v>
      </c>
      <c r="P23" s="153">
        <v>1761576.8</v>
      </c>
      <c r="Q23" s="153">
        <v>1353048.97</v>
      </c>
      <c r="R23" s="153">
        <v>2992632.15</v>
      </c>
      <c r="S23" s="270">
        <f t="shared" si="7"/>
        <v>19573289.920000002</v>
      </c>
      <c r="T23" s="329">
        <f t="shared" si="6"/>
        <v>0.26240422307286299</v>
      </c>
      <c r="V23" s="359"/>
      <c r="W23" s="359"/>
      <c r="X23" s="358"/>
    </row>
    <row r="24" spans="1:24">
      <c r="A24" s="145">
        <v>713</v>
      </c>
      <c r="B24" s="566" t="str">
        <f>+VLOOKUP($A24,Master!$D$30:$G$226,4,FALSE)</f>
        <v>Takse</v>
      </c>
      <c r="C24" s="567"/>
      <c r="D24" s="567"/>
      <c r="E24" s="567"/>
      <c r="F24" s="567"/>
      <c r="G24" s="159">
        <v>859681.09</v>
      </c>
      <c r="H24" s="159">
        <v>998586.78</v>
      </c>
      <c r="I24" s="159">
        <v>986568.83</v>
      </c>
      <c r="J24" s="159">
        <v>1424375.75</v>
      </c>
      <c r="K24" s="159">
        <v>1250720.22</v>
      </c>
      <c r="L24" s="373">
        <v>1305037.74</v>
      </c>
      <c r="M24" s="373">
        <v>1842088.06</v>
      </c>
      <c r="N24" s="373">
        <v>1839749.14</v>
      </c>
      <c r="O24" s="373">
        <v>1512960.99</v>
      </c>
      <c r="P24" s="373">
        <v>1483761.47</v>
      </c>
      <c r="Q24" s="373">
        <v>1124852.74</v>
      </c>
      <c r="R24" s="373">
        <v>1630932.82</v>
      </c>
      <c r="S24" s="371">
        <f t="shared" si="7"/>
        <v>16259315.630000001</v>
      </c>
      <c r="T24" s="372">
        <f t="shared" si="6"/>
        <v>0.217976288249176</v>
      </c>
    </row>
    <row r="25" spans="1:24">
      <c r="A25" s="145">
        <v>714</v>
      </c>
      <c r="B25" s="566" t="str">
        <f>+VLOOKUP($A25,Master!$D$30:$G$226,4,FALSE)</f>
        <v>Naknade</v>
      </c>
      <c r="C25" s="567"/>
      <c r="D25" s="567"/>
      <c r="E25" s="567"/>
      <c r="F25" s="567"/>
      <c r="G25" s="159">
        <v>2491580.6800000002</v>
      </c>
      <c r="H25" s="159">
        <v>4111753.23</v>
      </c>
      <c r="I25" s="159">
        <v>3497306.59</v>
      </c>
      <c r="J25" s="159">
        <v>5307671.18</v>
      </c>
      <c r="K25" s="159">
        <v>3457943.4</v>
      </c>
      <c r="L25" s="373">
        <v>4104367.62</v>
      </c>
      <c r="M25" s="373">
        <v>6739444.4199999999</v>
      </c>
      <c r="N25" s="373">
        <v>3916013.25</v>
      </c>
      <c r="O25" s="373">
        <v>4184422.22</v>
      </c>
      <c r="P25" s="373">
        <v>5561939.7699999996</v>
      </c>
      <c r="Q25" s="373">
        <v>4081588.33</v>
      </c>
      <c r="R25" s="373">
        <v>5674135.9900000002</v>
      </c>
      <c r="S25" s="371">
        <f t="shared" si="7"/>
        <v>53128166.68</v>
      </c>
      <c r="T25" s="372">
        <f t="shared" si="6"/>
        <v>0.71224895548632305</v>
      </c>
    </row>
    <row r="26" spans="1:24">
      <c r="A26" s="145">
        <v>715</v>
      </c>
      <c r="B26" s="566" t="str">
        <f>+VLOOKUP($A26,Master!$D$30:$G$226,4,FALSE)</f>
        <v>Ostali prihodi</v>
      </c>
      <c r="C26" s="567"/>
      <c r="D26" s="567"/>
      <c r="E26" s="567"/>
      <c r="F26" s="567"/>
      <c r="G26" s="159">
        <v>7786872.9500000002</v>
      </c>
      <c r="H26" s="159">
        <v>2506480.67</v>
      </c>
      <c r="I26" s="159">
        <v>2145814.85</v>
      </c>
      <c r="J26" s="159">
        <v>12837058.109999999</v>
      </c>
      <c r="K26" s="159">
        <v>3927503.81</v>
      </c>
      <c r="L26" s="373">
        <v>11737785.01</v>
      </c>
      <c r="M26" s="373">
        <v>20189939.059999999</v>
      </c>
      <c r="N26" s="373">
        <v>3567908.31</v>
      </c>
      <c r="O26" s="373">
        <v>9667575.4800000004</v>
      </c>
      <c r="P26" s="373">
        <v>4545482.1500000004</v>
      </c>
      <c r="Q26" s="373">
        <v>2028102.13</v>
      </c>
      <c r="R26" s="373">
        <v>11227784.880000001</v>
      </c>
      <c r="S26" s="371">
        <f t="shared" si="7"/>
        <v>92168307.409999996</v>
      </c>
      <c r="T26" s="372">
        <f t="shared" si="6"/>
        <v>1.23563045337357</v>
      </c>
    </row>
    <row r="27" spans="1:24">
      <c r="A27" s="145">
        <v>73</v>
      </c>
      <c r="B27" s="566" t="str">
        <f>+VLOOKUP($A27,Master!$D$30:$G$226,4,FALSE)</f>
        <v>Primici od otplate kredita i sredstva prenesena iz prethodne godine</v>
      </c>
      <c r="C27" s="567"/>
      <c r="D27" s="567"/>
      <c r="E27" s="567"/>
      <c r="F27" s="567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373">
        <v>0</v>
      </c>
      <c r="M27" s="373">
        <v>0</v>
      </c>
      <c r="N27" s="373">
        <v>0</v>
      </c>
      <c r="O27" s="373">
        <v>0</v>
      </c>
      <c r="P27" s="373">
        <v>0</v>
      </c>
      <c r="Q27" s="373">
        <v>0</v>
      </c>
      <c r="R27" s="373">
        <v>0</v>
      </c>
      <c r="S27" s="371">
        <f t="shared" si="7"/>
        <v>0</v>
      </c>
      <c r="T27" s="372">
        <f t="shared" si="6"/>
        <v>0</v>
      </c>
    </row>
    <row r="28" spans="1:24">
      <c r="A28" s="145">
        <v>74</v>
      </c>
      <c r="B28" s="566" t="str">
        <f>+VLOOKUP($A28,Master!$D$30:$G$226,4,FALSE)</f>
        <v>Donacije i transferi</v>
      </c>
      <c r="C28" s="567"/>
      <c r="D28" s="567"/>
      <c r="E28" s="567"/>
      <c r="F28" s="567"/>
      <c r="G28" s="159">
        <v>4232324.3600000003</v>
      </c>
      <c r="H28" s="159">
        <v>113935.73</v>
      </c>
      <c r="I28" s="159">
        <v>3280879.61</v>
      </c>
      <c r="J28" s="159">
        <v>1986252.18</v>
      </c>
      <c r="K28" s="159">
        <v>1598183.88</v>
      </c>
      <c r="L28" s="373">
        <v>2512594.9</v>
      </c>
      <c r="M28" s="373">
        <v>3161033.91</v>
      </c>
      <c r="N28" s="373">
        <v>3345939.22</v>
      </c>
      <c r="O28" s="373">
        <v>3182006.68</v>
      </c>
      <c r="P28" s="373">
        <v>5569165.9900000002</v>
      </c>
      <c r="Q28" s="373">
        <v>3354070.5</v>
      </c>
      <c r="R28" s="373">
        <v>8518966.4199999999</v>
      </c>
      <c r="S28" s="371">
        <f t="shared" si="7"/>
        <v>40855353.380000003</v>
      </c>
      <c r="T28" s="374">
        <f t="shared" si="6"/>
        <v>0.54771667439983296</v>
      </c>
    </row>
    <row r="29" spans="1:24">
      <c r="A29" s="145">
        <v>4</v>
      </c>
      <c r="B29" s="570" t="str">
        <f>+VLOOKUP($A29,Master!$D$30:$G$226,4,FALSE)</f>
        <v>Izdaci budžeta</v>
      </c>
      <c r="C29" s="571"/>
      <c r="D29" s="571"/>
      <c r="E29" s="571"/>
      <c r="F29" s="571"/>
      <c r="G29" s="146">
        <f>+G30+G40+G46+SUM(G47:G51)</f>
        <v>137635959.58000001</v>
      </c>
      <c r="H29" s="146">
        <f t="shared" ref="H29:L29" si="11">+H30+H40+H46+SUM(H47:H51)</f>
        <v>214356467.37</v>
      </c>
      <c r="I29" s="146">
        <f t="shared" si="11"/>
        <v>231113361.06</v>
      </c>
      <c r="J29" s="146">
        <f t="shared" si="11"/>
        <v>258866419.16</v>
      </c>
      <c r="K29" s="146">
        <f t="shared" si="11"/>
        <v>213972789.61000001</v>
      </c>
      <c r="L29" s="146">
        <f t="shared" si="11"/>
        <v>224309523.65000001</v>
      </c>
      <c r="M29" s="146">
        <f t="shared" ref="M29:R29" si="12">+M30+M40+M46+SUM(M47:M51)</f>
        <v>248827815.75</v>
      </c>
      <c r="N29" s="146">
        <f t="shared" si="12"/>
        <v>204357182.27000001</v>
      </c>
      <c r="O29" s="146">
        <f t="shared" si="12"/>
        <v>254258490.24000001</v>
      </c>
      <c r="P29" s="146">
        <f t="shared" si="12"/>
        <v>253494809.24000001</v>
      </c>
      <c r="Q29" s="146">
        <f t="shared" si="12"/>
        <v>255542689.13999999</v>
      </c>
      <c r="R29" s="146">
        <f t="shared" si="12"/>
        <v>506530085.88</v>
      </c>
      <c r="S29" s="375">
        <f t="shared" si="7"/>
        <v>3003265592.9499998</v>
      </c>
      <c r="T29" s="376">
        <f t="shared" si="6"/>
        <v>40.262499447998103</v>
      </c>
    </row>
    <row r="30" spans="1:24">
      <c r="A30" s="145">
        <v>41</v>
      </c>
      <c r="B30" s="574" t="str">
        <f>+VLOOKUP($A30,Master!$D$30:$G$226,4,FALSE)</f>
        <v>Tekući izdaci</v>
      </c>
      <c r="C30" s="575"/>
      <c r="D30" s="575"/>
      <c r="E30" s="575"/>
      <c r="F30" s="575"/>
      <c r="G30" s="168">
        <f t="shared" ref="G30" si="13">+SUM(G31:G39)</f>
        <v>61594736.350000001</v>
      </c>
      <c r="H30" s="168">
        <f t="shared" ref="H30:L30" si="14">+SUM(H31:H39)</f>
        <v>82043744.409999996</v>
      </c>
      <c r="I30" s="168">
        <f t="shared" si="14"/>
        <v>89978481.019999996</v>
      </c>
      <c r="J30" s="168">
        <f t="shared" si="14"/>
        <v>107662894.62</v>
      </c>
      <c r="K30" s="168">
        <f t="shared" si="14"/>
        <v>86392977.350000098</v>
      </c>
      <c r="L30" s="168">
        <f t="shared" si="14"/>
        <v>85927319.290000007</v>
      </c>
      <c r="M30" s="168">
        <f t="shared" ref="M30:R30" si="15">+SUM(M31:M39)</f>
        <v>88262304.430000007</v>
      </c>
      <c r="N30" s="168">
        <f t="shared" si="15"/>
        <v>78686211.890000001</v>
      </c>
      <c r="O30" s="168">
        <f t="shared" si="15"/>
        <v>109768613.90000001</v>
      </c>
      <c r="P30" s="168">
        <f t="shared" si="15"/>
        <v>104916598.48</v>
      </c>
      <c r="Q30" s="168">
        <f t="shared" si="15"/>
        <v>106595898.45</v>
      </c>
      <c r="R30" s="169">
        <f t="shared" si="15"/>
        <v>189872196.31</v>
      </c>
      <c r="S30" s="377">
        <f t="shared" si="7"/>
        <v>1191701976.5</v>
      </c>
      <c r="T30" s="369">
        <f t="shared" si="6"/>
        <v>15.9762427551003</v>
      </c>
      <c r="U30" s="355"/>
    </row>
    <row r="31" spans="1:24">
      <c r="A31" s="145">
        <v>411</v>
      </c>
      <c r="B31" s="562" t="str">
        <f>+VLOOKUP($A31,Master!$D$30:$G$226,4,FALSE)</f>
        <v>Bruto zarade i doprinosi na teret poslodavca</v>
      </c>
      <c r="C31" s="563"/>
      <c r="D31" s="563"/>
      <c r="E31" s="563"/>
      <c r="F31" s="563"/>
      <c r="G31" s="153">
        <v>55136605.75</v>
      </c>
      <c r="H31" s="153">
        <v>55692234.729999997</v>
      </c>
      <c r="I31" s="153">
        <v>55409710.469999999</v>
      </c>
      <c r="J31" s="153">
        <v>52206356.689999998</v>
      </c>
      <c r="K31" s="153">
        <v>59775777.140000001</v>
      </c>
      <c r="L31" s="153">
        <v>56817583.93</v>
      </c>
      <c r="M31" s="153">
        <v>56265870.18</v>
      </c>
      <c r="N31" s="153">
        <v>55237690.130000003</v>
      </c>
      <c r="O31" s="153">
        <v>57435269.210000001</v>
      </c>
      <c r="P31" s="153">
        <v>57178613.530000001</v>
      </c>
      <c r="Q31" s="153">
        <v>56295292.170000002</v>
      </c>
      <c r="R31" s="153">
        <v>57788253.060000002</v>
      </c>
      <c r="S31" s="270">
        <f t="shared" si="7"/>
        <v>675239256.99000001</v>
      </c>
      <c r="T31" s="329">
        <f t="shared" si="6"/>
        <v>9.05241956477178</v>
      </c>
      <c r="U31" s="355"/>
    </row>
    <row r="32" spans="1:24">
      <c r="A32" s="145">
        <v>412</v>
      </c>
      <c r="B32" s="562" t="str">
        <f>+VLOOKUP($A32,Master!$D$30:$G$226,4,FALSE)</f>
        <v>Ostala lična primanja</v>
      </c>
      <c r="C32" s="563"/>
      <c r="D32" s="563"/>
      <c r="E32" s="563"/>
      <c r="F32" s="563"/>
      <c r="G32" s="153">
        <v>104790.61</v>
      </c>
      <c r="H32" s="153">
        <v>1837884.49</v>
      </c>
      <c r="I32" s="153">
        <v>2257740.92</v>
      </c>
      <c r="J32" s="153">
        <v>1683604.59</v>
      </c>
      <c r="K32" s="153">
        <v>1510365</v>
      </c>
      <c r="L32" s="153">
        <v>1609176.66</v>
      </c>
      <c r="M32" s="153">
        <v>1737204.92</v>
      </c>
      <c r="N32" s="153">
        <v>1253291.99</v>
      </c>
      <c r="O32" s="153">
        <v>1536869.67</v>
      </c>
      <c r="P32" s="153">
        <v>1989821.82</v>
      </c>
      <c r="Q32" s="153">
        <v>1815072.88</v>
      </c>
      <c r="R32" s="153">
        <v>3369371.71</v>
      </c>
      <c r="S32" s="270">
        <f t="shared" si="7"/>
        <v>20705195.260000002</v>
      </c>
      <c r="T32" s="329">
        <f t="shared" si="6"/>
        <v>0.27757881776535898</v>
      </c>
      <c r="U32" s="355"/>
      <c r="V32" s="173"/>
    </row>
    <row r="33" spans="1:24">
      <c r="A33" s="145">
        <v>413</v>
      </c>
      <c r="B33" s="562" t="str">
        <f>+VLOOKUP($A33,Master!$D$30:$G$226,4,FALSE)</f>
        <v>Rashodi za materijal</v>
      </c>
      <c r="C33" s="563"/>
      <c r="D33" s="563"/>
      <c r="E33" s="563"/>
      <c r="F33" s="563"/>
      <c r="G33" s="153">
        <v>201738.94</v>
      </c>
      <c r="H33" s="153">
        <v>3185464.53</v>
      </c>
      <c r="I33" s="153">
        <v>3529714.79</v>
      </c>
      <c r="J33" s="153">
        <v>3285232.91</v>
      </c>
      <c r="K33" s="153">
        <v>2227446.27</v>
      </c>
      <c r="L33" s="153">
        <v>2342625.54</v>
      </c>
      <c r="M33" s="153">
        <v>3340983.53</v>
      </c>
      <c r="N33" s="153">
        <v>1736766.36</v>
      </c>
      <c r="O33" s="153">
        <v>4477978.96</v>
      </c>
      <c r="P33" s="153">
        <v>3454251.1</v>
      </c>
      <c r="Q33" s="153">
        <v>2993781.35</v>
      </c>
      <c r="R33" s="153">
        <v>9282037.9700000007</v>
      </c>
      <c r="S33" s="270">
        <f t="shared" si="7"/>
        <v>40058022.25</v>
      </c>
      <c r="T33" s="329">
        <f t="shared" si="6"/>
        <v>0.53702746187835104</v>
      </c>
      <c r="U33" s="355"/>
    </row>
    <row r="34" spans="1:24" s="267" customFormat="1">
      <c r="A34" s="272">
        <v>414</v>
      </c>
      <c r="B34" s="600" t="str">
        <f>+VLOOKUP($A34,Master!$D$30:$G$226,4,FALSE)</f>
        <v>Rashodi za usluge</v>
      </c>
      <c r="C34" s="601"/>
      <c r="D34" s="601"/>
      <c r="E34" s="601"/>
      <c r="F34" s="601"/>
      <c r="G34" s="153">
        <v>757981.92</v>
      </c>
      <c r="H34" s="153">
        <v>3300375.67</v>
      </c>
      <c r="I34" s="153">
        <v>6875965.6500000004</v>
      </c>
      <c r="J34" s="153">
        <v>6034145.7300000004</v>
      </c>
      <c r="K34" s="153">
        <v>4158479.13</v>
      </c>
      <c r="L34" s="153">
        <v>5569605.3799999999</v>
      </c>
      <c r="M34" s="153">
        <v>6877088.6399999997</v>
      </c>
      <c r="N34" s="153">
        <v>3795777.28</v>
      </c>
      <c r="O34" s="153">
        <v>4358161.21</v>
      </c>
      <c r="P34" s="153">
        <v>7251119.8099999996</v>
      </c>
      <c r="Q34" s="153">
        <v>8211565.2000000002</v>
      </c>
      <c r="R34" s="153">
        <v>24116042.670000002</v>
      </c>
      <c r="S34" s="270">
        <f t="shared" si="7"/>
        <v>81306308.290000007</v>
      </c>
      <c r="T34" s="329">
        <f t="shared" si="6"/>
        <v>1.0900118858383601</v>
      </c>
      <c r="U34" s="355"/>
    </row>
    <row r="35" spans="1:24">
      <c r="A35" s="145">
        <v>415</v>
      </c>
      <c r="B35" s="562" t="str">
        <f>+VLOOKUP($A35,Master!$D$30:$G$226,4,FALSE)</f>
        <v>Rashodi za tekuće održavanje</v>
      </c>
      <c r="C35" s="563"/>
      <c r="D35" s="563"/>
      <c r="E35" s="563"/>
      <c r="F35" s="563"/>
      <c r="G35" s="153">
        <v>4201.6000000000004</v>
      </c>
      <c r="H35" s="153">
        <v>1444596.62</v>
      </c>
      <c r="I35" s="153">
        <v>1881519.32</v>
      </c>
      <c r="J35" s="153">
        <v>3225823.82</v>
      </c>
      <c r="K35" s="153">
        <v>501842.65</v>
      </c>
      <c r="L35" s="153">
        <v>3134652.47</v>
      </c>
      <c r="M35" s="153">
        <v>3729643.08</v>
      </c>
      <c r="N35" s="153">
        <v>2811315.12</v>
      </c>
      <c r="O35" s="153">
        <v>4060157.35</v>
      </c>
      <c r="P35" s="153">
        <v>2529921.85</v>
      </c>
      <c r="Q35" s="153">
        <v>2986528.77</v>
      </c>
      <c r="R35" s="153">
        <v>7558144.2599999998</v>
      </c>
      <c r="S35" s="270">
        <f t="shared" si="7"/>
        <v>33868346.909999996</v>
      </c>
      <c r="T35" s="329">
        <f t="shared" si="6"/>
        <v>0.45404718849025999</v>
      </c>
      <c r="U35" s="355"/>
    </row>
    <row r="36" spans="1:24">
      <c r="A36" s="145">
        <v>416</v>
      </c>
      <c r="B36" s="562" t="str">
        <f>+VLOOKUP($A36,Master!$D$30:$G$226,4,FALSE)</f>
        <v>Kamate</v>
      </c>
      <c r="C36" s="563"/>
      <c r="D36" s="563"/>
      <c r="E36" s="563"/>
      <c r="F36" s="563"/>
      <c r="G36" s="153">
        <v>4029329.47</v>
      </c>
      <c r="H36" s="153">
        <v>4134269.14</v>
      </c>
      <c r="I36" s="153">
        <v>7187851.2999999998</v>
      </c>
      <c r="J36" s="153">
        <v>31152460.93</v>
      </c>
      <c r="K36" s="153">
        <v>8072726.5899999999</v>
      </c>
      <c r="L36" s="153">
        <v>5854358.29</v>
      </c>
      <c r="M36" s="153">
        <v>3738849.7</v>
      </c>
      <c r="N36" s="153">
        <v>3976245.22</v>
      </c>
      <c r="O36" s="153">
        <v>25966444.5</v>
      </c>
      <c r="P36" s="153">
        <v>14869850.66</v>
      </c>
      <c r="Q36" s="153">
        <v>13088141.83</v>
      </c>
      <c r="R36" s="153">
        <v>27215872.760000002</v>
      </c>
      <c r="S36" s="270">
        <f t="shared" si="7"/>
        <v>149286400.38999999</v>
      </c>
      <c r="T36" s="329">
        <f t="shared" si="6"/>
        <v>2.0013693185862902</v>
      </c>
      <c r="U36" s="355"/>
      <c r="V36" s="173"/>
    </row>
    <row r="37" spans="1:24">
      <c r="A37" s="145">
        <v>417</v>
      </c>
      <c r="B37" s="562" t="str">
        <f>+VLOOKUP($A37,Master!$D$30:$G$226,4,FALSE)</f>
        <v>Renta</v>
      </c>
      <c r="C37" s="563"/>
      <c r="D37" s="563"/>
      <c r="E37" s="563"/>
      <c r="F37" s="563"/>
      <c r="G37" s="153">
        <v>155.47</v>
      </c>
      <c r="H37" s="153">
        <v>1060133</v>
      </c>
      <c r="I37" s="153">
        <v>1228548.27</v>
      </c>
      <c r="J37" s="153">
        <v>1368144.23</v>
      </c>
      <c r="K37" s="153">
        <v>707637.62</v>
      </c>
      <c r="L37" s="153">
        <v>996164.27</v>
      </c>
      <c r="M37" s="153">
        <v>1022257.58</v>
      </c>
      <c r="N37" s="153">
        <v>1097677.0900000001</v>
      </c>
      <c r="O37" s="153">
        <v>456664.23</v>
      </c>
      <c r="P37" s="153">
        <v>871596.95</v>
      </c>
      <c r="Q37" s="153">
        <v>1032976.07</v>
      </c>
      <c r="R37" s="153">
        <v>3659045.22</v>
      </c>
      <c r="S37" s="270">
        <f t="shared" si="7"/>
        <v>13501000</v>
      </c>
      <c r="T37" s="329">
        <f t="shared" si="6"/>
        <v>0.18099764680268601</v>
      </c>
      <c r="U37" s="355"/>
      <c r="V37" s="173"/>
    </row>
    <row r="38" spans="1:24">
      <c r="A38" s="145">
        <v>418</v>
      </c>
      <c r="B38" s="562" t="str">
        <f>+VLOOKUP($A38,Master!$D$30:$G$226,4,FALSE)</f>
        <v>Subvencije</v>
      </c>
      <c r="C38" s="563"/>
      <c r="D38" s="563"/>
      <c r="E38" s="563"/>
      <c r="F38" s="563"/>
      <c r="G38" s="153">
        <v>1261570.01</v>
      </c>
      <c r="H38" s="153">
        <v>3823193.8399999901</v>
      </c>
      <c r="I38" s="153">
        <v>6034941.5099999905</v>
      </c>
      <c r="J38" s="153">
        <v>4256461.24</v>
      </c>
      <c r="K38" s="153">
        <v>4091213.44</v>
      </c>
      <c r="L38" s="153">
        <v>5603254.6099999901</v>
      </c>
      <c r="M38" s="153">
        <v>6020163.6200000001</v>
      </c>
      <c r="N38" s="153">
        <v>5377628.46</v>
      </c>
      <c r="O38" s="153">
        <v>8420721.0700000003</v>
      </c>
      <c r="P38" s="153">
        <v>11936637.32</v>
      </c>
      <c r="Q38" s="153">
        <v>14006807.800000001</v>
      </c>
      <c r="R38" s="153">
        <v>17955567.600000001</v>
      </c>
      <c r="S38" s="270">
        <f t="shared" si="7"/>
        <v>88788160.519999996</v>
      </c>
      <c r="T38" s="329">
        <f t="shared" si="6"/>
        <v>1.1903153927901</v>
      </c>
      <c r="U38" s="355"/>
    </row>
    <row r="39" spans="1:24">
      <c r="A39" s="145">
        <v>419</v>
      </c>
      <c r="B39" s="562" t="str">
        <f>+VLOOKUP($A39,Master!$D$30:$G$226,4,FALSE)</f>
        <v>Ostali izdaci</v>
      </c>
      <c r="C39" s="563"/>
      <c r="D39" s="563"/>
      <c r="E39" s="563"/>
      <c r="F39" s="563"/>
      <c r="G39" s="153">
        <v>98362.58</v>
      </c>
      <c r="H39" s="153">
        <v>7565592.3899999997</v>
      </c>
      <c r="I39" s="153">
        <v>5572488.79</v>
      </c>
      <c r="J39" s="153">
        <v>4450664.4800000004</v>
      </c>
      <c r="K39" s="153">
        <v>5347489.51</v>
      </c>
      <c r="L39" s="153">
        <v>3999898.14</v>
      </c>
      <c r="M39" s="153">
        <v>5530243.1799999997</v>
      </c>
      <c r="N39" s="153">
        <v>3399820.24</v>
      </c>
      <c r="O39" s="153">
        <v>3056347.7</v>
      </c>
      <c r="P39" s="153">
        <v>4834785.4400000004</v>
      </c>
      <c r="Q39" s="153">
        <v>6165732.3799999999</v>
      </c>
      <c r="R39" s="153">
        <v>38927861.060000002</v>
      </c>
      <c r="S39" s="270">
        <f t="shared" si="7"/>
        <v>88949285.890000001</v>
      </c>
      <c r="T39" s="329">
        <f t="shared" si="6"/>
        <v>1.1924754781771201</v>
      </c>
      <c r="U39" s="355"/>
      <c r="V39" s="173"/>
    </row>
    <row r="40" spans="1:24">
      <c r="A40" s="145">
        <v>42</v>
      </c>
      <c r="B40" s="576" t="str">
        <f>+VLOOKUP($A40,Master!$D$30:$G$226,4,FALSE)</f>
        <v>Transferi za socijalnu zaštitu</v>
      </c>
      <c r="C40" s="577"/>
      <c r="D40" s="577"/>
      <c r="E40" s="577"/>
      <c r="F40" s="577"/>
      <c r="G40" s="174">
        <f>+SUM(G41:G45)</f>
        <v>68104395.890000001</v>
      </c>
      <c r="H40" s="174">
        <f t="shared" ref="H40:L40" si="16">+SUM(H41:H45)</f>
        <v>82001953.829999998</v>
      </c>
      <c r="I40" s="174">
        <f t="shared" si="16"/>
        <v>83531080.799999997</v>
      </c>
      <c r="J40" s="174">
        <f t="shared" si="16"/>
        <v>83362793.790000007</v>
      </c>
      <c r="K40" s="174">
        <f t="shared" si="16"/>
        <v>81960398.969999999</v>
      </c>
      <c r="L40" s="174">
        <f t="shared" si="16"/>
        <v>84080432.439999998</v>
      </c>
      <c r="M40" s="174">
        <f t="shared" ref="M40:R40" si="17">+SUM(M41:M45)</f>
        <v>88657241.409999996</v>
      </c>
      <c r="N40" s="174">
        <f t="shared" si="17"/>
        <v>85093907.650000006</v>
      </c>
      <c r="O40" s="174">
        <f t="shared" si="17"/>
        <v>83189568.569999993</v>
      </c>
      <c r="P40" s="174">
        <f t="shared" si="17"/>
        <v>86712279.430000007</v>
      </c>
      <c r="Q40" s="174">
        <f t="shared" si="17"/>
        <v>88244056.319999993</v>
      </c>
      <c r="R40" s="174">
        <f t="shared" si="17"/>
        <v>93229645.209999993</v>
      </c>
      <c r="S40" s="378">
        <f t="shared" si="7"/>
        <v>1008167754.3099999</v>
      </c>
      <c r="T40" s="379">
        <f t="shared" si="6"/>
        <v>13.5157389165586</v>
      </c>
      <c r="U40" s="355"/>
    </row>
    <row r="41" spans="1:24">
      <c r="A41" s="145">
        <v>421</v>
      </c>
      <c r="B41" s="562" t="str">
        <f>+VLOOKUP($A41,Master!$D$30:$G$226,4,FALSE)</f>
        <v>Prava iz oblasti socijalne zaštite</v>
      </c>
      <c r="C41" s="563"/>
      <c r="D41" s="563"/>
      <c r="E41" s="563"/>
      <c r="F41" s="563"/>
      <c r="G41" s="153">
        <v>17183646.739999998</v>
      </c>
      <c r="H41" s="153">
        <v>17507547.41</v>
      </c>
      <c r="I41" s="153">
        <v>16928238.350000001</v>
      </c>
      <c r="J41" s="153">
        <v>17627062.289999999</v>
      </c>
      <c r="K41" s="153">
        <v>17001906.07</v>
      </c>
      <c r="L41" s="153">
        <v>17979185.620000001</v>
      </c>
      <c r="M41" s="153">
        <v>16917527.129999999</v>
      </c>
      <c r="N41" s="153">
        <v>18622201.02</v>
      </c>
      <c r="O41" s="153">
        <v>16239772.939999999</v>
      </c>
      <c r="P41" s="153">
        <v>18952775.550000001</v>
      </c>
      <c r="Q41" s="153">
        <v>20366430.100000001</v>
      </c>
      <c r="R41" s="153">
        <v>17669066.620000001</v>
      </c>
      <c r="S41" s="270">
        <f t="shared" si="7"/>
        <v>212995359.84</v>
      </c>
      <c r="T41" s="329">
        <f t="shared" si="6"/>
        <v>2.85546692177848</v>
      </c>
      <c r="U41" s="355"/>
    </row>
    <row r="42" spans="1:24">
      <c r="A42" s="145">
        <v>422</v>
      </c>
      <c r="B42" s="562" t="str">
        <f>+VLOOKUP($A42,Master!$D$30:$G$226,4,FALSE)</f>
        <v>Sredstva za tehnološke viškove</v>
      </c>
      <c r="C42" s="563"/>
      <c r="D42" s="563"/>
      <c r="E42" s="563"/>
      <c r="F42" s="563"/>
      <c r="G42" s="153">
        <v>0</v>
      </c>
      <c r="H42" s="153">
        <v>1977301.41</v>
      </c>
      <c r="I42" s="153">
        <v>1962698.8</v>
      </c>
      <c r="J42" s="153">
        <v>1911485.76</v>
      </c>
      <c r="K42" s="153">
        <v>1876474.3</v>
      </c>
      <c r="L42" s="153">
        <v>1850184.16</v>
      </c>
      <c r="M42" s="153">
        <v>1906089.06</v>
      </c>
      <c r="N42" s="153">
        <v>1848788.09</v>
      </c>
      <c r="O42" s="153">
        <v>1914382.27</v>
      </c>
      <c r="P42" s="153">
        <v>1817889.25</v>
      </c>
      <c r="Q42" s="153">
        <v>1692636.94</v>
      </c>
      <c r="R42" s="153">
        <v>7258641.3300000001</v>
      </c>
      <c r="S42" s="270">
        <f t="shared" si="7"/>
        <v>26016571.370000001</v>
      </c>
      <c r="T42" s="329">
        <f t="shared" si="6"/>
        <v>0.34878440084765</v>
      </c>
      <c r="U42" s="355"/>
      <c r="V42" s="173"/>
    </row>
    <row r="43" spans="1:24">
      <c r="A43" s="145">
        <v>423</v>
      </c>
      <c r="B43" s="562" t="str">
        <f>+VLOOKUP($A43,Master!$D$30:$G$226,4,FALSE)</f>
        <v>Prava iz oblasti penzijskog i invalidskog osiguranja</v>
      </c>
      <c r="C43" s="563"/>
      <c r="D43" s="563"/>
      <c r="E43" s="563"/>
      <c r="F43" s="563"/>
      <c r="G43" s="153">
        <v>49992836.859999999</v>
      </c>
      <c r="H43" s="153">
        <v>60436837.380000003</v>
      </c>
      <c r="I43" s="153">
        <v>61009059.659999996</v>
      </c>
      <c r="J43" s="153">
        <v>61180414.659999996</v>
      </c>
      <c r="K43" s="153">
        <v>60912897.670000002</v>
      </c>
      <c r="L43" s="153">
        <v>61972227.07</v>
      </c>
      <c r="M43" s="153">
        <v>61550827.920000002</v>
      </c>
      <c r="N43" s="153">
        <v>62111987.969999999</v>
      </c>
      <c r="O43" s="153">
        <v>62041259.770000003</v>
      </c>
      <c r="P43" s="153">
        <v>62741828.979999997</v>
      </c>
      <c r="Q43" s="153">
        <v>62810408.869999997</v>
      </c>
      <c r="R43" s="153">
        <v>63648277.5</v>
      </c>
      <c r="S43" s="270">
        <f t="shared" si="7"/>
        <v>730408864.30999994</v>
      </c>
      <c r="T43" s="329">
        <f t="shared" si="6"/>
        <v>9.7920365635087805</v>
      </c>
      <c r="U43" s="355"/>
    </row>
    <row r="44" spans="1:24">
      <c r="A44" s="145">
        <v>424</v>
      </c>
      <c r="B44" s="562" t="str">
        <f>+VLOOKUP($A44,Master!$D$30:$G$226,4,FALSE)</f>
        <v>Ostala prava iz oblasti zdravstvene zaštite</v>
      </c>
      <c r="C44" s="563"/>
      <c r="D44" s="563"/>
      <c r="E44" s="563"/>
      <c r="F44" s="563"/>
      <c r="G44" s="153">
        <v>893164.24</v>
      </c>
      <c r="H44" s="153">
        <v>857362.15</v>
      </c>
      <c r="I44" s="153">
        <v>1257824.81</v>
      </c>
      <c r="J44" s="153">
        <v>1233497.58</v>
      </c>
      <c r="K44" s="153">
        <v>1005825.65</v>
      </c>
      <c r="L44" s="153">
        <v>1033640.74</v>
      </c>
      <c r="M44" s="153">
        <v>6613796.0999999996</v>
      </c>
      <c r="N44" s="153">
        <v>1831545.69</v>
      </c>
      <c r="O44" s="153">
        <v>1235670.44</v>
      </c>
      <c r="P44" s="153">
        <v>1750407.29</v>
      </c>
      <c r="Q44" s="153">
        <v>1490076.64</v>
      </c>
      <c r="R44" s="153">
        <v>2910809.95</v>
      </c>
      <c r="S44" s="270">
        <f t="shared" si="7"/>
        <v>22113621.280000001</v>
      </c>
      <c r="T44" s="329">
        <f t="shared" si="6"/>
        <v>0.29646051507042398</v>
      </c>
      <c r="U44" s="355"/>
    </row>
    <row r="45" spans="1:24" s="267" customFormat="1">
      <c r="A45" s="272">
        <v>425</v>
      </c>
      <c r="B45" s="602" t="str">
        <f>+VLOOKUP($A45,Master!$D$30:$G$226,4,FALSE)</f>
        <v>Ostala prava iz zdravstvenog osiguranja</v>
      </c>
      <c r="C45" s="603"/>
      <c r="D45" s="603"/>
      <c r="E45" s="603"/>
      <c r="F45" s="603"/>
      <c r="G45" s="153">
        <v>34748.050000000003</v>
      </c>
      <c r="H45" s="153">
        <v>1222905.48</v>
      </c>
      <c r="I45" s="153">
        <v>2373259.1800000002</v>
      </c>
      <c r="J45" s="153">
        <v>1410333.5</v>
      </c>
      <c r="K45" s="153">
        <v>1163295.28</v>
      </c>
      <c r="L45" s="153">
        <v>1245194.8500000001</v>
      </c>
      <c r="M45" s="153">
        <v>1669001.2</v>
      </c>
      <c r="N45" s="153">
        <v>679384.88</v>
      </c>
      <c r="O45" s="153">
        <v>1758483.15</v>
      </c>
      <c r="P45" s="153">
        <v>1449378.36</v>
      </c>
      <c r="Q45" s="153">
        <v>1884503.77</v>
      </c>
      <c r="R45" s="153">
        <v>1742849.81</v>
      </c>
      <c r="S45" s="270">
        <f t="shared" si="7"/>
        <v>16633337.51</v>
      </c>
      <c r="T45" s="329">
        <f t="shared" si="6"/>
        <v>0.222990515353295</v>
      </c>
      <c r="U45" s="355"/>
    </row>
    <row r="46" spans="1:24">
      <c r="A46" s="145">
        <v>43</v>
      </c>
      <c r="B46" s="580" t="str">
        <f>+VLOOKUP($A46,Master!$D$30:$G$226,4,FALSE)</f>
        <v>Transferi institucijama, pojedincima, nevladinom i javnom sektoru</v>
      </c>
      <c r="C46" s="581"/>
      <c r="D46" s="581"/>
      <c r="E46" s="581"/>
      <c r="F46" s="581"/>
      <c r="G46" s="159">
        <v>2751107.63</v>
      </c>
      <c r="H46" s="159">
        <v>35873257.969999999</v>
      </c>
      <c r="I46" s="159">
        <v>38911277.520000003</v>
      </c>
      <c r="J46" s="159">
        <v>41196450.399999999</v>
      </c>
      <c r="K46" s="159">
        <v>23893855.460000001</v>
      </c>
      <c r="L46" s="159">
        <v>33632618.140000001</v>
      </c>
      <c r="M46" s="159">
        <v>42177725.590000004</v>
      </c>
      <c r="N46" s="159">
        <v>25513178.25</v>
      </c>
      <c r="O46" s="159">
        <v>33676928.659999996</v>
      </c>
      <c r="P46" s="159">
        <v>30731068.66</v>
      </c>
      <c r="Q46" s="159">
        <v>34757123.659999996</v>
      </c>
      <c r="R46" s="159">
        <v>86071555.379999995</v>
      </c>
      <c r="S46" s="371">
        <f t="shared" si="7"/>
        <v>429186147.31999999</v>
      </c>
      <c r="T46" s="372">
        <f t="shared" si="6"/>
        <v>5.7537725135346003</v>
      </c>
      <c r="U46" s="355"/>
    </row>
    <row r="47" spans="1:24">
      <c r="A47" s="145">
        <v>44</v>
      </c>
      <c r="B47" s="580" t="str">
        <f>+VLOOKUP($A47,Master!$D$30:$G$226,4,FALSE)</f>
        <v>Kapitalni izdaci</v>
      </c>
      <c r="C47" s="581"/>
      <c r="D47" s="581"/>
      <c r="E47" s="581"/>
      <c r="F47" s="581"/>
      <c r="G47" s="159">
        <v>3531423.45</v>
      </c>
      <c r="H47" s="159">
        <v>9832570.8200000003</v>
      </c>
      <c r="I47" s="159">
        <v>15207243.57</v>
      </c>
      <c r="J47" s="159">
        <v>22608925.77</v>
      </c>
      <c r="K47" s="159">
        <v>11794812.939999999</v>
      </c>
      <c r="L47" s="159">
        <v>14825602.35</v>
      </c>
      <c r="M47" s="159">
        <v>21925196.23</v>
      </c>
      <c r="N47" s="159">
        <v>10857865.77</v>
      </c>
      <c r="O47" s="159">
        <v>26558155.800000001</v>
      </c>
      <c r="P47" s="159">
        <v>27898832.84</v>
      </c>
      <c r="Q47" s="159">
        <v>24234766.84</v>
      </c>
      <c r="R47" s="159">
        <v>109853091.15000001</v>
      </c>
      <c r="S47" s="371">
        <f t="shared" si="7"/>
        <v>299128487.52999997</v>
      </c>
      <c r="T47" s="372">
        <f t="shared" si="6"/>
        <v>4.0101883071310596</v>
      </c>
      <c r="U47" s="355"/>
      <c r="V47" s="173"/>
      <c r="W47" s="172"/>
      <c r="X47" s="172"/>
    </row>
    <row r="48" spans="1:24">
      <c r="A48" s="145">
        <v>451</v>
      </c>
      <c r="B48" s="604" t="str">
        <f>+VLOOKUP($A48,Master!$D$30:$G$226,4,FALSE)</f>
        <v>Pozajmice i krediti</v>
      </c>
      <c r="C48" s="605"/>
      <c r="D48" s="605"/>
      <c r="E48" s="605"/>
      <c r="F48" s="605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270">
        <f t="shared" si="7"/>
        <v>0</v>
      </c>
      <c r="T48" s="329">
        <f t="shared" si="6"/>
        <v>0</v>
      </c>
      <c r="U48" s="355"/>
      <c r="V48" s="172"/>
    </row>
    <row r="49" spans="1:21" s="267" customFormat="1">
      <c r="A49" s="272">
        <v>47</v>
      </c>
      <c r="B49" s="606" t="str">
        <f>+VLOOKUP($A49,Master!$D$30:$G$226,4,FALSE)</f>
        <v>Rezerve</v>
      </c>
      <c r="C49" s="607"/>
      <c r="D49" s="607"/>
      <c r="E49" s="607"/>
      <c r="F49" s="607"/>
      <c r="G49" s="153">
        <v>0</v>
      </c>
      <c r="H49" s="153">
        <v>0</v>
      </c>
      <c r="I49" s="153">
        <v>754804.72</v>
      </c>
      <c r="J49" s="153">
        <v>2241991.63</v>
      </c>
      <c r="K49" s="153">
        <v>8144950</v>
      </c>
      <c r="L49" s="153">
        <v>3778637.9</v>
      </c>
      <c r="M49" s="153">
        <v>5528221.54</v>
      </c>
      <c r="N49" s="153">
        <v>13662.2</v>
      </c>
      <c r="O49" s="153">
        <v>5725</v>
      </c>
      <c r="P49" s="153">
        <v>2349062.94</v>
      </c>
      <c r="Q49" s="153">
        <v>623337.71</v>
      </c>
      <c r="R49" s="153">
        <v>25368889.32</v>
      </c>
      <c r="S49" s="270">
        <f t="shared" si="7"/>
        <v>48809282.960000001</v>
      </c>
      <c r="T49" s="329">
        <f t="shared" si="6"/>
        <v>0.65434896362391004</v>
      </c>
      <c r="U49" s="355"/>
    </row>
    <row r="50" spans="1:21">
      <c r="A50" s="145">
        <v>462</v>
      </c>
      <c r="B50" s="578" t="str">
        <f>+VLOOKUP($A50,Master!$D$30:$G$226,4,FALSE)</f>
        <v>Otplata garancija</v>
      </c>
      <c r="C50" s="579"/>
      <c r="D50" s="579"/>
      <c r="E50" s="579"/>
      <c r="F50" s="579"/>
      <c r="G50" s="153">
        <v>0</v>
      </c>
      <c r="H50" s="153">
        <v>2301161.16</v>
      </c>
      <c r="I50" s="153">
        <v>0</v>
      </c>
      <c r="J50" s="153">
        <v>0</v>
      </c>
      <c r="K50" s="153">
        <v>0</v>
      </c>
      <c r="L50" s="153">
        <v>0</v>
      </c>
      <c r="M50" s="153">
        <v>0</v>
      </c>
      <c r="N50" s="153">
        <v>3548206.51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7"/>
        <v>5849367.6699999999</v>
      </c>
      <c r="T50" s="329">
        <f t="shared" si="6"/>
        <v>7.8418027076046795E-2</v>
      </c>
      <c r="U50" s="355"/>
    </row>
    <row r="51" spans="1:21">
      <c r="A51" s="136">
        <v>4630</v>
      </c>
      <c r="B51" s="608" t="str">
        <f>+VLOOKUP($A51,Master!$D$30:$G$226,4,TRUE)</f>
        <v>Otplata obaveza iz prethodnog perioda</v>
      </c>
      <c r="C51" s="609"/>
      <c r="D51" s="609"/>
      <c r="E51" s="609"/>
      <c r="F51" s="609"/>
      <c r="G51" s="335">
        <v>1654296.26</v>
      </c>
      <c r="H51" s="335">
        <v>2303779.1800000002</v>
      </c>
      <c r="I51" s="335">
        <v>2730473.43</v>
      </c>
      <c r="J51" s="335">
        <v>1793362.95</v>
      </c>
      <c r="K51" s="335">
        <v>1785794.89</v>
      </c>
      <c r="L51" s="335">
        <v>2064913.53</v>
      </c>
      <c r="M51" s="335">
        <v>2277126.5499999998</v>
      </c>
      <c r="N51" s="335">
        <v>644150</v>
      </c>
      <c r="O51" s="335">
        <v>1059498.31</v>
      </c>
      <c r="P51" s="335">
        <v>886966.89</v>
      </c>
      <c r="Q51" s="335">
        <v>1087506.1599999999</v>
      </c>
      <c r="R51" s="335">
        <v>2134708.5099999998</v>
      </c>
      <c r="S51" s="290">
        <f t="shared" si="7"/>
        <v>20422576.66</v>
      </c>
      <c r="T51" s="337">
        <f t="shared" si="6"/>
        <v>0.27378996497351699</v>
      </c>
      <c r="U51" s="355"/>
    </row>
    <row r="52" spans="1:21">
      <c r="A52" s="128">
        <v>1005</v>
      </c>
      <c r="B52" s="610" t="str">
        <f>+VLOOKUP($A52,Master!$D$30:$G$228,4,FALSE)</f>
        <v>Neto povećanje obaveza</v>
      </c>
      <c r="C52" s="611"/>
      <c r="D52" s="611"/>
      <c r="E52" s="611"/>
      <c r="F52" s="611"/>
      <c r="G52" s="183">
        <v>0</v>
      </c>
      <c r="H52" s="183">
        <v>0</v>
      </c>
      <c r="I52" s="183">
        <v>0</v>
      </c>
      <c r="J52" s="183">
        <v>0</v>
      </c>
      <c r="K52" s="183">
        <v>0</v>
      </c>
      <c r="L52" s="183">
        <v>0</v>
      </c>
      <c r="M52" s="183">
        <v>0</v>
      </c>
      <c r="N52" s="183">
        <v>0</v>
      </c>
      <c r="O52" s="183">
        <v>0</v>
      </c>
      <c r="P52" s="183">
        <v>0</v>
      </c>
      <c r="Q52" s="183">
        <v>0</v>
      </c>
      <c r="R52" s="356">
        <v>0</v>
      </c>
      <c r="S52" s="292">
        <f t="shared" si="7"/>
        <v>0</v>
      </c>
      <c r="T52" s="338">
        <f t="shared" si="6"/>
        <v>0</v>
      </c>
    </row>
    <row r="53" spans="1:21">
      <c r="A53" s="136">
        <v>1000</v>
      </c>
      <c r="B53" s="596" t="str">
        <f>+VLOOKUP($A53,Master!$D$30:$G$226,4,FALSE)</f>
        <v>Suficit / deficit</v>
      </c>
      <c r="C53" s="597"/>
      <c r="D53" s="597"/>
      <c r="E53" s="597"/>
      <c r="F53" s="597"/>
      <c r="G53" s="146">
        <f t="shared" ref="G53" si="18">+G10-G29</f>
        <v>13294664.98</v>
      </c>
      <c r="H53" s="146">
        <f t="shared" ref="H53:L53" si="19">+H10-H29</f>
        <v>-34107809.829999998</v>
      </c>
      <c r="I53" s="146">
        <f t="shared" si="19"/>
        <v>13433746.7600001</v>
      </c>
      <c r="J53" s="146">
        <f t="shared" si="19"/>
        <v>58708150.710000098</v>
      </c>
      <c r="K53" s="146">
        <f t="shared" si="19"/>
        <v>-18773496.310000099</v>
      </c>
      <c r="L53" s="146">
        <f t="shared" si="19"/>
        <v>-3079107.9499999001</v>
      </c>
      <c r="M53" s="146">
        <f t="shared" ref="M53:R53" si="20">+M10-M29</f>
        <v>14409119.1</v>
      </c>
      <c r="N53" s="146">
        <f t="shared" si="20"/>
        <v>50583022.710000098</v>
      </c>
      <c r="O53" s="146">
        <f t="shared" si="20"/>
        <v>-6347347.7199999997</v>
      </c>
      <c r="P53" s="146">
        <f t="shared" si="20"/>
        <v>-10631104.7999999</v>
      </c>
      <c r="Q53" s="146">
        <f t="shared" si="20"/>
        <v>-76573381.260000005</v>
      </c>
      <c r="R53" s="146">
        <f t="shared" si="20"/>
        <v>-248464779.47</v>
      </c>
      <c r="S53" s="380">
        <f>SUM(G53:R53)</f>
        <v>-247548323.08000001</v>
      </c>
      <c r="T53" s="381">
        <f t="shared" si="6"/>
        <v>-3.3186922411251598</v>
      </c>
    </row>
    <row r="54" spans="1:21">
      <c r="A54" s="136">
        <v>1001</v>
      </c>
      <c r="B54" s="598" t="str">
        <f>+VLOOKUP($A54,Master!$D$30:$G$226,4,FALSE)</f>
        <v>Primarni suficit/deficit</v>
      </c>
      <c r="C54" s="599"/>
      <c r="D54" s="599"/>
      <c r="E54" s="599"/>
      <c r="F54" s="599"/>
      <c r="G54" s="190">
        <f t="shared" ref="G54" si="21">+G53+G36</f>
        <v>17323994.449999999</v>
      </c>
      <c r="H54" s="190">
        <f t="shared" ref="H54:L54" si="22">+H53+H36</f>
        <v>-29973540.690000001</v>
      </c>
      <c r="I54" s="190">
        <f t="shared" si="22"/>
        <v>20621598.059999999</v>
      </c>
      <c r="J54" s="190">
        <f t="shared" si="22"/>
        <v>89860611.640000105</v>
      </c>
      <c r="K54" s="190">
        <f t="shared" si="22"/>
        <v>-10700769.720000099</v>
      </c>
      <c r="L54" s="190">
        <f t="shared" si="22"/>
        <v>2775250.3400001</v>
      </c>
      <c r="M54" s="190">
        <f t="shared" ref="M54:R54" si="23">+M53+M36</f>
        <v>18147968.800000001</v>
      </c>
      <c r="N54" s="190">
        <f t="shared" si="23"/>
        <v>54559267.930000097</v>
      </c>
      <c r="O54" s="190">
        <f t="shared" si="23"/>
        <v>19619096.780000001</v>
      </c>
      <c r="P54" s="190">
        <f t="shared" si="23"/>
        <v>4238745.8600000804</v>
      </c>
      <c r="Q54" s="190">
        <f t="shared" si="23"/>
        <v>-63485239.43</v>
      </c>
      <c r="R54" s="190">
        <f t="shared" si="23"/>
        <v>-221248906.71000001</v>
      </c>
      <c r="S54" s="380">
        <f t="shared" si="7"/>
        <v>-98261922.689999506</v>
      </c>
      <c r="T54" s="381">
        <f t="shared" si="6"/>
        <v>-1.3173229225388701</v>
      </c>
    </row>
    <row r="55" spans="1:21">
      <c r="A55" s="136">
        <v>46</v>
      </c>
      <c r="B55" s="612" t="str">
        <f>+VLOOKUP($A55,Master!$D$30:$G$226,4,FALSE)</f>
        <v>Otplata dugova</v>
      </c>
      <c r="C55" s="613"/>
      <c r="D55" s="613"/>
      <c r="E55" s="613"/>
      <c r="F55" s="613"/>
      <c r="G55" s="174">
        <f t="shared" ref="G55" si="24">+SUM(G56:G57)</f>
        <v>34807942.189999998</v>
      </c>
      <c r="H55" s="174">
        <f t="shared" ref="H55:L55" si="25">+SUM(H56:H57)</f>
        <v>6742029.21</v>
      </c>
      <c r="I55" s="174">
        <f t="shared" si="25"/>
        <v>59758227.25</v>
      </c>
      <c r="J55" s="159">
        <f t="shared" si="25"/>
        <v>117171322.15000001</v>
      </c>
      <c r="K55" s="174">
        <f t="shared" si="25"/>
        <v>39194399.359999999</v>
      </c>
      <c r="L55" s="174">
        <f t="shared" si="25"/>
        <v>49926359.850000001</v>
      </c>
      <c r="M55" s="174">
        <f t="shared" ref="M55:R55" si="26">+SUM(M56:M57)</f>
        <v>35337295.060000002</v>
      </c>
      <c r="N55" s="174">
        <f t="shared" si="26"/>
        <v>7581311.2699999996</v>
      </c>
      <c r="O55" s="174">
        <f t="shared" si="26"/>
        <v>44525643.039999999</v>
      </c>
      <c r="P55" s="174">
        <f t="shared" si="26"/>
        <v>7153919.7599999998</v>
      </c>
      <c r="Q55" s="174">
        <f t="shared" si="26"/>
        <v>56807840.909999996</v>
      </c>
      <c r="R55" s="174">
        <f t="shared" si="26"/>
        <v>36634252.979999997</v>
      </c>
      <c r="S55" s="382">
        <f t="shared" si="7"/>
        <v>495640543.02999997</v>
      </c>
      <c r="T55" s="383">
        <f t="shared" si="6"/>
        <v>6.6446760942474796</v>
      </c>
    </row>
    <row r="56" spans="1:21">
      <c r="A56" s="136">
        <v>4611</v>
      </c>
      <c r="B56" s="594" t="str">
        <f>+VLOOKUP($A56,Master!$D$30:$G$226,4,FALSE)</f>
        <v>Otplata hartija od vrijednosti i kredita rezidentima</v>
      </c>
      <c r="C56" s="595"/>
      <c r="D56" s="595"/>
      <c r="E56" s="595"/>
      <c r="F56" s="595"/>
      <c r="G56" s="176">
        <v>2494755.4500000002</v>
      </c>
      <c r="H56" s="176">
        <v>2954245.68</v>
      </c>
      <c r="I56" s="176">
        <v>23477657.120000001</v>
      </c>
      <c r="J56" s="176">
        <v>95643965.920000002</v>
      </c>
      <c r="K56" s="176">
        <v>9858911.2699999996</v>
      </c>
      <c r="L56" s="176">
        <v>27246632.219999999</v>
      </c>
      <c r="M56" s="176">
        <v>2591103.59</v>
      </c>
      <c r="N56" s="176">
        <v>3042001.86</v>
      </c>
      <c r="O56" s="176">
        <v>13593166.439999999</v>
      </c>
      <c r="P56" s="176">
        <v>2641469.52</v>
      </c>
      <c r="Q56" s="176">
        <v>9977859.9299999997</v>
      </c>
      <c r="R56" s="176">
        <v>13242556.039999999</v>
      </c>
      <c r="S56" s="298">
        <f t="shared" si="7"/>
        <v>206764325.03999999</v>
      </c>
      <c r="T56" s="342">
        <f t="shared" si="6"/>
        <v>2.77193217354163</v>
      </c>
    </row>
    <row r="57" spans="1:21">
      <c r="A57" s="136">
        <v>4612</v>
      </c>
      <c r="B57" s="582" t="str">
        <f>+VLOOKUP($A57,Master!$D$30:$G$226,4,FALSE)</f>
        <v>Otplata hartija od vrijednosti i kredita nerezidentima</v>
      </c>
      <c r="C57" s="583"/>
      <c r="D57" s="583"/>
      <c r="E57" s="583"/>
      <c r="F57" s="583"/>
      <c r="G57" s="176">
        <v>32313186.739999998</v>
      </c>
      <c r="H57" s="176">
        <v>3787783.53</v>
      </c>
      <c r="I57" s="176">
        <v>36280570.130000003</v>
      </c>
      <c r="J57" s="176">
        <v>21527356.23</v>
      </c>
      <c r="K57" s="176">
        <v>29335488.09</v>
      </c>
      <c r="L57" s="176">
        <v>22679727.629999999</v>
      </c>
      <c r="M57" s="176">
        <v>32746191.469999999</v>
      </c>
      <c r="N57" s="176">
        <v>4539309.41</v>
      </c>
      <c r="O57" s="176">
        <v>30932476.600000001</v>
      </c>
      <c r="P57" s="176">
        <v>4512450.24</v>
      </c>
      <c r="Q57" s="176">
        <v>46829980.979999997</v>
      </c>
      <c r="R57" s="176">
        <v>23391696.940000001</v>
      </c>
      <c r="S57" s="298">
        <f t="shared" si="7"/>
        <v>288876217.99000001</v>
      </c>
      <c r="T57" s="342">
        <f t="shared" si="6"/>
        <v>3.8727439207058398</v>
      </c>
    </row>
    <row r="58" spans="1:21">
      <c r="A58" s="136">
        <v>4418</v>
      </c>
      <c r="B58" s="572" t="str">
        <f>+VLOOKUP($A58,Master!$D$30:$G$226,4,FALSE)</f>
        <v>Izdaci za kupovinu hartija od vrijednosti</v>
      </c>
      <c r="C58" s="573"/>
      <c r="D58" s="573"/>
      <c r="E58" s="573"/>
      <c r="F58" s="573"/>
      <c r="G58" s="300">
        <v>0</v>
      </c>
      <c r="H58" s="300">
        <v>0</v>
      </c>
      <c r="I58" s="300">
        <v>1410390.76</v>
      </c>
      <c r="J58" s="300">
        <v>0</v>
      </c>
      <c r="K58" s="300">
        <v>1495372.19</v>
      </c>
      <c r="L58" s="300">
        <v>360695.5</v>
      </c>
      <c r="M58" s="300">
        <v>0</v>
      </c>
      <c r="N58" s="300">
        <v>0</v>
      </c>
      <c r="O58" s="300">
        <v>0</v>
      </c>
      <c r="P58" s="300">
        <v>3105</v>
      </c>
      <c r="Q58" s="300">
        <v>0</v>
      </c>
      <c r="R58" s="300">
        <v>0</v>
      </c>
      <c r="S58" s="382">
        <f>SUM(G58:R58)</f>
        <v>3269563.45</v>
      </c>
      <c r="T58" s="384">
        <f t="shared" si="6"/>
        <v>4.3832552442194597E-2</v>
      </c>
    </row>
    <row r="59" spans="1:21">
      <c r="A59" s="145">
        <v>451</v>
      </c>
      <c r="B59" s="572" t="str">
        <f>+VLOOKUP($A59,Master!$D$30:$G$226,4,FALSE)</f>
        <v>Pozajmice i krediti</v>
      </c>
      <c r="C59" s="573"/>
      <c r="D59" s="573"/>
      <c r="E59" s="573"/>
      <c r="F59" s="573"/>
      <c r="G59" s="153">
        <v>714721.61</v>
      </c>
      <c r="H59" s="153">
        <v>511310</v>
      </c>
      <c r="I59" s="153">
        <v>913671.44</v>
      </c>
      <c r="J59" s="153">
        <v>968084.1</v>
      </c>
      <c r="K59" s="153">
        <v>667226.13</v>
      </c>
      <c r="L59" s="153">
        <v>1012363.69</v>
      </c>
      <c r="M59" s="153">
        <v>136349.23000000001</v>
      </c>
      <c r="N59" s="153">
        <v>1003067.94</v>
      </c>
      <c r="O59" s="153">
        <v>841263.3</v>
      </c>
      <c r="P59" s="153">
        <v>716355.96</v>
      </c>
      <c r="Q59" s="153">
        <v>341504.15</v>
      </c>
      <c r="R59" s="300">
        <v>1326787.44</v>
      </c>
      <c r="S59" s="382">
        <f>SUM(G59:R59)</f>
        <v>9152704.9900000002</v>
      </c>
      <c r="T59" s="384">
        <f t="shared" si="6"/>
        <v>0.12270336012659799</v>
      </c>
    </row>
    <row r="60" spans="1:21">
      <c r="A60" s="136">
        <v>1002</v>
      </c>
      <c r="B60" s="592" t="str">
        <f>+VLOOKUP($A60,Master!$D$30:$G$226,4,FALSE)</f>
        <v>Nedostajuća sredstva</v>
      </c>
      <c r="C60" s="593"/>
      <c r="D60" s="593"/>
      <c r="E60" s="593"/>
      <c r="F60" s="593"/>
      <c r="G60" s="197">
        <f>+G53-G55-G58-G59</f>
        <v>-22227998.82</v>
      </c>
      <c r="H60" s="197">
        <f t="shared" ref="H60:L60" si="27">+H53-H55-H58-H59</f>
        <v>-41361149.039999999</v>
      </c>
      <c r="I60" s="197">
        <f t="shared" si="27"/>
        <v>-48648542.689999901</v>
      </c>
      <c r="J60" s="197">
        <f t="shared" si="27"/>
        <v>-59431255.539999902</v>
      </c>
      <c r="K60" s="197">
        <f t="shared" si="27"/>
        <v>-60130493.990000099</v>
      </c>
      <c r="L60" s="197">
        <f t="shared" si="27"/>
        <v>-54378526.989999898</v>
      </c>
      <c r="M60" s="197">
        <f t="shared" ref="M60" si="28">+M53-M55-M58-M59</f>
        <v>-21064525.190000001</v>
      </c>
      <c r="N60" s="197">
        <f t="shared" ref="N60" si="29">+N53-N55-N58-N59</f>
        <v>41998643.500000097</v>
      </c>
      <c r="O60" s="197">
        <f t="shared" ref="O60" si="30">+O53-O55-O58-O59</f>
        <v>-51714254.060000002</v>
      </c>
      <c r="P60" s="197">
        <f t="shared" ref="P60" si="31">+P53-P55-P58-P59</f>
        <v>-18504485.519999899</v>
      </c>
      <c r="Q60" s="197">
        <f t="shared" ref="Q60" si="32">+Q53-Q55-Q58-Q59</f>
        <v>-133722726.31999999</v>
      </c>
      <c r="R60" s="197">
        <f t="shared" ref="R60:S60" si="33">+R53-R55-R58-R59</f>
        <v>-286425819.88999999</v>
      </c>
      <c r="S60" s="382">
        <f t="shared" si="33"/>
        <v>-755611134.54999995</v>
      </c>
      <c r="T60" s="385">
        <f t="shared" si="6"/>
        <v>-10.129904247941401</v>
      </c>
    </row>
    <row r="61" spans="1:21">
      <c r="A61" s="136">
        <v>1003</v>
      </c>
      <c r="B61" s="570" t="str">
        <f>+VLOOKUP($A61,Master!$D$30:$G$226,4,FALSE)</f>
        <v>Finansiranje</v>
      </c>
      <c r="C61" s="571"/>
      <c r="D61" s="571"/>
      <c r="E61" s="571"/>
      <c r="F61" s="571"/>
      <c r="G61" s="146">
        <f>+SUM(G62:G66)</f>
        <v>22227998.82</v>
      </c>
      <c r="H61" s="146">
        <f t="shared" ref="H61:L61" si="34">+SUM(H62:H66)</f>
        <v>41361149.039999999</v>
      </c>
      <c r="I61" s="146">
        <f t="shared" si="34"/>
        <v>48648542.689999901</v>
      </c>
      <c r="J61" s="146">
        <f t="shared" si="34"/>
        <v>59431255.539999902</v>
      </c>
      <c r="K61" s="146">
        <f t="shared" si="34"/>
        <v>60130493.990000099</v>
      </c>
      <c r="L61" s="146">
        <f t="shared" si="34"/>
        <v>54378526.989999898</v>
      </c>
      <c r="M61" s="146">
        <f t="shared" ref="M61:R61" si="35">+SUM(M62:M66)</f>
        <v>21064525.190000001</v>
      </c>
      <c r="N61" s="146">
        <f t="shared" si="35"/>
        <v>-41998643.500000097</v>
      </c>
      <c r="O61" s="146">
        <f t="shared" si="35"/>
        <v>51714254.060000002</v>
      </c>
      <c r="P61" s="146">
        <f t="shared" si="35"/>
        <v>18504485.519999899</v>
      </c>
      <c r="Q61" s="146">
        <f t="shared" si="35"/>
        <v>133722726.31999999</v>
      </c>
      <c r="R61" s="146">
        <f t="shared" si="35"/>
        <v>286425819.88999999</v>
      </c>
      <c r="S61" s="386">
        <f t="shared" si="7"/>
        <v>755611134.54999995</v>
      </c>
      <c r="T61" s="387">
        <f t="shared" si="6"/>
        <v>10.129904247941401</v>
      </c>
    </row>
    <row r="62" spans="1:21">
      <c r="A62" s="136">
        <v>7511</v>
      </c>
      <c r="B62" s="594" t="str">
        <f>+VLOOKUP($A62,Master!$D$30:$G$226,4,FALSE)</f>
        <v>Pozajmice i krediti od domaćih izvora</v>
      </c>
      <c r="C62" s="595"/>
      <c r="D62" s="595"/>
      <c r="E62" s="595"/>
      <c r="F62" s="595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346">
        <v>0</v>
      </c>
      <c r="N62" s="176">
        <v>0</v>
      </c>
      <c r="O62" s="176">
        <v>0</v>
      </c>
      <c r="P62" s="176">
        <v>0</v>
      </c>
      <c r="Q62" s="176">
        <v>0</v>
      </c>
      <c r="R62" s="176">
        <v>0</v>
      </c>
      <c r="S62" s="298">
        <f t="shared" si="7"/>
        <v>0</v>
      </c>
      <c r="T62" s="342">
        <f t="shared" si="6"/>
        <v>0</v>
      </c>
    </row>
    <row r="63" spans="1:21">
      <c r="A63" s="136">
        <v>7512</v>
      </c>
      <c r="B63" s="582" t="str">
        <f>+VLOOKUP($A63,Master!$D$30:$G$226,4,FALSE)</f>
        <v>Pozajmice i krediti od inostranih izvora</v>
      </c>
      <c r="C63" s="583"/>
      <c r="D63" s="583"/>
      <c r="E63" s="583"/>
      <c r="F63" s="583"/>
      <c r="G63" s="176">
        <v>1570614.04</v>
      </c>
      <c r="H63" s="176">
        <v>1799527.23</v>
      </c>
      <c r="I63" s="176">
        <v>691084422.79999995</v>
      </c>
      <c r="J63" s="176">
        <v>4579976.0999999996</v>
      </c>
      <c r="K63" s="176">
        <v>275366.86</v>
      </c>
      <c r="L63" s="176">
        <v>3040803.26</v>
      </c>
      <c r="M63" s="346">
        <v>7067114.0599999996</v>
      </c>
      <c r="N63" s="176">
        <v>1379630.82</v>
      </c>
      <c r="O63" s="176">
        <v>6297708.2599999998</v>
      </c>
      <c r="P63" s="176">
        <v>5933627.7300000004</v>
      </c>
      <c r="Q63" s="176">
        <v>10223360.92</v>
      </c>
      <c r="R63" s="176">
        <v>208872660.50999999</v>
      </c>
      <c r="S63" s="298">
        <f t="shared" si="7"/>
        <v>942124812.59000003</v>
      </c>
      <c r="T63" s="342">
        <f t="shared" si="6"/>
        <v>12.6303513868018</v>
      </c>
    </row>
    <row r="64" spans="1:21">
      <c r="A64" s="136">
        <v>72</v>
      </c>
      <c r="B64" s="582" t="str">
        <f>+VLOOKUP($A64,Master!$D$30:$G$226,4,FALSE)</f>
        <v>Primici od prodaje imovine</v>
      </c>
      <c r="C64" s="583"/>
      <c r="D64" s="583"/>
      <c r="E64" s="583"/>
      <c r="F64" s="583"/>
      <c r="G64" s="176">
        <v>29140.720000000001</v>
      </c>
      <c r="H64" s="176">
        <v>223106.54</v>
      </c>
      <c r="I64" s="176">
        <v>24726.44</v>
      </c>
      <c r="J64" s="176">
        <v>107366.27</v>
      </c>
      <c r="K64" s="176">
        <v>292415.26</v>
      </c>
      <c r="L64" s="176">
        <v>390561.8</v>
      </c>
      <c r="M64" s="346">
        <v>369935.11</v>
      </c>
      <c r="N64" s="176">
        <v>79361.94</v>
      </c>
      <c r="O64" s="176">
        <v>51811.23</v>
      </c>
      <c r="P64" s="176">
        <v>128331.11</v>
      </c>
      <c r="Q64" s="176">
        <v>142869.78</v>
      </c>
      <c r="R64" s="176">
        <v>521948.26</v>
      </c>
      <c r="S64" s="298">
        <f t="shared" si="7"/>
        <v>2361574.46</v>
      </c>
      <c r="T64" s="342">
        <f t="shared" si="6"/>
        <v>3.16598340870545E-2</v>
      </c>
    </row>
    <row r="65" spans="1:20">
      <c r="A65" s="136">
        <v>73</v>
      </c>
      <c r="B65" s="566" t="s">
        <v>20</v>
      </c>
      <c r="C65" s="567"/>
      <c r="D65" s="567"/>
      <c r="E65" s="567"/>
      <c r="F65" s="567"/>
      <c r="G65" s="159">
        <v>3141945.96</v>
      </c>
      <c r="H65" s="159">
        <v>1296535.3999999999</v>
      </c>
      <c r="I65" s="159">
        <v>960869.5</v>
      </c>
      <c r="J65" s="159">
        <v>1155440.25</v>
      </c>
      <c r="K65" s="159">
        <v>1453164</v>
      </c>
      <c r="L65" s="159">
        <v>2214616.37</v>
      </c>
      <c r="M65" s="159">
        <v>3057323.52</v>
      </c>
      <c r="N65" s="159">
        <v>591472.64000000001</v>
      </c>
      <c r="O65" s="159">
        <v>548308.03</v>
      </c>
      <c r="P65" s="159">
        <v>675338.76</v>
      </c>
      <c r="Q65" s="159">
        <v>2340019.9500000002</v>
      </c>
      <c r="R65" s="159">
        <v>2884134.77</v>
      </c>
      <c r="S65" s="284">
        <f t="shared" si="7"/>
        <v>20319169.149999999</v>
      </c>
      <c r="T65" s="330">
        <f t="shared" si="6"/>
        <v>0.27240365907234398</v>
      </c>
    </row>
    <row r="66" spans="1:20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17486298.100000001</v>
      </c>
      <c r="H66" s="204">
        <f t="shared" ref="H66:L66" si="36">-H60-SUM(H62:H65)</f>
        <v>38041979.869999997</v>
      </c>
      <c r="I66" s="204">
        <f t="shared" si="36"/>
        <v>-643421476.04999995</v>
      </c>
      <c r="J66" s="204">
        <f t="shared" si="36"/>
        <v>53588472.919999897</v>
      </c>
      <c r="K66" s="204">
        <f t="shared" si="36"/>
        <v>58109547.870000102</v>
      </c>
      <c r="L66" s="204">
        <f t="shared" si="36"/>
        <v>48732545.559999898</v>
      </c>
      <c r="M66" s="204">
        <f t="shared" ref="M66:S66" si="37">-M60-SUM(M62:M65)</f>
        <v>10570152.5</v>
      </c>
      <c r="N66" s="204">
        <f t="shared" si="37"/>
        <v>-44049108.900000103</v>
      </c>
      <c r="O66" s="204">
        <f t="shared" si="37"/>
        <v>44816426.539999999</v>
      </c>
      <c r="P66" s="204">
        <f t="shared" si="37"/>
        <v>11767187.919999899</v>
      </c>
      <c r="Q66" s="204">
        <f t="shared" si="37"/>
        <v>121016475.67</v>
      </c>
      <c r="R66" s="204">
        <f t="shared" si="37"/>
        <v>74147076.3499998</v>
      </c>
      <c r="S66" s="307">
        <f t="shared" si="37"/>
        <v>-209194421.65000001</v>
      </c>
      <c r="T66" s="347">
        <f t="shared" si="6"/>
        <v>-2.8045106320197601</v>
      </c>
    </row>
    <row r="67" spans="1:20">
      <c r="R67" s="207"/>
    </row>
    <row r="68" spans="1:20">
      <c r="F68" s="173"/>
      <c r="G68" s="173"/>
      <c r="H68" s="173"/>
    </row>
    <row r="69" spans="1:20" hidden="1">
      <c r="G69" s="17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172"/>
    </row>
    <row r="81" spans="1:26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6">
      <c r="G82" s="210" t="str">
        <f t="shared" ref="G82:L82" si="38">+CONCATENATE(G6,"p")</f>
        <v>2024-01p</v>
      </c>
      <c r="H82" s="210" t="str">
        <f t="shared" si="38"/>
        <v>2024-02p</v>
      </c>
      <c r="I82" s="210" t="str">
        <f t="shared" si="38"/>
        <v>2024-03p</v>
      </c>
      <c r="J82" s="210" t="str">
        <f t="shared" si="38"/>
        <v>2024-04p</v>
      </c>
      <c r="K82" s="210" t="str">
        <f t="shared" si="38"/>
        <v>2024-05p</v>
      </c>
      <c r="L82" s="210" t="str">
        <f t="shared" si="38"/>
        <v>2024-06p</v>
      </c>
      <c r="M82" s="210" t="str">
        <f t="shared" ref="M82:R82" si="39">+CONCATENATE(M6,"p")</f>
        <v>2024-07p</v>
      </c>
      <c r="N82" s="210" t="str">
        <f t="shared" si="39"/>
        <v>2024-08p</v>
      </c>
      <c r="O82" s="210" t="str">
        <f t="shared" si="39"/>
        <v>2024-09p</v>
      </c>
      <c r="P82" s="210" t="str">
        <f t="shared" si="39"/>
        <v>2024-10p</v>
      </c>
      <c r="Q82" s="210" t="str">
        <f t="shared" si="39"/>
        <v>2024-11p</v>
      </c>
      <c r="R82" s="210" t="str">
        <f t="shared" si="39"/>
        <v>2024-12p</v>
      </c>
    </row>
    <row r="83" spans="1:26" ht="15.75" customHeight="1">
      <c r="B83" s="637" t="str">
        <f>+Master!G253</f>
        <v>Plan ostvarenja budžeta</v>
      </c>
      <c r="C83" s="638"/>
      <c r="D83" s="638"/>
      <c r="E83" s="638"/>
      <c r="F83" s="638"/>
      <c r="G83" s="614">
        <v>2024</v>
      </c>
      <c r="H83" s="615"/>
      <c r="I83" s="615"/>
      <c r="J83" s="615"/>
      <c r="K83" s="615"/>
      <c r="L83" s="615"/>
      <c r="M83" s="615"/>
      <c r="N83" s="615"/>
      <c r="O83" s="615"/>
      <c r="P83" s="615"/>
      <c r="Q83" s="615"/>
      <c r="R83" s="616"/>
      <c r="S83" s="211" t="str">
        <f>+S7</f>
        <v>BDP</v>
      </c>
      <c r="T83" s="212">
        <v>7279700000</v>
      </c>
    </row>
    <row r="84" spans="1:26" ht="15.75" customHeight="1">
      <c r="B84" s="639"/>
      <c r="C84" s="640"/>
      <c r="D84" s="640"/>
      <c r="E84" s="640"/>
      <c r="F84" s="641"/>
      <c r="G84" s="179" t="str">
        <f t="shared" ref="G84:L84" si="40">+G8</f>
        <v>Januar</v>
      </c>
      <c r="H84" s="179" t="str">
        <f t="shared" si="40"/>
        <v>Februar</v>
      </c>
      <c r="I84" s="179" t="str">
        <f t="shared" si="40"/>
        <v>Mart</v>
      </c>
      <c r="J84" s="179" t="str">
        <f t="shared" si="40"/>
        <v>April</v>
      </c>
      <c r="K84" s="179" t="str">
        <f t="shared" si="40"/>
        <v>Maj</v>
      </c>
      <c r="L84" s="179" t="str">
        <f t="shared" si="40"/>
        <v>Jun</v>
      </c>
      <c r="M84" s="179" t="str">
        <f t="shared" ref="M84:R84" si="41">+M8</f>
        <v>Jul</v>
      </c>
      <c r="N84" s="179" t="str">
        <f t="shared" si="41"/>
        <v>Avgust</v>
      </c>
      <c r="O84" s="179" t="str">
        <f t="shared" si="41"/>
        <v>Septembar</v>
      </c>
      <c r="P84" s="179" t="str">
        <f t="shared" si="41"/>
        <v>Oktobar</v>
      </c>
      <c r="Q84" s="179" t="str">
        <f t="shared" si="41"/>
        <v>Novembar</v>
      </c>
      <c r="R84" s="179" t="str">
        <f t="shared" si="41"/>
        <v>Decembar</v>
      </c>
      <c r="S84" s="614" t="str">
        <f>+Master!G247</f>
        <v>Jan - Dec</v>
      </c>
      <c r="T84" s="616">
        <f>+T8</f>
        <v>0</v>
      </c>
    </row>
    <row r="85" spans="1:26">
      <c r="B85" s="642"/>
      <c r="C85" s="643"/>
      <c r="D85" s="643"/>
      <c r="E85" s="643"/>
      <c r="F85" s="644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6">
      <c r="A86" s="216" t="str">
        <f t="shared" ref="A86:A117" si="42">+CONCATENATE(A10,"p")</f>
        <v>7p</v>
      </c>
      <c r="B86" s="617" t="str">
        <f>+VLOOKUP(LEFT($A86,LEN(A86)-1)*1,Master!$D$30:$G$226,4,FALSE)</f>
        <v>Prihodi budžeta</v>
      </c>
      <c r="C86" s="618"/>
      <c r="D86" s="618"/>
      <c r="E86" s="618"/>
      <c r="F86" s="618"/>
      <c r="G86" s="388">
        <f t="shared" ref="G86:L86" si="43">+G87+G95+SUM(G100:G104)</f>
        <v>150930823.46000001</v>
      </c>
      <c r="H86" s="388">
        <f t="shared" si="43"/>
        <v>180248667.53999999</v>
      </c>
      <c r="I86" s="388">
        <f t="shared" si="43"/>
        <v>244547117.81999999</v>
      </c>
      <c r="J86" s="388">
        <f t="shared" si="43"/>
        <v>317572444.20999998</v>
      </c>
      <c r="K86" s="388">
        <f t="shared" si="43"/>
        <v>193296652.44</v>
      </c>
      <c r="L86" s="388">
        <f t="shared" si="43"/>
        <v>222625769.16999999</v>
      </c>
      <c r="M86" s="388">
        <f t="shared" ref="M86:R86" si="44">+M87+M95+SUM(M100:M104)</f>
        <v>261554283.81999999</v>
      </c>
      <c r="N86" s="388">
        <f t="shared" si="44"/>
        <v>254538932.34</v>
      </c>
      <c r="O86" s="388">
        <f t="shared" si="44"/>
        <v>222707674.547602</v>
      </c>
      <c r="P86" s="388">
        <f t="shared" si="44"/>
        <v>235724553.516018</v>
      </c>
      <c r="Q86" s="388">
        <f t="shared" si="44"/>
        <v>206397291.22064099</v>
      </c>
      <c r="R86" s="388">
        <f t="shared" si="44"/>
        <v>282503938.44611597</v>
      </c>
      <c r="S86" s="389">
        <f>+SUM(G86:R86)</f>
        <v>2772648148.5303798</v>
      </c>
      <c r="T86" s="390">
        <f>+S86/$T$83*100</f>
        <v>38.087395751615801</v>
      </c>
      <c r="U86" s="129"/>
      <c r="V86" s="172"/>
    </row>
    <row r="87" spans="1:26">
      <c r="A87" s="216" t="str">
        <f t="shared" si="42"/>
        <v>711p</v>
      </c>
      <c r="B87" s="619" t="str">
        <f>+VLOOKUP(LEFT($A87,LEN(A87)-1)*1,Master!$D$30:$G$226,4,FALSE)</f>
        <v>Porezi</v>
      </c>
      <c r="C87" s="620"/>
      <c r="D87" s="620"/>
      <c r="E87" s="620"/>
      <c r="F87" s="620"/>
      <c r="G87" s="391">
        <f t="shared" ref="G87:L87" si="45">+SUM(G88:G94)</f>
        <v>122011952.06</v>
      </c>
      <c r="H87" s="391">
        <f t="shared" si="45"/>
        <v>121308599.17</v>
      </c>
      <c r="I87" s="391">
        <f t="shared" si="45"/>
        <v>184557374.94999999</v>
      </c>
      <c r="J87" s="391">
        <f t="shared" si="45"/>
        <v>237707133</v>
      </c>
      <c r="K87" s="391">
        <f t="shared" si="45"/>
        <v>140725508.58000001</v>
      </c>
      <c r="L87" s="391">
        <f t="shared" si="45"/>
        <v>153003406.78999999</v>
      </c>
      <c r="M87" s="391">
        <f t="shared" ref="M87:R87" si="46">+SUM(M88:M94)</f>
        <v>176287449.87</v>
      </c>
      <c r="N87" s="391">
        <f t="shared" si="46"/>
        <v>187772027.16</v>
      </c>
      <c r="O87" s="391">
        <f t="shared" si="46"/>
        <v>163682565.975602</v>
      </c>
      <c r="P87" s="391">
        <f t="shared" si="46"/>
        <v>153706833.67658299</v>
      </c>
      <c r="Q87" s="391">
        <f t="shared" si="46"/>
        <v>137653378.33863899</v>
      </c>
      <c r="R87" s="392">
        <f t="shared" si="46"/>
        <v>151899426.82955301</v>
      </c>
      <c r="S87" s="393">
        <f t="shared" ref="S87:S142" si="47">+SUM(G87:R87)</f>
        <v>1930315656.4003799</v>
      </c>
      <c r="T87" s="369">
        <f t="shared" ref="T87:T142" si="48">+S87/$T$83*100</f>
        <v>26.5164176600736</v>
      </c>
      <c r="V87" s="172"/>
    </row>
    <row r="88" spans="1:26">
      <c r="A88" s="216" t="str">
        <f t="shared" si="42"/>
        <v>7111p</v>
      </c>
      <c r="B88" s="621" t="str">
        <f>+VLOOKUP(LEFT($A88,LEN(A88)-1)*1,Master!$D$30:$G$229,4,FALSE)</f>
        <v>Porez na dohodak fizičkih lica</v>
      </c>
      <c r="C88" s="622"/>
      <c r="D88" s="622"/>
      <c r="E88" s="622"/>
      <c r="F88" s="622"/>
      <c r="G88" s="225">
        <v>1998079.15</v>
      </c>
      <c r="H88" s="225">
        <v>6162755.9100000001</v>
      </c>
      <c r="I88" s="225">
        <v>6774640.8399999999</v>
      </c>
      <c r="J88" s="225">
        <v>9120679.6699999999</v>
      </c>
      <c r="K88" s="225">
        <v>7999182.8499999996</v>
      </c>
      <c r="L88" s="225">
        <v>5714143.4299999997</v>
      </c>
      <c r="M88" s="225">
        <v>8103849.4699999997</v>
      </c>
      <c r="N88" s="225">
        <v>7506393.2000000002</v>
      </c>
      <c r="O88" s="225">
        <v>5157699.6524483701</v>
      </c>
      <c r="P88" s="225">
        <v>8280983.0276610898</v>
      </c>
      <c r="Q88" s="225">
        <v>6910150.8311675703</v>
      </c>
      <c r="R88" s="225">
        <v>12889716.259098999</v>
      </c>
      <c r="S88" s="312">
        <f t="shared" si="47"/>
        <v>86618274.290375993</v>
      </c>
      <c r="T88" s="329">
        <f t="shared" si="48"/>
        <v>1.1898604927452501</v>
      </c>
      <c r="V88" s="172"/>
    </row>
    <row r="89" spans="1:26">
      <c r="A89" s="216" t="str">
        <f t="shared" si="42"/>
        <v>7112p</v>
      </c>
      <c r="B89" s="621" t="str">
        <f>+VLOOKUP(LEFT($A89,LEN(A89)-1)*1,Master!$D$30:$G$229,4,FALSE)</f>
        <v>Porez na dobit pravnih lica</v>
      </c>
      <c r="C89" s="622"/>
      <c r="D89" s="622"/>
      <c r="E89" s="622"/>
      <c r="F89" s="622"/>
      <c r="G89" s="225">
        <v>1951464.9</v>
      </c>
      <c r="H89" s="225">
        <v>5771727.9400000004</v>
      </c>
      <c r="I89" s="225">
        <v>71210822.510000005</v>
      </c>
      <c r="J89" s="225">
        <v>100269900.84</v>
      </c>
      <c r="K89" s="225">
        <v>6533790.1500000004</v>
      </c>
      <c r="L89" s="225">
        <v>5452063.1399999997</v>
      </c>
      <c r="M89" s="225">
        <v>6399901.1399999997</v>
      </c>
      <c r="N89" s="225">
        <v>3297843.93</v>
      </c>
      <c r="O89" s="225">
        <v>1093117.93</v>
      </c>
      <c r="P89" s="225">
        <v>998970.87553202</v>
      </c>
      <c r="Q89" s="225">
        <v>1001456.92213994</v>
      </c>
      <c r="R89" s="225">
        <v>1669995.8023280399</v>
      </c>
      <c r="S89" s="312">
        <f t="shared" si="47"/>
        <v>205651056.08000001</v>
      </c>
      <c r="T89" s="329">
        <f t="shared" si="48"/>
        <v>2.82499355852576</v>
      </c>
      <c r="V89" s="172"/>
    </row>
    <row r="90" spans="1:26">
      <c r="A90" s="216" t="str">
        <f t="shared" si="42"/>
        <v>7113p</v>
      </c>
      <c r="B90" s="621" t="str">
        <f>+VLOOKUP(LEFT($A90,LEN(A90)-1)*1,Master!$D$30:$G$229,4,FALSE)</f>
        <v>Porez na promet nepokretnosti</v>
      </c>
      <c r="C90" s="622"/>
      <c r="D90" s="622"/>
      <c r="E90" s="622"/>
      <c r="F90" s="622"/>
      <c r="G90" s="225">
        <v>0</v>
      </c>
      <c r="H90" s="225">
        <v>0</v>
      </c>
      <c r="I90" s="225">
        <v>0</v>
      </c>
      <c r="J90" s="225">
        <v>0</v>
      </c>
      <c r="K90" s="225">
        <v>0</v>
      </c>
      <c r="L90" s="225">
        <v>0</v>
      </c>
      <c r="M90" s="225">
        <v>0</v>
      </c>
      <c r="N90" s="225">
        <v>0</v>
      </c>
      <c r="O90" s="225">
        <v>0</v>
      </c>
      <c r="P90" s="225">
        <v>0</v>
      </c>
      <c r="Q90" s="225">
        <v>0</v>
      </c>
      <c r="R90" s="225">
        <v>0</v>
      </c>
      <c r="S90" s="312">
        <f t="shared" si="47"/>
        <v>0</v>
      </c>
      <c r="T90" s="329">
        <f t="shared" si="48"/>
        <v>0</v>
      </c>
      <c r="V90" s="172"/>
    </row>
    <row r="91" spans="1:26">
      <c r="A91" s="216" t="str">
        <f t="shared" si="42"/>
        <v>7114p</v>
      </c>
      <c r="B91" s="621" t="str">
        <f>+VLOOKUP(LEFT($A91,LEN(A91)-1)*1,Master!$D$30:$G$229,4,FALSE)</f>
        <v>Porez na dodatu vrijednost</v>
      </c>
      <c r="C91" s="622"/>
      <c r="D91" s="622"/>
      <c r="E91" s="622"/>
      <c r="F91" s="622"/>
      <c r="G91" s="225">
        <v>91572726.909999996</v>
      </c>
      <c r="H91" s="225">
        <v>81980319.980000004</v>
      </c>
      <c r="I91" s="225">
        <v>78800496.590000004</v>
      </c>
      <c r="J91" s="225">
        <v>94537941.620000005</v>
      </c>
      <c r="K91" s="225">
        <v>88184792.75</v>
      </c>
      <c r="L91" s="225">
        <v>100885481.09</v>
      </c>
      <c r="M91" s="225">
        <v>119418214.70999999</v>
      </c>
      <c r="N91" s="225">
        <v>126480010.05</v>
      </c>
      <c r="O91" s="225">
        <v>115810449.20999999</v>
      </c>
      <c r="P91" s="225">
        <v>106592102.58641601</v>
      </c>
      <c r="Q91" s="225">
        <v>96782845.757082894</v>
      </c>
      <c r="R91" s="225">
        <v>98587067.036501199</v>
      </c>
      <c r="S91" s="312">
        <f t="shared" si="47"/>
        <v>1199632448.29</v>
      </c>
      <c r="T91" s="329">
        <f t="shared" si="48"/>
        <v>16.4791467820103</v>
      </c>
      <c r="V91" s="172"/>
    </row>
    <row r="92" spans="1:26">
      <c r="A92" s="216" t="str">
        <f t="shared" si="42"/>
        <v>7115p</v>
      </c>
      <c r="B92" s="621" t="str">
        <f>+VLOOKUP(LEFT($A92,LEN(A92)-1)*1,Master!$D$30:$G$229,4,FALSE)</f>
        <v>Akcize</v>
      </c>
      <c r="C92" s="622"/>
      <c r="D92" s="622"/>
      <c r="E92" s="622"/>
      <c r="F92" s="622"/>
      <c r="G92" s="225">
        <v>22556344.960000001</v>
      </c>
      <c r="H92" s="225">
        <v>22366846.550000001</v>
      </c>
      <c r="I92" s="225">
        <v>21994790.370000001</v>
      </c>
      <c r="J92" s="225">
        <v>26932676.210000001</v>
      </c>
      <c r="K92" s="225">
        <v>31723753.75</v>
      </c>
      <c r="L92" s="225">
        <v>34644163.43</v>
      </c>
      <c r="M92" s="225">
        <v>34841981.670000002</v>
      </c>
      <c r="N92" s="225">
        <v>43213446.43</v>
      </c>
      <c r="O92" s="225">
        <v>35235663.923153199</v>
      </c>
      <c r="P92" s="225">
        <v>32313707.2157037</v>
      </c>
      <c r="Q92" s="225">
        <v>27518867.618220899</v>
      </c>
      <c r="R92" s="225">
        <v>32457757.872922201</v>
      </c>
      <c r="S92" s="312">
        <f t="shared" si="47"/>
        <v>365800000</v>
      </c>
      <c r="T92" s="329">
        <f t="shared" si="48"/>
        <v>5.0249323461131601</v>
      </c>
      <c r="V92" s="172"/>
      <c r="X92" s="224"/>
      <c r="Y92" s="224"/>
      <c r="Z92" s="224"/>
    </row>
    <row r="93" spans="1:26">
      <c r="A93" s="216" t="str">
        <f t="shared" si="42"/>
        <v>7116p</v>
      </c>
      <c r="B93" s="621" t="str">
        <f>+VLOOKUP(LEFT($A93,LEN(A93)-1)*1,Master!$D$30:$G$229,4,FALSE)</f>
        <v>Porez na međunarodnu trgovinu i transakcije</v>
      </c>
      <c r="C93" s="622"/>
      <c r="D93" s="622"/>
      <c r="E93" s="622"/>
      <c r="F93" s="622"/>
      <c r="G93" s="225">
        <v>2997811.11</v>
      </c>
      <c r="H93" s="225">
        <v>3849203.28</v>
      </c>
      <c r="I93" s="225">
        <v>4636318.09</v>
      </c>
      <c r="J93" s="225">
        <v>5632584.1600000001</v>
      </c>
      <c r="K93" s="225">
        <v>5010618.79</v>
      </c>
      <c r="L93" s="225">
        <v>5120393.08</v>
      </c>
      <c r="M93" s="225">
        <v>6113583.7999999998</v>
      </c>
      <c r="N93" s="225">
        <v>5829872.2699999996</v>
      </c>
      <c r="O93" s="225">
        <v>5167443.16</v>
      </c>
      <c r="P93" s="225">
        <v>4514923.99934946</v>
      </c>
      <c r="Q93" s="225">
        <v>4265187.6368120098</v>
      </c>
      <c r="R93" s="225">
        <v>5157250.0738385404</v>
      </c>
      <c r="S93" s="312">
        <f t="shared" si="47"/>
        <v>58295189.450000003</v>
      </c>
      <c r="T93" s="329">
        <f t="shared" si="48"/>
        <v>0.80079109647375601</v>
      </c>
      <c r="V93" s="172"/>
    </row>
    <row r="94" spans="1:26">
      <c r="A94" s="216" t="str">
        <f t="shared" si="42"/>
        <v>7118p</v>
      </c>
      <c r="B94" s="621" t="str">
        <f>+VLOOKUP(LEFT($A94,LEN(A94)-1)*1,Master!$D$30:$G$229,4,FALSE)</f>
        <v>Ostali državni porezi</v>
      </c>
      <c r="C94" s="622"/>
      <c r="D94" s="622"/>
      <c r="E94" s="622"/>
      <c r="F94" s="622"/>
      <c r="G94" s="225">
        <v>935525.03</v>
      </c>
      <c r="H94" s="225">
        <v>1177745.51</v>
      </c>
      <c r="I94" s="225">
        <v>1140306.55</v>
      </c>
      <c r="J94" s="225">
        <v>1213350.5</v>
      </c>
      <c r="K94" s="225">
        <v>1273370.29</v>
      </c>
      <c r="L94" s="225">
        <v>1187162.6200000001</v>
      </c>
      <c r="M94" s="225">
        <v>1409919.08</v>
      </c>
      <c r="N94" s="225">
        <v>1444461.28</v>
      </c>
      <c r="O94" s="225">
        <v>1218192.1000000001</v>
      </c>
      <c r="P94" s="225">
        <v>1006145.9719203199</v>
      </c>
      <c r="Q94" s="225">
        <v>1174869.5732153801</v>
      </c>
      <c r="R94" s="225">
        <v>1137639.7848642999</v>
      </c>
      <c r="S94" s="312">
        <f t="shared" si="47"/>
        <v>14318688.289999999</v>
      </c>
      <c r="T94" s="329">
        <f t="shared" si="48"/>
        <v>0.19669338420539301</v>
      </c>
      <c r="V94" s="172"/>
    </row>
    <row r="95" spans="1:26">
      <c r="A95" s="216" t="str">
        <f t="shared" si="42"/>
        <v>712p</v>
      </c>
      <c r="B95" s="623" t="str">
        <f>+VLOOKUP(LEFT($A95,LEN(A95)-1)*1,Master!$D$30:$G$229,4,FALSE)</f>
        <v>Doprinosi</v>
      </c>
      <c r="C95" s="624"/>
      <c r="D95" s="624"/>
      <c r="E95" s="624"/>
      <c r="F95" s="624"/>
      <c r="G95" s="394">
        <f>+SUM(G96:G99)</f>
        <v>13548213.42</v>
      </c>
      <c r="H95" s="394">
        <f t="shared" ref="H95:L95" si="49">+SUM(H96:H99)</f>
        <v>51209301.960000001</v>
      </c>
      <c r="I95" s="395">
        <f t="shared" si="49"/>
        <v>50079162.990000002</v>
      </c>
      <c r="J95" s="394">
        <f t="shared" si="49"/>
        <v>58312079.649999999</v>
      </c>
      <c r="K95" s="394">
        <f t="shared" si="49"/>
        <v>44239433.409999996</v>
      </c>
      <c r="L95" s="394">
        <f t="shared" si="49"/>
        <v>48567223.640000001</v>
      </c>
      <c r="M95" s="394">
        <f t="shared" ref="M95:R95" si="50">+SUM(M96:M99)</f>
        <v>55016979.530000001</v>
      </c>
      <c r="N95" s="394">
        <f t="shared" si="50"/>
        <v>54208064.920000002</v>
      </c>
      <c r="O95" s="394">
        <f t="shared" si="50"/>
        <v>47755833.770000003</v>
      </c>
      <c r="P95" s="394">
        <f t="shared" si="50"/>
        <v>53465829.0318681</v>
      </c>
      <c r="Q95" s="394">
        <f t="shared" si="50"/>
        <v>38858209.981027097</v>
      </c>
      <c r="R95" s="396">
        <f t="shared" si="50"/>
        <v>70138715.6471048</v>
      </c>
      <c r="S95" s="397">
        <f t="shared" si="47"/>
        <v>585399047.95000005</v>
      </c>
      <c r="T95" s="372">
        <f t="shared" si="48"/>
        <v>8.04152709520997</v>
      </c>
      <c r="V95" s="172"/>
    </row>
    <row r="96" spans="1:26">
      <c r="A96" s="216" t="str">
        <f t="shared" si="42"/>
        <v>7121p</v>
      </c>
      <c r="B96" s="621" t="str">
        <f>+VLOOKUP(LEFT($A96,LEN(A96)-1)*1,Master!$D$30:$G$229,4,FALSE)</f>
        <v>Doprinosi za penzijsko i invalidsko osiguranje</v>
      </c>
      <c r="C96" s="622"/>
      <c r="D96" s="622"/>
      <c r="E96" s="622"/>
      <c r="F96" s="622"/>
      <c r="G96" s="225">
        <v>12277377.310000001</v>
      </c>
      <c r="H96" s="225">
        <v>47091163.350000001</v>
      </c>
      <c r="I96" s="225">
        <v>45892077.740000002</v>
      </c>
      <c r="J96" s="225">
        <v>53612426.219999999</v>
      </c>
      <c r="K96" s="225">
        <v>40659761.590000004</v>
      </c>
      <c r="L96" s="225">
        <v>44568700.899999999</v>
      </c>
      <c r="M96" s="225">
        <v>50382564.299999997</v>
      </c>
      <c r="N96" s="225">
        <v>49830258.149999999</v>
      </c>
      <c r="O96" s="225">
        <v>43811539.619999997</v>
      </c>
      <c r="P96" s="225">
        <v>50246198.769257598</v>
      </c>
      <c r="Q96" s="225">
        <v>35735847.985918596</v>
      </c>
      <c r="R96" s="225">
        <v>65674431.954823799</v>
      </c>
      <c r="S96" s="312">
        <f t="shared" si="47"/>
        <v>539782347.88999999</v>
      </c>
      <c r="T96" s="329">
        <f t="shared" si="48"/>
        <v>7.41489824979051</v>
      </c>
      <c r="V96" s="172"/>
      <c r="W96" s="172"/>
    </row>
    <row r="97" spans="1:23">
      <c r="A97" s="216" t="str">
        <f t="shared" si="42"/>
        <v>7122p</v>
      </c>
      <c r="B97" s="621" t="str">
        <f>+VLOOKUP(LEFT($A97,LEN(A97)-1)*1,Master!$D$30:$G$229,4,FALSE)</f>
        <v>Doprinosi za zdravstveno osiguranje</v>
      </c>
      <c r="C97" s="622"/>
      <c r="D97" s="622"/>
      <c r="E97" s="622"/>
      <c r="F97" s="622"/>
      <c r="G97" s="225">
        <v>307850.36</v>
      </c>
      <c r="H97" s="225">
        <v>382153.8</v>
      </c>
      <c r="I97" s="225">
        <v>494660.43</v>
      </c>
      <c r="J97" s="225">
        <v>456232.43</v>
      </c>
      <c r="K97" s="225">
        <v>296984.02</v>
      </c>
      <c r="L97" s="225">
        <v>372046.09</v>
      </c>
      <c r="M97" s="225">
        <v>516613.79</v>
      </c>
      <c r="N97" s="225">
        <v>173459.08</v>
      </c>
      <c r="O97" s="225">
        <v>0</v>
      </c>
      <c r="P97" s="225">
        <v>0</v>
      </c>
      <c r="Q97" s="225">
        <v>0</v>
      </c>
      <c r="R97" s="225">
        <v>0</v>
      </c>
      <c r="S97" s="312">
        <f t="shared" si="47"/>
        <v>3000000</v>
      </c>
      <c r="T97" s="329">
        <f t="shared" si="48"/>
        <v>4.1210489443246297E-2</v>
      </c>
      <c r="V97" s="172"/>
    </row>
    <row r="98" spans="1:23">
      <c r="A98" s="216" t="str">
        <f t="shared" si="42"/>
        <v>7123p</v>
      </c>
      <c r="B98" s="621" t="str">
        <f>+VLOOKUP(LEFT($A98,LEN(A98)-1)*1,Master!$D$30:$G$229,4,FALSE)</f>
        <v>Doprinosi za osiguranje od nezaposlenosti</v>
      </c>
      <c r="C98" s="622"/>
      <c r="D98" s="622"/>
      <c r="E98" s="622"/>
      <c r="F98" s="622"/>
      <c r="G98" s="225">
        <v>569229.31000000006</v>
      </c>
      <c r="H98" s="225">
        <v>2203988.56</v>
      </c>
      <c r="I98" s="225">
        <v>2137007.6800000002</v>
      </c>
      <c r="J98" s="225">
        <v>2464722.08</v>
      </c>
      <c r="K98" s="225">
        <v>1910648.69</v>
      </c>
      <c r="L98" s="225">
        <v>2095564.37</v>
      </c>
      <c r="M98" s="225">
        <v>2381944.41</v>
      </c>
      <c r="N98" s="225">
        <v>2401758.41</v>
      </c>
      <c r="O98" s="225">
        <v>2261919.65</v>
      </c>
      <c r="P98" s="225">
        <v>1799280.6967573699</v>
      </c>
      <c r="Q98" s="225">
        <v>1500429.43254499</v>
      </c>
      <c r="R98" s="225">
        <v>2271124.75069763</v>
      </c>
      <c r="S98" s="312">
        <f t="shared" si="47"/>
        <v>23997618.039999999</v>
      </c>
      <c r="T98" s="329">
        <f t="shared" si="48"/>
        <v>0.32965119496682499</v>
      </c>
      <c r="V98" s="172"/>
    </row>
    <row r="99" spans="1:23">
      <c r="A99" s="216" t="str">
        <f t="shared" si="42"/>
        <v>7124p</v>
      </c>
      <c r="B99" s="621" t="str">
        <f>+VLOOKUP(LEFT($A99,LEN(A99)-1)*1,Master!$D$30:$G$229,4,FALSE)</f>
        <v>Ostali doprinosi</v>
      </c>
      <c r="C99" s="622"/>
      <c r="D99" s="622"/>
      <c r="E99" s="622"/>
      <c r="F99" s="622"/>
      <c r="G99" s="225">
        <v>393756.44</v>
      </c>
      <c r="H99" s="225">
        <v>1531996.25</v>
      </c>
      <c r="I99" s="225">
        <v>1555417.14</v>
      </c>
      <c r="J99" s="225">
        <v>1778698.92</v>
      </c>
      <c r="K99" s="225">
        <v>1372039.11</v>
      </c>
      <c r="L99" s="225">
        <v>1530912.28</v>
      </c>
      <c r="M99" s="225">
        <v>1735857.03</v>
      </c>
      <c r="N99" s="225">
        <v>1802589.28</v>
      </c>
      <c r="O99" s="225">
        <v>1682374.5</v>
      </c>
      <c r="P99" s="225">
        <v>1420349.56585308</v>
      </c>
      <c r="Q99" s="225">
        <v>1621932.56256355</v>
      </c>
      <c r="R99" s="225">
        <v>2193158.9415833699</v>
      </c>
      <c r="S99" s="312">
        <f t="shared" si="47"/>
        <v>18619082.02</v>
      </c>
      <c r="T99" s="329">
        <f t="shared" si="48"/>
        <v>0.25576716100938202</v>
      </c>
      <c r="V99" s="172"/>
    </row>
    <row r="100" spans="1:23">
      <c r="A100" s="216" t="str">
        <f t="shared" si="42"/>
        <v>713p</v>
      </c>
      <c r="B100" s="623" t="str">
        <f>+VLOOKUP(LEFT($A100,LEN(A100)-1)*1,Master!$D$30:$G$229,4,FALSE)</f>
        <v>Takse</v>
      </c>
      <c r="C100" s="624"/>
      <c r="D100" s="624"/>
      <c r="E100" s="624"/>
      <c r="F100" s="624"/>
      <c r="G100" s="398">
        <v>859681.09</v>
      </c>
      <c r="H100" s="398">
        <v>998586.78</v>
      </c>
      <c r="I100" s="398">
        <v>986568.83</v>
      </c>
      <c r="J100" s="398">
        <v>1424375.75</v>
      </c>
      <c r="K100" s="398">
        <v>1250720.22</v>
      </c>
      <c r="L100" s="398">
        <v>1305037.74</v>
      </c>
      <c r="M100" s="398">
        <v>1800426.57</v>
      </c>
      <c r="N100" s="398">
        <v>1808424.72</v>
      </c>
      <c r="O100" s="398">
        <v>1276524.3219999999</v>
      </c>
      <c r="P100" s="398">
        <v>1366751.5629573599</v>
      </c>
      <c r="Q100" s="398">
        <v>1263472.97732866</v>
      </c>
      <c r="R100" s="398">
        <v>1510973.93771399</v>
      </c>
      <c r="S100" s="397">
        <f t="shared" si="47"/>
        <v>15851544.5</v>
      </c>
      <c r="T100" s="372">
        <f t="shared" si="48"/>
        <v>0.21774996909213301</v>
      </c>
      <c r="V100" s="172"/>
    </row>
    <row r="101" spans="1:23">
      <c r="A101" s="216" t="str">
        <f t="shared" si="42"/>
        <v>714p</v>
      </c>
      <c r="B101" s="623" t="str">
        <f>+VLOOKUP(LEFT($A101,LEN(A101)-1)*1,Master!$D$30:$G$229,4,FALSE)</f>
        <v>Naknade</v>
      </c>
      <c r="C101" s="624"/>
      <c r="D101" s="624"/>
      <c r="E101" s="624"/>
      <c r="F101" s="624"/>
      <c r="G101" s="398">
        <v>2491580.6800000002</v>
      </c>
      <c r="H101" s="398">
        <v>4111753.23</v>
      </c>
      <c r="I101" s="398">
        <v>3497306.59</v>
      </c>
      <c r="J101" s="398">
        <v>5307671.18</v>
      </c>
      <c r="K101" s="398">
        <v>3457943.4</v>
      </c>
      <c r="L101" s="398">
        <v>4104367.62</v>
      </c>
      <c r="M101" s="398">
        <v>6739444.4199999999</v>
      </c>
      <c r="N101" s="398">
        <v>3916013.25</v>
      </c>
      <c r="O101" s="398">
        <v>3596943.34</v>
      </c>
      <c r="P101" s="398">
        <v>8444856.5697788801</v>
      </c>
      <c r="Q101" s="398">
        <v>9539829.9106435105</v>
      </c>
      <c r="R101" s="398">
        <v>7615370.4595776098</v>
      </c>
      <c r="S101" s="397">
        <f t="shared" si="47"/>
        <v>62823080.649999999</v>
      </c>
      <c r="T101" s="372">
        <f t="shared" si="48"/>
        <v>0.86298996730634503</v>
      </c>
      <c r="V101" s="172"/>
    </row>
    <row r="102" spans="1:23">
      <c r="A102" s="216" t="str">
        <f t="shared" si="42"/>
        <v>715p</v>
      </c>
      <c r="B102" s="623" t="str">
        <f>+VLOOKUP(LEFT($A102,LEN(A102)-1)*1,Master!$D$30:$G$229,4,FALSE)</f>
        <v>Ostali prihodi</v>
      </c>
      <c r="C102" s="624"/>
      <c r="D102" s="624"/>
      <c r="E102" s="624"/>
      <c r="F102" s="624"/>
      <c r="G102" s="398">
        <v>7787071.8499999996</v>
      </c>
      <c r="H102" s="398">
        <v>2506490.67</v>
      </c>
      <c r="I102" s="398">
        <v>2145824.85</v>
      </c>
      <c r="J102" s="398">
        <v>12834932.449999999</v>
      </c>
      <c r="K102" s="398">
        <v>2024117.15</v>
      </c>
      <c r="L102" s="398">
        <v>13130823.48</v>
      </c>
      <c r="M102" s="398">
        <v>18548149.52</v>
      </c>
      <c r="N102" s="398">
        <v>3488463.07</v>
      </c>
      <c r="O102" s="398">
        <v>4235278.49</v>
      </c>
      <c r="P102" s="398">
        <v>14669178.907052901</v>
      </c>
      <c r="Q102" s="398">
        <v>14632746.418559</v>
      </c>
      <c r="R102" s="398">
        <v>25955742.174388099</v>
      </c>
      <c r="S102" s="397">
        <f t="shared" si="47"/>
        <v>121958819.03</v>
      </c>
      <c r="T102" s="372">
        <f t="shared" si="48"/>
        <v>1.6753275413822</v>
      </c>
      <c r="V102" s="172"/>
    </row>
    <row r="103" spans="1:23">
      <c r="A103" s="216" t="str">
        <f t="shared" si="42"/>
        <v>73p</v>
      </c>
      <c r="B103" s="623" t="str">
        <f>+VLOOKUP(LEFT($A103,LEN(A103)-1)*1,Master!$D$30:$G$229,4,FALSE)</f>
        <v>Primici od otplate kredita i sredstva prenesena iz prethodne godine</v>
      </c>
      <c r="C103" s="624"/>
      <c r="D103" s="624"/>
      <c r="E103" s="624"/>
      <c r="F103" s="624"/>
      <c r="G103" s="398">
        <v>0</v>
      </c>
      <c r="H103" s="398">
        <v>0</v>
      </c>
      <c r="I103" s="398">
        <v>0</v>
      </c>
      <c r="J103" s="398">
        <v>0</v>
      </c>
      <c r="K103" s="398">
        <v>0</v>
      </c>
      <c r="L103" s="398">
        <v>0</v>
      </c>
      <c r="M103" s="398">
        <v>0</v>
      </c>
      <c r="N103" s="398">
        <v>0</v>
      </c>
      <c r="O103" s="398">
        <v>0</v>
      </c>
      <c r="P103" s="398">
        <v>0</v>
      </c>
      <c r="Q103" s="398">
        <v>0</v>
      </c>
      <c r="R103" s="398">
        <v>0</v>
      </c>
      <c r="S103" s="397">
        <f t="shared" si="47"/>
        <v>0</v>
      </c>
      <c r="T103" s="372">
        <f t="shared" si="48"/>
        <v>0</v>
      </c>
      <c r="V103" s="172"/>
      <c r="W103" s="172"/>
    </row>
    <row r="104" spans="1:23">
      <c r="A104" s="216" t="str">
        <f t="shared" si="42"/>
        <v>74p</v>
      </c>
      <c r="B104" s="625" t="str">
        <f>+VLOOKUP(LEFT($A104,LEN(A104)-1)*1,Master!$D$30:$G$229,4,FALSE)</f>
        <v>Donacije i transferi</v>
      </c>
      <c r="C104" s="626"/>
      <c r="D104" s="626"/>
      <c r="E104" s="626"/>
      <c r="F104" s="626"/>
      <c r="G104" s="398">
        <v>4232324.3600000003</v>
      </c>
      <c r="H104" s="398">
        <v>113935.73</v>
      </c>
      <c r="I104" s="398">
        <v>3280879.61</v>
      </c>
      <c r="J104" s="398">
        <v>1986252.18</v>
      </c>
      <c r="K104" s="398">
        <v>1598929.68</v>
      </c>
      <c r="L104" s="398">
        <v>2514909.9</v>
      </c>
      <c r="M104" s="398">
        <v>3161833.91</v>
      </c>
      <c r="N104" s="398">
        <v>3345939.22</v>
      </c>
      <c r="O104" s="398">
        <v>2160528.65</v>
      </c>
      <c r="P104" s="398">
        <v>4071103.7677778201</v>
      </c>
      <c r="Q104" s="398">
        <v>4449653.5944443997</v>
      </c>
      <c r="R104" s="398">
        <v>25383709.3977778</v>
      </c>
      <c r="S104" s="399">
        <f t="shared" si="47"/>
        <v>56300000</v>
      </c>
      <c r="T104" s="374">
        <f t="shared" si="48"/>
        <v>0.77338351855158904</v>
      </c>
      <c r="V104" s="172"/>
    </row>
    <row r="105" spans="1:23">
      <c r="A105" s="216" t="str">
        <f t="shared" si="42"/>
        <v>4p</v>
      </c>
      <c r="B105" s="617" t="str">
        <f>+VLOOKUP(LEFT($A105,LEN(A105)-1)*1,Master!$D$30:$G$229,4,FALSE)</f>
        <v>Izdaci budžeta</v>
      </c>
      <c r="C105" s="618"/>
      <c r="D105" s="618"/>
      <c r="E105" s="618"/>
      <c r="F105" s="618"/>
      <c r="G105" s="400">
        <f t="shared" ref="G105:L105" si="51">+G106+G116+G122+SUM(G123:G127)</f>
        <v>183820665.53</v>
      </c>
      <c r="H105" s="400">
        <f t="shared" si="51"/>
        <v>209034546.72</v>
      </c>
      <c r="I105" s="400">
        <f t="shared" si="51"/>
        <v>223389951.12</v>
      </c>
      <c r="J105" s="400">
        <f t="shared" si="51"/>
        <v>245922148.61000001</v>
      </c>
      <c r="K105" s="400">
        <f t="shared" si="51"/>
        <v>229395964.30000001</v>
      </c>
      <c r="L105" s="400">
        <f t="shared" si="51"/>
        <v>225770245.25999999</v>
      </c>
      <c r="M105" s="400">
        <f t="shared" ref="M105:R105" si="52">+M106+M116+M122+SUM(M123:M127)</f>
        <v>241789206.27000001</v>
      </c>
      <c r="N105" s="400">
        <f t="shared" si="52"/>
        <v>195775083.90000001</v>
      </c>
      <c r="O105" s="400">
        <f t="shared" si="52"/>
        <v>324683120.88</v>
      </c>
      <c r="P105" s="400">
        <f t="shared" si="52"/>
        <v>309512241.25</v>
      </c>
      <c r="Q105" s="400">
        <f t="shared" si="52"/>
        <v>309512241.24000001</v>
      </c>
      <c r="R105" s="400">
        <f t="shared" si="52"/>
        <v>309512211.63</v>
      </c>
      <c r="S105" s="401">
        <f t="shared" si="47"/>
        <v>3008117626.71</v>
      </c>
      <c r="T105" s="402">
        <f t="shared" si="48"/>
        <v>41.321999899858497</v>
      </c>
      <c r="V105" s="173"/>
    </row>
    <row r="106" spans="1:23">
      <c r="A106" s="216" t="str">
        <f t="shared" si="42"/>
        <v>41p</v>
      </c>
      <c r="B106" s="627" t="str">
        <f>+VLOOKUP(LEFT($A106,LEN(A106)-1)*1,Master!$D$30:$G$229,4,FALSE)</f>
        <v>Tekući izdaci</v>
      </c>
      <c r="C106" s="628"/>
      <c r="D106" s="628"/>
      <c r="E106" s="628"/>
      <c r="F106" s="628"/>
      <c r="G106" s="403">
        <f t="shared" ref="G106:L106" si="53">+SUM(G107:G115)</f>
        <v>78841206.859999999</v>
      </c>
      <c r="H106" s="403">
        <f t="shared" si="53"/>
        <v>83014021.200000003</v>
      </c>
      <c r="I106" s="403">
        <f t="shared" si="53"/>
        <v>92048933.290000007</v>
      </c>
      <c r="J106" s="403">
        <f t="shared" si="53"/>
        <v>107050346.88</v>
      </c>
      <c r="K106" s="403">
        <f t="shared" si="53"/>
        <v>97740761.239999995</v>
      </c>
      <c r="L106" s="403">
        <f t="shared" si="53"/>
        <v>88589892.950000003</v>
      </c>
      <c r="M106" s="403">
        <f t="shared" ref="M106:R106" si="54">+SUM(M107:M115)</f>
        <v>89195136.260000005</v>
      </c>
      <c r="N106" s="403">
        <f t="shared" si="54"/>
        <v>74903604.239999995</v>
      </c>
      <c r="O106" s="403">
        <f t="shared" si="54"/>
        <v>136034959.75999999</v>
      </c>
      <c r="P106" s="403">
        <f t="shared" si="54"/>
        <v>126609704.89</v>
      </c>
      <c r="Q106" s="403">
        <f t="shared" si="54"/>
        <v>126609704.88</v>
      </c>
      <c r="R106" s="404">
        <f t="shared" si="54"/>
        <v>126609678.26000001</v>
      </c>
      <c r="S106" s="393">
        <f t="shared" si="47"/>
        <v>1227247950.71</v>
      </c>
      <c r="T106" s="369">
        <f t="shared" si="48"/>
        <v>16.8584962389934</v>
      </c>
      <c r="V106" s="173"/>
      <c r="W106" s="173"/>
    </row>
    <row r="107" spans="1:23">
      <c r="A107" s="216" t="str">
        <f t="shared" si="42"/>
        <v>411p</v>
      </c>
      <c r="B107" s="621" t="str">
        <f>+VLOOKUP(LEFT($A107,LEN(A107)-1)*1,Master!$D$30:$G$229,4,FALSE)</f>
        <v>Bruto zarade i doprinosi na teret poslodavca</v>
      </c>
      <c r="C107" s="622"/>
      <c r="D107" s="622"/>
      <c r="E107" s="622"/>
      <c r="F107" s="622"/>
      <c r="G107" s="225">
        <v>55090717.780000001</v>
      </c>
      <c r="H107" s="225">
        <v>55927681.82</v>
      </c>
      <c r="I107" s="225">
        <v>55523778.060000002</v>
      </c>
      <c r="J107" s="225">
        <v>55425859.020000003</v>
      </c>
      <c r="K107" s="225">
        <v>56381450.369999997</v>
      </c>
      <c r="L107" s="225">
        <v>56771011.799999997</v>
      </c>
      <c r="M107" s="225">
        <v>56426791.560000002</v>
      </c>
      <c r="N107" s="225">
        <v>55778240.390000001</v>
      </c>
      <c r="O107" s="225">
        <v>62806361.32</v>
      </c>
      <c r="P107" s="225">
        <v>62805999.469999999</v>
      </c>
      <c r="Q107" s="225">
        <v>62805999.469999999</v>
      </c>
      <c r="R107" s="225">
        <v>62805991.890000001</v>
      </c>
      <c r="S107" s="312">
        <f t="shared" si="47"/>
        <v>698549882.95000005</v>
      </c>
      <c r="T107" s="329">
        <f t="shared" si="48"/>
        <v>9.5958608589639702</v>
      </c>
      <c r="V107" s="361"/>
    </row>
    <row r="108" spans="1:23">
      <c r="A108" s="216" t="str">
        <f t="shared" si="42"/>
        <v>412p</v>
      </c>
      <c r="B108" s="621" t="str">
        <f>+VLOOKUP(LEFT($A108,LEN(A108)-1)*1,Master!$D$30:$G$229,4,FALSE)</f>
        <v>Ostala lična primanja</v>
      </c>
      <c r="C108" s="622"/>
      <c r="D108" s="622"/>
      <c r="E108" s="622"/>
      <c r="F108" s="622"/>
      <c r="G108" s="225">
        <v>1845012.37</v>
      </c>
      <c r="H108" s="225">
        <v>1121381.1000000001</v>
      </c>
      <c r="I108" s="225">
        <v>1789478.1</v>
      </c>
      <c r="J108" s="225">
        <v>1613860.58</v>
      </c>
      <c r="K108" s="225">
        <v>1532334.93</v>
      </c>
      <c r="L108" s="225">
        <v>1656072.98</v>
      </c>
      <c r="M108" s="225">
        <v>1758849.66</v>
      </c>
      <c r="N108" s="225">
        <v>1228863.3999999999</v>
      </c>
      <c r="O108" s="225">
        <v>2615345.42</v>
      </c>
      <c r="P108" s="225">
        <v>2604939.94</v>
      </c>
      <c r="Q108" s="225">
        <v>2604939.94</v>
      </c>
      <c r="R108" s="225">
        <v>2604938.58</v>
      </c>
      <c r="S108" s="312">
        <f t="shared" si="47"/>
        <v>22976017</v>
      </c>
      <c r="T108" s="329">
        <f t="shared" si="48"/>
        <v>0.31561763534211601</v>
      </c>
      <c r="V108" s="361"/>
    </row>
    <row r="109" spans="1:23">
      <c r="A109" s="216" t="str">
        <f t="shared" si="42"/>
        <v>413p</v>
      </c>
      <c r="B109" s="621" t="str">
        <f>+VLOOKUP(LEFT($A109,LEN(A109)-1)*1,Master!$D$30:$G$229,4,FALSE)</f>
        <v>Rashodi za materijal</v>
      </c>
      <c r="C109" s="622"/>
      <c r="D109" s="622"/>
      <c r="E109" s="622"/>
      <c r="F109" s="622"/>
      <c r="G109" s="225">
        <v>2369982.58</v>
      </c>
      <c r="H109" s="225">
        <v>4309739.99</v>
      </c>
      <c r="I109" s="225">
        <v>4627461.04</v>
      </c>
      <c r="J109" s="225">
        <v>3794525</v>
      </c>
      <c r="K109" s="225">
        <v>3824230.88</v>
      </c>
      <c r="L109" s="225">
        <v>4216176.76</v>
      </c>
      <c r="M109" s="225">
        <v>3288042.01</v>
      </c>
      <c r="N109" s="225">
        <v>2536576.7799999998</v>
      </c>
      <c r="O109" s="225">
        <v>5879314.1699999999</v>
      </c>
      <c r="P109" s="225">
        <v>5015153.0199999996</v>
      </c>
      <c r="Q109" s="225">
        <v>5015153.0199999996</v>
      </c>
      <c r="R109" s="225">
        <v>5015149.25</v>
      </c>
      <c r="S109" s="312">
        <f t="shared" si="47"/>
        <v>49891504.5</v>
      </c>
      <c r="T109" s="329">
        <f t="shared" si="48"/>
        <v>0.68535110650164099</v>
      </c>
      <c r="V109" s="361"/>
    </row>
    <row r="110" spans="1:23">
      <c r="A110" s="216" t="str">
        <f t="shared" si="42"/>
        <v>414p</v>
      </c>
      <c r="B110" s="621" t="str">
        <f>+VLOOKUP(LEFT($A110,LEN(A110)-1)*1,Master!$D$30:$G$229,4,FALSE)</f>
        <v>Rashodi za usluge</v>
      </c>
      <c r="C110" s="622"/>
      <c r="D110" s="622"/>
      <c r="E110" s="622"/>
      <c r="F110" s="622"/>
      <c r="G110" s="225">
        <v>2784249.92</v>
      </c>
      <c r="H110" s="225">
        <v>5200756.53</v>
      </c>
      <c r="I110" s="225">
        <v>5783209.3899999997</v>
      </c>
      <c r="J110" s="225">
        <v>6441506.1100000003</v>
      </c>
      <c r="K110" s="225">
        <v>4515023.76</v>
      </c>
      <c r="L110" s="225">
        <v>5470012.5800000001</v>
      </c>
      <c r="M110" s="225">
        <v>4997441.22</v>
      </c>
      <c r="N110" s="225">
        <v>2840935.8</v>
      </c>
      <c r="O110" s="225">
        <v>11163601.779999999</v>
      </c>
      <c r="P110" s="225">
        <v>10908881.1</v>
      </c>
      <c r="Q110" s="225">
        <v>10908881.09</v>
      </c>
      <c r="R110" s="225">
        <v>10908873.050000001</v>
      </c>
      <c r="S110" s="312">
        <f t="shared" si="47"/>
        <v>81923372.329999998</v>
      </c>
      <c r="T110" s="329">
        <f t="shared" si="48"/>
        <v>1.1253674235202</v>
      </c>
      <c r="V110" s="361"/>
    </row>
    <row r="111" spans="1:23">
      <c r="A111" s="216" t="str">
        <f t="shared" si="42"/>
        <v>415p</v>
      </c>
      <c r="B111" s="621" t="str">
        <f>+VLOOKUP(LEFT($A111,LEN(A111)-1)*1,Master!$D$30:$G$229,4,FALSE)</f>
        <v>Rashodi za tekuće održavanje</v>
      </c>
      <c r="C111" s="622"/>
      <c r="D111" s="622"/>
      <c r="E111" s="622"/>
      <c r="F111" s="622"/>
      <c r="G111" s="225">
        <v>421997.91</v>
      </c>
      <c r="H111" s="225">
        <v>2207116.13</v>
      </c>
      <c r="I111" s="225">
        <v>2227194.23</v>
      </c>
      <c r="J111" s="225">
        <v>3630793.98</v>
      </c>
      <c r="K111" s="225">
        <v>1842653.52</v>
      </c>
      <c r="L111" s="225">
        <v>3199704.13</v>
      </c>
      <c r="M111" s="225">
        <v>5358791.49</v>
      </c>
      <c r="N111" s="225">
        <v>1479981.49</v>
      </c>
      <c r="O111" s="225">
        <v>4707282.67</v>
      </c>
      <c r="P111" s="225">
        <v>4676428.2699999996</v>
      </c>
      <c r="Q111" s="225">
        <v>4676428.2699999996</v>
      </c>
      <c r="R111" s="225">
        <v>4676427</v>
      </c>
      <c r="S111" s="312">
        <f t="shared" si="47"/>
        <v>39104799.090000004</v>
      </c>
      <c r="T111" s="329">
        <f t="shared" si="48"/>
        <v>0.53717597002623696</v>
      </c>
      <c r="V111" s="361"/>
    </row>
    <row r="112" spans="1:23">
      <c r="A112" s="216" t="str">
        <f t="shared" si="42"/>
        <v>416p</v>
      </c>
      <c r="B112" s="621" t="str">
        <f>+VLOOKUP(LEFT($A112,LEN(A112)-1)*1,Master!$D$30:$G$229,4,FALSE)</f>
        <v>Kamate</v>
      </c>
      <c r="C112" s="622"/>
      <c r="D112" s="622"/>
      <c r="E112" s="622"/>
      <c r="F112" s="622"/>
      <c r="G112" s="225">
        <v>4503949.26</v>
      </c>
      <c r="H112" s="225">
        <v>3756292.27</v>
      </c>
      <c r="I112" s="225">
        <v>7092103.2000000002</v>
      </c>
      <c r="J112" s="225">
        <v>23844711.640000001</v>
      </c>
      <c r="K112" s="225">
        <v>16055591.880000001</v>
      </c>
      <c r="L112" s="225">
        <v>5378731.6100000003</v>
      </c>
      <c r="M112" s="225">
        <v>3774375.92</v>
      </c>
      <c r="N112" s="225">
        <v>4401368.99</v>
      </c>
      <c r="O112" s="225">
        <v>25791430.84</v>
      </c>
      <c r="P112" s="225">
        <v>17655486.75</v>
      </c>
      <c r="Q112" s="225">
        <v>17655486.75</v>
      </c>
      <c r="R112" s="225">
        <v>17655486.710000001</v>
      </c>
      <c r="S112" s="312">
        <f t="shared" si="47"/>
        <v>147565015.81999999</v>
      </c>
      <c r="T112" s="329">
        <f t="shared" si="48"/>
        <v>2.0270755088808601</v>
      </c>
      <c r="V112" s="361"/>
    </row>
    <row r="113" spans="1:22">
      <c r="A113" s="216" t="str">
        <f t="shared" si="42"/>
        <v>417p</v>
      </c>
      <c r="B113" s="621" t="str">
        <f>+VLOOKUP(LEFT($A113,LEN(A113)-1)*1,Master!$D$30:$G$229,4,FALSE)</f>
        <v>Renta</v>
      </c>
      <c r="C113" s="622"/>
      <c r="D113" s="622"/>
      <c r="E113" s="622"/>
      <c r="F113" s="622"/>
      <c r="G113" s="225">
        <v>1145827.7</v>
      </c>
      <c r="H113" s="225">
        <v>1121922.1299999999</v>
      </c>
      <c r="I113" s="225">
        <v>1173734.8999999999</v>
      </c>
      <c r="J113" s="225">
        <v>1216286.52</v>
      </c>
      <c r="K113" s="225">
        <v>1123391.8600000001</v>
      </c>
      <c r="L113" s="225">
        <v>1136951.03</v>
      </c>
      <c r="M113" s="225">
        <v>1173779.8899999999</v>
      </c>
      <c r="N113" s="225">
        <v>955386.8</v>
      </c>
      <c r="O113" s="225">
        <v>1256374.81</v>
      </c>
      <c r="P113" s="225">
        <v>1251288.04</v>
      </c>
      <c r="Q113" s="225">
        <v>1251288.04</v>
      </c>
      <c r="R113" s="225">
        <v>1251287.76</v>
      </c>
      <c r="S113" s="312">
        <f t="shared" si="47"/>
        <v>14057519.48</v>
      </c>
      <c r="T113" s="329">
        <f t="shared" si="48"/>
        <v>0.19310575270958999</v>
      </c>
      <c r="V113" s="361"/>
    </row>
    <row r="114" spans="1:22">
      <c r="A114" s="216" t="str">
        <f t="shared" si="42"/>
        <v>418p</v>
      </c>
      <c r="B114" s="621" t="str">
        <f>+VLOOKUP(LEFT($A114,LEN(A114)-1)*1,Master!$D$30:$G$229,4,FALSE)</f>
        <v>Subvencije</v>
      </c>
      <c r="C114" s="622"/>
      <c r="D114" s="622"/>
      <c r="E114" s="622"/>
      <c r="F114" s="622"/>
      <c r="G114" s="225">
        <v>2731666.67</v>
      </c>
      <c r="H114" s="225">
        <v>4565115.9800000004</v>
      </c>
      <c r="I114" s="225">
        <v>6441730.6699999999</v>
      </c>
      <c r="J114" s="225">
        <v>6542895.6699999999</v>
      </c>
      <c r="K114" s="225">
        <v>7137211.9100000001</v>
      </c>
      <c r="L114" s="225">
        <v>5996551</v>
      </c>
      <c r="M114" s="225">
        <v>6613693.3300000001</v>
      </c>
      <c r="N114" s="225">
        <v>2663566.67</v>
      </c>
      <c r="O114" s="225">
        <v>9829142.0099999998</v>
      </c>
      <c r="P114" s="225">
        <v>9829142.0099999998</v>
      </c>
      <c r="Q114" s="225">
        <v>9829142.0099999998</v>
      </c>
      <c r="R114" s="225">
        <v>9829142</v>
      </c>
      <c r="S114" s="312">
        <f t="shared" si="47"/>
        <v>82008999.930000007</v>
      </c>
      <c r="T114" s="329">
        <f t="shared" si="48"/>
        <v>1.12654367528882</v>
      </c>
      <c r="V114" s="361"/>
    </row>
    <row r="115" spans="1:22">
      <c r="A115" s="216" t="str">
        <f t="shared" si="42"/>
        <v>419p</v>
      </c>
      <c r="B115" s="621" t="str">
        <f>+VLOOKUP(LEFT($A115,LEN(A115)-1)*1,Master!$D$30:$G$229,4,FALSE)</f>
        <v>Ostali izdaci</v>
      </c>
      <c r="C115" s="622"/>
      <c r="D115" s="622"/>
      <c r="E115" s="622"/>
      <c r="F115" s="622"/>
      <c r="G115" s="225">
        <v>7947802.6699999999</v>
      </c>
      <c r="H115" s="225">
        <v>4804015.25</v>
      </c>
      <c r="I115" s="225">
        <v>7390243.7000000002</v>
      </c>
      <c r="J115" s="225">
        <v>4539908.3600000003</v>
      </c>
      <c r="K115" s="225">
        <v>5328872.13</v>
      </c>
      <c r="L115" s="225">
        <v>4764681.0599999996</v>
      </c>
      <c r="M115" s="225">
        <v>5803371.1799999997</v>
      </c>
      <c r="N115" s="225">
        <v>3018683.92</v>
      </c>
      <c r="O115" s="225">
        <v>11986106.74</v>
      </c>
      <c r="P115" s="225">
        <v>11862386.289999999</v>
      </c>
      <c r="Q115" s="225">
        <v>11862386.289999999</v>
      </c>
      <c r="R115" s="225">
        <v>11862382.02</v>
      </c>
      <c r="S115" s="312">
        <f t="shared" si="47"/>
        <v>91170839.609999999</v>
      </c>
      <c r="T115" s="329">
        <f t="shared" si="48"/>
        <v>1.2523983077599401</v>
      </c>
      <c r="V115" s="361"/>
    </row>
    <row r="116" spans="1:22">
      <c r="A116" s="216" t="str">
        <f t="shared" si="42"/>
        <v>42p</v>
      </c>
      <c r="B116" s="649" t="str">
        <f>+VLOOKUP(LEFT($A116,LEN(A116)-1)*1,Master!$D$30:$G$229,4,FALSE)</f>
        <v>Transferi za socijalnu zaštitu</v>
      </c>
      <c r="C116" s="650"/>
      <c r="D116" s="650"/>
      <c r="E116" s="650"/>
      <c r="F116" s="650"/>
      <c r="G116" s="405">
        <f t="shared" ref="G116:L116" si="55">+SUM(G117:G121)</f>
        <v>73494600.769999996</v>
      </c>
      <c r="H116" s="405">
        <f t="shared" si="55"/>
        <v>82093000.989999995</v>
      </c>
      <c r="I116" s="405">
        <f t="shared" si="55"/>
        <v>81100925.239999995</v>
      </c>
      <c r="J116" s="405">
        <f t="shared" si="55"/>
        <v>83912019.790000007</v>
      </c>
      <c r="K116" s="405">
        <f t="shared" si="55"/>
        <v>82988777.170000002</v>
      </c>
      <c r="L116" s="405">
        <f t="shared" si="55"/>
        <v>87080191.769999996</v>
      </c>
      <c r="M116" s="405">
        <f t="shared" ref="M116:R116" si="56">+SUM(M117:M121)</f>
        <v>83205495.530000001</v>
      </c>
      <c r="N116" s="405">
        <f t="shared" si="56"/>
        <v>85610351.370000005</v>
      </c>
      <c r="O116" s="405">
        <f t="shared" si="56"/>
        <v>87439444.099999994</v>
      </c>
      <c r="P116" s="405">
        <f t="shared" si="56"/>
        <v>86802593.010000005</v>
      </c>
      <c r="Q116" s="405">
        <f t="shared" si="56"/>
        <v>86802593.010000005</v>
      </c>
      <c r="R116" s="405">
        <f t="shared" si="56"/>
        <v>86802592.890000001</v>
      </c>
      <c r="S116" s="397">
        <f t="shared" si="47"/>
        <v>1007332585.64</v>
      </c>
      <c r="T116" s="372">
        <f t="shared" si="48"/>
        <v>13.8375562954517</v>
      </c>
      <c r="V116" s="172"/>
    </row>
    <row r="117" spans="1:22">
      <c r="A117" s="216" t="str">
        <f t="shared" si="42"/>
        <v>421p</v>
      </c>
      <c r="B117" s="621" t="str">
        <f>+VLOOKUP(LEFT($A117,LEN(A117)-1)*1,Master!$D$30:$G$229,4,FALSE)</f>
        <v>Prava iz oblasti socijalne zaštite</v>
      </c>
      <c r="C117" s="622"/>
      <c r="D117" s="622"/>
      <c r="E117" s="622"/>
      <c r="F117" s="622"/>
      <c r="G117" s="153">
        <v>17263673.050000001</v>
      </c>
      <c r="H117" s="153">
        <v>17437731.98</v>
      </c>
      <c r="I117" s="153">
        <v>16920688.469999999</v>
      </c>
      <c r="J117" s="153">
        <v>17626340.170000002</v>
      </c>
      <c r="K117" s="153">
        <v>17001906.07</v>
      </c>
      <c r="L117" s="153">
        <v>17977246.739999998</v>
      </c>
      <c r="M117" s="153">
        <v>16917527.129999999</v>
      </c>
      <c r="N117" s="153">
        <v>18622201.02</v>
      </c>
      <c r="O117" s="153">
        <v>18073921.359999999</v>
      </c>
      <c r="P117" s="153">
        <v>18073921.359999999</v>
      </c>
      <c r="Q117" s="153">
        <v>18073921.359999999</v>
      </c>
      <c r="R117" s="153">
        <v>18073921.289999999</v>
      </c>
      <c r="S117" s="312">
        <f t="shared" si="47"/>
        <v>212063000</v>
      </c>
      <c r="T117" s="329">
        <f t="shared" si="48"/>
        <v>2.9130733409343801</v>
      </c>
      <c r="V117" s="361"/>
    </row>
    <row r="118" spans="1:22">
      <c r="A118" s="216" t="str">
        <f t="shared" ref="A118:A134" si="57">+CONCATENATE(A42,"p")</f>
        <v>422p</v>
      </c>
      <c r="B118" s="621" t="str">
        <f>+VLOOKUP(LEFT($A118,LEN(A118)-1)*1,Master!$D$30:$G$229,4,FALSE)</f>
        <v>Sredstva za tehnološke viškove</v>
      </c>
      <c r="C118" s="622"/>
      <c r="D118" s="622"/>
      <c r="E118" s="622"/>
      <c r="F118" s="622"/>
      <c r="G118" s="153">
        <v>2042355.51</v>
      </c>
      <c r="H118" s="153">
        <v>2083858.33</v>
      </c>
      <c r="I118" s="153">
        <v>8025</v>
      </c>
      <c r="J118" s="153">
        <v>1913496.3</v>
      </c>
      <c r="K118" s="153">
        <v>1869681.84</v>
      </c>
      <c r="L118" s="153">
        <v>1844784.76</v>
      </c>
      <c r="M118" s="153">
        <v>1856591.34</v>
      </c>
      <c r="N118" s="153">
        <v>1850620.42</v>
      </c>
      <c r="O118" s="153">
        <v>2013882.05</v>
      </c>
      <c r="P118" s="153">
        <v>1817334.82</v>
      </c>
      <c r="Q118" s="153">
        <v>1817334.82</v>
      </c>
      <c r="R118" s="153">
        <v>1817334.81</v>
      </c>
      <c r="S118" s="312">
        <f t="shared" si="47"/>
        <v>20935300</v>
      </c>
      <c r="T118" s="329">
        <f t="shared" si="48"/>
        <v>0.287584653213731</v>
      </c>
      <c r="V118" s="361"/>
    </row>
    <row r="119" spans="1:22">
      <c r="A119" s="216" t="str">
        <f t="shared" si="57"/>
        <v>423p</v>
      </c>
      <c r="B119" s="621" t="str">
        <f>+VLOOKUP(LEFT($A119,LEN(A119)-1)*1,Master!$D$30:$G$229,4,FALSE)</f>
        <v>Prava iz oblasti penzijskog i invalidskog osiguranja</v>
      </c>
      <c r="C119" s="622"/>
      <c r="D119" s="622"/>
      <c r="E119" s="622"/>
      <c r="F119" s="622"/>
      <c r="G119" s="153">
        <v>51133572.210000001</v>
      </c>
      <c r="H119" s="153">
        <v>59516410.68</v>
      </c>
      <c r="I119" s="153">
        <v>61117211.770000003</v>
      </c>
      <c r="J119" s="153">
        <v>61317183.32</v>
      </c>
      <c r="K119" s="153">
        <v>61062189.259999998</v>
      </c>
      <c r="L119" s="153">
        <v>61903160.270000003</v>
      </c>
      <c r="M119" s="153">
        <v>61711377.060000002</v>
      </c>
      <c r="N119" s="153">
        <v>62111529.93</v>
      </c>
      <c r="O119" s="153">
        <v>64325640.689999998</v>
      </c>
      <c r="P119" s="153">
        <v>64325640.689999998</v>
      </c>
      <c r="Q119" s="153">
        <v>64325640.689999998</v>
      </c>
      <c r="R119" s="153">
        <v>64325640.649999999</v>
      </c>
      <c r="S119" s="312">
        <f t="shared" si="47"/>
        <v>737175197.22000003</v>
      </c>
      <c r="T119" s="329">
        <f t="shared" si="48"/>
        <v>10.1264502276193</v>
      </c>
      <c r="V119" s="361"/>
    </row>
    <row r="120" spans="1:22">
      <c r="A120" s="216" t="str">
        <f t="shared" si="57"/>
        <v>424p</v>
      </c>
      <c r="B120" s="621" t="str">
        <f>+VLOOKUP(LEFT($A120,LEN(A120)-1)*1,Master!$D$30:$G$229,4,FALSE)</f>
        <v>Ostala prava iz oblasti zdravstvene zaštite</v>
      </c>
      <c r="C120" s="622"/>
      <c r="D120" s="622"/>
      <c r="E120" s="622"/>
      <c r="F120" s="622"/>
      <c r="G120" s="153">
        <v>1755000</v>
      </c>
      <c r="H120" s="153">
        <v>1755000</v>
      </c>
      <c r="I120" s="153">
        <v>1755000</v>
      </c>
      <c r="J120" s="153">
        <v>1755000</v>
      </c>
      <c r="K120" s="153">
        <v>1755000</v>
      </c>
      <c r="L120" s="153">
        <v>4055000</v>
      </c>
      <c r="M120" s="153">
        <v>1200000</v>
      </c>
      <c r="N120" s="153">
        <v>1506000</v>
      </c>
      <c r="O120" s="153">
        <v>1506000</v>
      </c>
      <c r="P120" s="153">
        <v>1506000</v>
      </c>
      <c r="Q120" s="153">
        <v>1506000</v>
      </c>
      <c r="R120" s="153">
        <v>1506000</v>
      </c>
      <c r="S120" s="312">
        <f t="shared" si="47"/>
        <v>21560000</v>
      </c>
      <c r="T120" s="329">
        <f t="shared" si="48"/>
        <v>0.29616605079879699</v>
      </c>
      <c r="V120" s="361"/>
    </row>
    <row r="121" spans="1:22">
      <c r="A121" s="216" t="str">
        <f t="shared" si="57"/>
        <v>425p</v>
      </c>
      <c r="B121" s="621" t="str">
        <f>+VLOOKUP(LEFT($A121,LEN(A121)-1)*1,Master!$D$30:$G$229,4,FALSE)</f>
        <v>Ostala prava iz zdravstvenog osiguranja</v>
      </c>
      <c r="C121" s="622"/>
      <c r="D121" s="622"/>
      <c r="E121" s="622"/>
      <c r="F121" s="622"/>
      <c r="G121" s="153">
        <v>1300000</v>
      </c>
      <c r="H121" s="153">
        <v>1300000</v>
      </c>
      <c r="I121" s="153">
        <v>1300000</v>
      </c>
      <c r="J121" s="153">
        <v>1300000</v>
      </c>
      <c r="K121" s="153">
        <v>1300000</v>
      </c>
      <c r="L121" s="153">
        <v>1300000</v>
      </c>
      <c r="M121" s="153">
        <v>1520000</v>
      </c>
      <c r="N121" s="153">
        <v>1520000</v>
      </c>
      <c r="O121" s="153">
        <v>1520000</v>
      </c>
      <c r="P121" s="153">
        <v>1079696.1399999999</v>
      </c>
      <c r="Q121" s="153">
        <v>1079696.1399999999</v>
      </c>
      <c r="R121" s="153">
        <v>1079696.1399999999</v>
      </c>
      <c r="S121" s="312">
        <f t="shared" si="47"/>
        <v>15599088.42</v>
      </c>
      <c r="T121" s="329">
        <f t="shared" si="48"/>
        <v>0.214282022885558</v>
      </c>
      <c r="V121" s="361"/>
    </row>
    <row r="122" spans="1:22">
      <c r="A122" s="216" t="str">
        <f t="shared" si="57"/>
        <v>43p</v>
      </c>
      <c r="B122" s="629" t="str">
        <f>+VLOOKUP(LEFT($A122,LEN(A122)-1)*1,Master!$D$30:$G$229,4,FALSE)</f>
        <v>Transferi institucijama, pojedincima, nevladinom i javnom sektoru</v>
      </c>
      <c r="C122" s="630"/>
      <c r="D122" s="630"/>
      <c r="E122" s="630"/>
      <c r="F122" s="630"/>
      <c r="G122" s="398">
        <v>28564147.629999999</v>
      </c>
      <c r="H122" s="398">
        <v>32536023.690000001</v>
      </c>
      <c r="I122" s="398">
        <v>33620505.539999999</v>
      </c>
      <c r="J122" s="398">
        <v>33996126.920000002</v>
      </c>
      <c r="K122" s="398">
        <v>28169682.809999999</v>
      </c>
      <c r="L122" s="398">
        <v>32301939.989999998</v>
      </c>
      <c r="M122" s="398">
        <v>48116062.329999998</v>
      </c>
      <c r="N122" s="398">
        <v>28573392.82</v>
      </c>
      <c r="O122" s="398">
        <v>41344037.340000004</v>
      </c>
      <c r="P122" s="398">
        <v>37535806.100000001</v>
      </c>
      <c r="Q122" s="398">
        <v>37535806.100000001</v>
      </c>
      <c r="R122" s="398">
        <v>37535805.210000001</v>
      </c>
      <c r="S122" s="397">
        <f t="shared" si="47"/>
        <v>419829336.48000002</v>
      </c>
      <c r="T122" s="372">
        <f t="shared" si="48"/>
        <v>5.7671241463247096</v>
      </c>
      <c r="V122" s="361"/>
    </row>
    <row r="123" spans="1:22">
      <c r="A123" s="216" t="str">
        <f t="shared" si="57"/>
        <v>44p</v>
      </c>
      <c r="B123" s="629" t="str">
        <f>+VLOOKUP(LEFT($A123,LEN(A123)-1)*1,Master!$D$30:$G$229,4,FALSE)</f>
        <v>Kapitalni izdaci</v>
      </c>
      <c r="C123" s="630"/>
      <c r="D123" s="630"/>
      <c r="E123" s="630"/>
      <c r="F123" s="630"/>
      <c r="G123" s="398">
        <v>2493461.69</v>
      </c>
      <c r="H123" s="398">
        <v>10868981.66</v>
      </c>
      <c r="I123" s="398">
        <v>15828943.68</v>
      </c>
      <c r="J123" s="398">
        <v>18716642.890000001</v>
      </c>
      <c r="K123" s="398">
        <v>12175709.51</v>
      </c>
      <c r="L123" s="398">
        <v>13530154.32</v>
      </c>
      <c r="M123" s="398">
        <v>16336899.66</v>
      </c>
      <c r="N123" s="398">
        <v>6646856.0700000003</v>
      </c>
      <c r="O123" s="398">
        <v>44278288.799999997</v>
      </c>
      <c r="P123" s="398">
        <v>42977746.369999997</v>
      </c>
      <c r="Q123" s="398">
        <v>42977746.369999997</v>
      </c>
      <c r="R123" s="398">
        <v>42977744.68</v>
      </c>
      <c r="S123" s="397">
        <f t="shared" si="47"/>
        <v>269809175.69999999</v>
      </c>
      <c r="T123" s="372">
        <f t="shared" si="48"/>
        <v>3.70632272895861</v>
      </c>
      <c r="U123" s="172"/>
      <c r="V123" s="361"/>
    </row>
    <row r="124" spans="1:22">
      <c r="A124" s="216" t="str">
        <f t="shared" si="57"/>
        <v>451p</v>
      </c>
      <c r="B124" s="631" t="str">
        <f>+VLOOKUP(LEFT($A124,LEN(A124)-1)*1,Master!$D$30:$G$229,4,FALSE)</f>
        <v>Pozajmice i krediti</v>
      </c>
      <c r="C124" s="632"/>
      <c r="D124" s="632"/>
      <c r="E124" s="632"/>
      <c r="F124" s="632"/>
      <c r="G124" s="153">
        <v>0</v>
      </c>
      <c r="H124" s="153">
        <v>0</v>
      </c>
      <c r="I124" s="153">
        <v>0</v>
      </c>
      <c r="J124" s="153">
        <v>0</v>
      </c>
      <c r="K124" s="153">
        <v>0</v>
      </c>
      <c r="L124" s="153">
        <v>0</v>
      </c>
      <c r="M124" s="153">
        <v>0</v>
      </c>
      <c r="N124" s="153">
        <v>0</v>
      </c>
      <c r="O124" s="153">
        <v>0</v>
      </c>
      <c r="P124" s="153">
        <v>0</v>
      </c>
      <c r="Q124" s="153">
        <v>0</v>
      </c>
      <c r="R124" s="153">
        <v>0</v>
      </c>
      <c r="S124" s="312">
        <f t="shared" si="47"/>
        <v>0</v>
      </c>
      <c r="T124" s="329">
        <f t="shared" si="48"/>
        <v>0</v>
      </c>
      <c r="U124" s="172"/>
      <c r="V124" s="361"/>
    </row>
    <row r="125" spans="1:22">
      <c r="A125" s="216" t="str">
        <f t="shared" si="57"/>
        <v>47p</v>
      </c>
      <c r="B125" s="631" t="str">
        <f>+VLOOKUP(LEFT($A125,LEN(A125)-1)*1,Master!$D$30:$G$229,4,FALSE)</f>
        <v>Rezerve</v>
      </c>
      <c r="C125" s="632"/>
      <c r="D125" s="632"/>
      <c r="E125" s="632"/>
      <c r="F125" s="632"/>
      <c r="G125" s="225">
        <v>0</v>
      </c>
      <c r="H125" s="225">
        <v>0</v>
      </c>
      <c r="I125" s="225">
        <v>754804.72</v>
      </c>
      <c r="J125" s="225">
        <v>2241991.67</v>
      </c>
      <c r="K125" s="225">
        <v>8318950</v>
      </c>
      <c r="L125" s="225">
        <v>4247049.5</v>
      </c>
      <c r="M125" s="225">
        <v>4935612.49</v>
      </c>
      <c r="N125" s="225">
        <v>10879.4</v>
      </c>
      <c r="O125" s="225">
        <v>10387962.93</v>
      </c>
      <c r="P125" s="225">
        <v>10387962.93</v>
      </c>
      <c r="Q125" s="225">
        <v>10387962.93</v>
      </c>
      <c r="R125" s="225">
        <v>10387962.91</v>
      </c>
      <c r="S125" s="312">
        <f t="shared" si="47"/>
        <v>62061139.479999997</v>
      </c>
      <c r="T125" s="329">
        <f t="shared" si="48"/>
        <v>0.85252331112545898</v>
      </c>
      <c r="U125" s="172"/>
      <c r="V125" s="361"/>
    </row>
    <row r="126" spans="1:22">
      <c r="A126" s="216" t="str">
        <f t="shared" si="57"/>
        <v>462p</v>
      </c>
      <c r="B126" s="631" t="str">
        <f>+VLOOKUP(LEFT($A126,LEN(A126)-1)*1,Master!$D$30:$G$229,4,FALSE)</f>
        <v>Otplata garancija</v>
      </c>
      <c r="C126" s="632"/>
      <c r="D126" s="632"/>
      <c r="E126" s="632"/>
      <c r="F126" s="632"/>
      <c r="G126" s="153">
        <v>0</v>
      </c>
      <c r="H126" s="153">
        <v>0</v>
      </c>
      <c r="I126" s="153">
        <v>0</v>
      </c>
      <c r="J126" s="153">
        <v>0</v>
      </c>
      <c r="K126" s="153">
        <v>0</v>
      </c>
      <c r="L126" s="153">
        <v>0</v>
      </c>
      <c r="M126" s="153">
        <v>0</v>
      </c>
      <c r="N126" s="153">
        <v>0</v>
      </c>
      <c r="O126" s="153">
        <v>0.5</v>
      </c>
      <c r="P126" s="153">
        <v>0.5</v>
      </c>
      <c r="Q126" s="153">
        <v>0.5</v>
      </c>
      <c r="R126" s="153">
        <v>0.5</v>
      </c>
      <c r="S126" s="312">
        <f t="shared" si="47"/>
        <v>2</v>
      </c>
      <c r="T126" s="329">
        <f t="shared" si="48"/>
        <v>2.74736596288309E-8</v>
      </c>
      <c r="U126" s="172"/>
      <c r="V126" s="361"/>
    </row>
    <row r="127" spans="1:22">
      <c r="A127" s="247" t="str">
        <f t="shared" si="57"/>
        <v>4630p</v>
      </c>
      <c r="B127" s="631" t="str">
        <f>+VLOOKUP(LEFT($A127,LEN(A127)-1)*1,Master!$D$30:$G$229,4,FALSE)</f>
        <v>Otplata obaveza iz prethodnog perioda</v>
      </c>
      <c r="C127" s="632"/>
      <c r="D127" s="632"/>
      <c r="E127" s="632"/>
      <c r="F127" s="632"/>
      <c r="G127" s="253">
        <v>427248.58</v>
      </c>
      <c r="H127" s="225">
        <v>522519.18</v>
      </c>
      <c r="I127" s="225">
        <v>35838.65</v>
      </c>
      <c r="J127" s="225">
        <v>5020.46</v>
      </c>
      <c r="K127" s="225">
        <v>2083.5700000000002</v>
      </c>
      <c r="L127" s="225">
        <v>21016.73</v>
      </c>
      <c r="M127" s="225">
        <v>0</v>
      </c>
      <c r="N127" s="225">
        <v>30000</v>
      </c>
      <c r="O127" s="225">
        <v>5198427.45</v>
      </c>
      <c r="P127" s="225">
        <v>5198427.45</v>
      </c>
      <c r="Q127" s="225">
        <v>5198427.45</v>
      </c>
      <c r="R127" s="225">
        <v>5198427.18</v>
      </c>
      <c r="S127" s="317">
        <f t="shared" si="47"/>
        <v>21837436.699999999</v>
      </c>
      <c r="T127" s="342">
        <f t="shared" si="48"/>
        <v>0.29997715153096999</v>
      </c>
      <c r="U127" s="172"/>
      <c r="V127" s="361"/>
    </row>
    <row r="128" spans="1:22">
      <c r="A128" s="216" t="str">
        <f t="shared" si="57"/>
        <v>1005p</v>
      </c>
      <c r="B128" s="631" t="str">
        <f>+VLOOKUP(LEFT($A128,LEN(A128)-1)*1,Master!$D$30:$G$229,4,FALSE)</f>
        <v>Neto povećanje obaveza</v>
      </c>
      <c r="C128" s="632"/>
      <c r="D128" s="632"/>
      <c r="E128" s="632"/>
      <c r="F128" s="632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48"/>
        <v>0</v>
      </c>
      <c r="U128" s="172"/>
      <c r="V128" s="172"/>
    </row>
    <row r="129" spans="1:22">
      <c r="A129" s="247" t="str">
        <f t="shared" si="57"/>
        <v>1000p</v>
      </c>
      <c r="B129" s="645" t="str">
        <f>+VLOOKUP(LEFT($A129,LEN(A129)-1)*1,Master!$D$30:$G$226,4,FALSE)</f>
        <v>Suficit / deficit</v>
      </c>
      <c r="C129" s="646"/>
      <c r="D129" s="646"/>
      <c r="E129" s="646"/>
      <c r="F129" s="646"/>
      <c r="G129" s="388">
        <f t="shared" ref="G129:L129" si="58">+G86-G105</f>
        <v>-32889842.07</v>
      </c>
      <c r="H129" s="400">
        <f t="shared" si="58"/>
        <v>-28785879.18</v>
      </c>
      <c r="I129" s="388">
        <f t="shared" si="58"/>
        <v>21157166.699999999</v>
      </c>
      <c r="J129" s="388">
        <f t="shared" si="58"/>
        <v>71650295.599999994</v>
      </c>
      <c r="K129" s="388">
        <f t="shared" si="58"/>
        <v>-36099311.859999999</v>
      </c>
      <c r="L129" s="388">
        <f t="shared" si="58"/>
        <v>-3144476.08999997</v>
      </c>
      <c r="M129" s="388">
        <f t="shared" ref="M129:R129" si="59">+M86-M105</f>
        <v>19765077.550000001</v>
      </c>
      <c r="N129" s="388">
        <f t="shared" si="59"/>
        <v>58763848.440000102</v>
      </c>
      <c r="O129" s="388">
        <f t="shared" si="59"/>
        <v>-101975446.332398</v>
      </c>
      <c r="P129" s="388">
        <f t="shared" si="59"/>
        <v>-73787687.733982295</v>
      </c>
      <c r="Q129" s="388">
        <f t="shared" si="59"/>
        <v>-103114950.01935899</v>
      </c>
      <c r="R129" s="388">
        <f t="shared" si="59"/>
        <v>-27008273.183884401</v>
      </c>
      <c r="S129" s="406">
        <f t="shared" si="47"/>
        <v>-235469478.17962399</v>
      </c>
      <c r="T129" s="381">
        <f t="shared" si="48"/>
        <v>-3.2346041482426999</v>
      </c>
      <c r="U129" s="172"/>
      <c r="V129" s="172"/>
    </row>
    <row r="130" spans="1:22">
      <c r="A130" s="247" t="str">
        <f t="shared" si="57"/>
        <v>1001p</v>
      </c>
      <c r="B130" s="647" t="str">
        <f>+VLOOKUP(LEFT($A130,LEN(A130)-1)*1,Master!$D$30:$G$226,4,FALSE)</f>
        <v>Primarni suficit/deficit</v>
      </c>
      <c r="C130" s="648"/>
      <c r="D130" s="648"/>
      <c r="E130" s="648"/>
      <c r="F130" s="648"/>
      <c r="G130" s="407">
        <f>+G129+G112</f>
        <v>-28385892.809999999</v>
      </c>
      <c r="H130" s="407">
        <f t="shared" ref="H130:L130" si="60">+H129+H112</f>
        <v>-25029586.91</v>
      </c>
      <c r="I130" s="407">
        <f t="shared" si="60"/>
        <v>28249269.899999999</v>
      </c>
      <c r="J130" s="407">
        <f t="shared" si="60"/>
        <v>95495007.239999995</v>
      </c>
      <c r="K130" s="407">
        <f t="shared" si="60"/>
        <v>-20043719.98</v>
      </c>
      <c r="L130" s="407">
        <f t="shared" si="60"/>
        <v>2234255.5200000298</v>
      </c>
      <c r="M130" s="407">
        <f t="shared" ref="M130:R130" si="61">+M129+M112</f>
        <v>23539453.469999999</v>
      </c>
      <c r="N130" s="407">
        <f t="shared" si="61"/>
        <v>63165217.430000097</v>
      </c>
      <c r="O130" s="407">
        <f t="shared" si="61"/>
        <v>-76184015.4923985</v>
      </c>
      <c r="P130" s="407">
        <f t="shared" si="61"/>
        <v>-56132200.983982302</v>
      </c>
      <c r="Q130" s="407">
        <f t="shared" si="61"/>
        <v>-85459463.269358695</v>
      </c>
      <c r="R130" s="407">
        <f t="shared" si="61"/>
        <v>-9352786.4738843795</v>
      </c>
      <c r="S130" s="406">
        <f t="shared" si="47"/>
        <v>-87904462.359623805</v>
      </c>
      <c r="T130" s="381">
        <f t="shared" si="48"/>
        <v>-1.2075286393618401</v>
      </c>
      <c r="U130" s="172"/>
      <c r="V130" s="172"/>
    </row>
    <row r="131" spans="1:22">
      <c r="A131" s="247" t="str">
        <f t="shared" si="57"/>
        <v>46p</v>
      </c>
      <c r="B131" s="649" t="str">
        <f>+VLOOKUP(LEFT($A131,LEN(A131)-1)*1,Master!$D$30:$G$226,4,FALSE)</f>
        <v>Otplata dugova</v>
      </c>
      <c r="C131" s="650"/>
      <c r="D131" s="650"/>
      <c r="E131" s="650"/>
      <c r="F131" s="650"/>
      <c r="G131" s="405">
        <f>+SUM(G132:G133)</f>
        <v>34814310.539999999</v>
      </c>
      <c r="H131" s="405">
        <f t="shared" ref="H131:L131" si="62">+SUM(H132:H133)</f>
        <v>6742175.8300000001</v>
      </c>
      <c r="I131" s="405">
        <f t="shared" si="62"/>
        <v>59755086.909999996</v>
      </c>
      <c r="J131" s="405">
        <f t="shared" si="62"/>
        <v>101926654.03</v>
      </c>
      <c r="K131" s="405">
        <f t="shared" si="62"/>
        <v>54360722.859999999</v>
      </c>
      <c r="L131" s="405">
        <f t="shared" si="62"/>
        <v>43636763.079999998</v>
      </c>
      <c r="M131" s="408">
        <f t="shared" ref="M131" si="63">+SUM(M132:M133)</f>
        <v>42476800.75</v>
      </c>
      <c r="N131" s="405">
        <f t="shared" ref="N131:R131" si="64">+SUM(N132:N133)</f>
        <v>7860172.6500000004</v>
      </c>
      <c r="O131" s="405">
        <f t="shared" si="64"/>
        <v>39327175.670000002</v>
      </c>
      <c r="P131" s="405">
        <f t="shared" si="64"/>
        <v>37862418.009999998</v>
      </c>
      <c r="Q131" s="405">
        <f t="shared" si="64"/>
        <v>37862418.009999998</v>
      </c>
      <c r="R131" s="405">
        <f t="shared" si="64"/>
        <v>37862417.960000001</v>
      </c>
      <c r="S131" s="409">
        <f t="shared" si="47"/>
        <v>504487116.30000001</v>
      </c>
      <c r="T131" s="383">
        <f t="shared" si="48"/>
        <v>6.9300536601782996</v>
      </c>
      <c r="U131" s="172"/>
      <c r="V131" s="172"/>
    </row>
    <row r="132" spans="1:22">
      <c r="A132" s="247" t="str">
        <f t="shared" si="57"/>
        <v>4611p</v>
      </c>
      <c r="B132" s="635" t="str">
        <f>+VLOOKUP(LEFT($A132,LEN(A132)-1)*1,Master!$D$30:$G$226,4,FALSE)</f>
        <v>Otplata hartija od vrijednosti i kredita rezidentima</v>
      </c>
      <c r="C132" s="636"/>
      <c r="D132" s="636"/>
      <c r="E132" s="636"/>
      <c r="F132" s="636"/>
      <c r="G132" s="253">
        <v>2501123.7999999998</v>
      </c>
      <c r="H132" s="253">
        <v>2949295.99</v>
      </c>
      <c r="I132" s="253">
        <v>23477657.120000001</v>
      </c>
      <c r="J132" s="253">
        <v>95643965.920000002</v>
      </c>
      <c r="K132" s="253">
        <v>9857492.6099999994</v>
      </c>
      <c r="L132" s="253">
        <v>28020972.039999999</v>
      </c>
      <c r="M132" s="352">
        <v>2591776.0299999998</v>
      </c>
      <c r="N132" s="352">
        <v>3040506.12</v>
      </c>
      <c r="O132" s="352">
        <v>12819649.92</v>
      </c>
      <c r="P132" s="352">
        <v>11354892.26</v>
      </c>
      <c r="Q132" s="352">
        <v>11354892.26</v>
      </c>
      <c r="R132" s="352">
        <v>11354892.23</v>
      </c>
      <c r="S132" s="317">
        <f t="shared" si="47"/>
        <v>214967116.30000001</v>
      </c>
      <c r="T132" s="342">
        <f t="shared" si="48"/>
        <v>2.9529666923087499</v>
      </c>
      <c r="U132" s="172"/>
      <c r="V132" s="172"/>
    </row>
    <row r="133" spans="1:22">
      <c r="A133" s="247" t="str">
        <f t="shared" si="57"/>
        <v>4612p</v>
      </c>
      <c r="B133" s="631" t="str">
        <f>+VLOOKUP(LEFT($A133,LEN(A133)-1)*1,Master!$D$30:$G$226,4,FALSE)</f>
        <v>Otplata hartija od vrijednosti i kredita nerezidentima</v>
      </c>
      <c r="C133" s="632"/>
      <c r="D133" s="632"/>
      <c r="E133" s="632"/>
      <c r="F133" s="632"/>
      <c r="G133" s="253">
        <v>32313186.739999998</v>
      </c>
      <c r="H133" s="253">
        <v>3792879.84</v>
      </c>
      <c r="I133" s="253">
        <v>36277429.789999999</v>
      </c>
      <c r="J133" s="253">
        <v>6282688.1100000003</v>
      </c>
      <c r="K133" s="253">
        <v>44503230.25</v>
      </c>
      <c r="L133" s="253">
        <v>15615791.039999999</v>
      </c>
      <c r="M133" s="352">
        <v>39885024.719999999</v>
      </c>
      <c r="N133" s="352">
        <v>4819666.53</v>
      </c>
      <c r="O133" s="352">
        <v>26507525.75</v>
      </c>
      <c r="P133" s="352">
        <v>26507525.75</v>
      </c>
      <c r="Q133" s="352">
        <v>26507525.75</v>
      </c>
      <c r="R133" s="352">
        <v>26507525.73</v>
      </c>
      <c r="S133" s="317">
        <f t="shared" si="47"/>
        <v>289520000</v>
      </c>
      <c r="T133" s="342">
        <f t="shared" si="48"/>
        <v>3.9770869678695502</v>
      </c>
      <c r="U133" s="172"/>
      <c r="V133" s="172"/>
    </row>
    <row r="134" spans="1:22">
      <c r="A134" s="247" t="str">
        <f t="shared" si="57"/>
        <v>4418p</v>
      </c>
      <c r="B134" s="617" t="str">
        <f>+VLOOKUP(LEFT($A134,LEN(A134)-1)*1,Master!$D$30:$G$226,4,FALSE)</f>
        <v>Izdaci za kupovinu hartija od vrijednosti</v>
      </c>
      <c r="C134" s="618"/>
      <c r="D134" s="618"/>
      <c r="E134" s="618"/>
      <c r="F134" s="618"/>
      <c r="G134" s="388">
        <v>0.08</v>
      </c>
      <c r="H134" s="388">
        <v>0.08</v>
      </c>
      <c r="I134" s="388">
        <v>1560695.5</v>
      </c>
      <c r="J134" s="388">
        <v>0</v>
      </c>
      <c r="K134" s="388">
        <v>1500000</v>
      </c>
      <c r="L134" s="388">
        <v>0</v>
      </c>
      <c r="M134" s="388">
        <v>360695.5</v>
      </c>
      <c r="N134" s="388">
        <v>0</v>
      </c>
      <c r="O134" s="388">
        <v>89402.71</v>
      </c>
      <c r="P134" s="388">
        <v>89402.71</v>
      </c>
      <c r="Q134" s="388">
        <v>89402.71</v>
      </c>
      <c r="R134" s="388">
        <v>89402.71</v>
      </c>
      <c r="S134" s="406">
        <f t="shared" si="47"/>
        <v>3779002</v>
      </c>
      <c r="T134" s="381">
        <f t="shared" si="48"/>
        <v>5.1911507342335503E-2</v>
      </c>
      <c r="U134" s="172"/>
      <c r="V134" s="172"/>
    </row>
    <row r="135" spans="1:22">
      <c r="A135" s="247" t="s">
        <v>21</v>
      </c>
      <c r="B135" s="617" t="s">
        <v>22</v>
      </c>
      <c r="C135" s="618"/>
      <c r="D135" s="618"/>
      <c r="E135" s="618"/>
      <c r="F135" s="618"/>
      <c r="G135" s="410">
        <v>0.08</v>
      </c>
      <c r="H135" s="410">
        <v>1111649.74</v>
      </c>
      <c r="I135" s="410">
        <v>0</v>
      </c>
      <c r="J135" s="410">
        <v>952060.38</v>
      </c>
      <c r="K135" s="410">
        <v>524490.6</v>
      </c>
      <c r="L135" s="410">
        <v>453252.32</v>
      </c>
      <c r="M135" s="410">
        <v>0</v>
      </c>
      <c r="N135" s="410">
        <v>0</v>
      </c>
      <c r="O135" s="410">
        <v>476013.97</v>
      </c>
      <c r="P135" s="410">
        <v>476013.97</v>
      </c>
      <c r="Q135" s="410">
        <v>476013.97</v>
      </c>
      <c r="R135" s="410">
        <v>476013.97</v>
      </c>
      <c r="S135" s="406">
        <f t="shared" si="47"/>
        <v>4945509</v>
      </c>
      <c r="T135" s="381">
        <f t="shared" si="48"/>
        <v>6.7935615478659797E-2</v>
      </c>
      <c r="U135" s="172"/>
      <c r="V135" s="172"/>
    </row>
    <row r="136" spans="1:22">
      <c r="A136" s="247" t="str">
        <f>+CONCATENATE(A60,"p")</f>
        <v>1002p</v>
      </c>
      <c r="B136" s="633" t="str">
        <f>+VLOOKUP(LEFT($A136,LEN(A136)-1)*1,Master!$D$30:$G$226,4,FALSE)</f>
        <v>Nedostajuća sredstva</v>
      </c>
      <c r="C136" s="634"/>
      <c r="D136" s="634"/>
      <c r="E136" s="634"/>
      <c r="F136" s="634"/>
      <c r="G136" s="411">
        <f>+G129-G131-G134-G135</f>
        <v>-67704152.769999996</v>
      </c>
      <c r="H136" s="411">
        <f t="shared" ref="H136:R136" si="65">+H129-H131-H134-H135</f>
        <v>-36639704.829999998</v>
      </c>
      <c r="I136" s="411">
        <f t="shared" si="65"/>
        <v>-40158615.710000001</v>
      </c>
      <c r="J136" s="411">
        <f t="shared" si="65"/>
        <v>-31228418.809999999</v>
      </c>
      <c r="K136" s="411">
        <f t="shared" si="65"/>
        <v>-92484525.319999993</v>
      </c>
      <c r="L136" s="411">
        <f t="shared" si="65"/>
        <v>-47234491.490000002</v>
      </c>
      <c r="M136" s="411">
        <f t="shared" si="65"/>
        <v>-23072418.699999999</v>
      </c>
      <c r="N136" s="411">
        <f t="shared" si="65"/>
        <v>50903675.790000103</v>
      </c>
      <c r="O136" s="411">
        <f t="shared" si="65"/>
        <v>-141868038.68239799</v>
      </c>
      <c r="P136" s="411">
        <f t="shared" si="65"/>
        <v>-112215522.42398199</v>
      </c>
      <c r="Q136" s="411">
        <f t="shared" si="65"/>
        <v>-141542784.70935899</v>
      </c>
      <c r="R136" s="411">
        <f t="shared" si="65"/>
        <v>-65436107.823884398</v>
      </c>
      <c r="S136" s="412">
        <f t="shared" si="47"/>
        <v>-748681105.47962403</v>
      </c>
      <c r="T136" s="385">
        <f t="shared" si="48"/>
        <v>-10.284504931241999</v>
      </c>
      <c r="U136" s="172"/>
      <c r="V136" s="172"/>
    </row>
    <row r="137" spans="1:22">
      <c r="A137" s="247" t="str">
        <f>+CONCATENATE(A61,"p")</f>
        <v>1003p</v>
      </c>
      <c r="B137" s="617" t="str">
        <f>+VLOOKUP(LEFT($A137,LEN(A137)-1)*1,Master!$D$30:$G$226,4,FALSE)</f>
        <v>Finansiranje</v>
      </c>
      <c r="C137" s="618"/>
      <c r="D137" s="618"/>
      <c r="E137" s="618"/>
      <c r="F137" s="618"/>
      <c r="G137" s="388">
        <f t="shared" ref="G137:L137" si="66">+SUM(G138:G142)</f>
        <v>67704152.769999996</v>
      </c>
      <c r="H137" s="388">
        <f t="shared" si="66"/>
        <v>36639704.829999998</v>
      </c>
      <c r="I137" s="388">
        <f t="shared" si="66"/>
        <v>40158615.709999897</v>
      </c>
      <c r="J137" s="388">
        <f t="shared" si="66"/>
        <v>31228418.809999999</v>
      </c>
      <c r="K137" s="388">
        <f t="shared" si="66"/>
        <v>92484525.319999993</v>
      </c>
      <c r="L137" s="388">
        <f t="shared" si="66"/>
        <v>47234491.490000002</v>
      </c>
      <c r="M137" s="388">
        <f t="shared" ref="M137:R137" si="67">+SUM(M138:M142)</f>
        <v>23072418.699999999</v>
      </c>
      <c r="N137" s="388">
        <f t="shared" si="67"/>
        <v>-50903675.790000103</v>
      </c>
      <c r="O137" s="388">
        <f t="shared" si="67"/>
        <v>141868038.68239799</v>
      </c>
      <c r="P137" s="388">
        <f t="shared" si="67"/>
        <v>112215522.42398199</v>
      </c>
      <c r="Q137" s="388">
        <f t="shared" si="67"/>
        <v>141542784.70935899</v>
      </c>
      <c r="R137" s="388">
        <f t="shared" si="67"/>
        <v>65436107.823884398</v>
      </c>
      <c r="S137" s="413">
        <f t="shared" si="47"/>
        <v>748681105.47962403</v>
      </c>
      <c r="T137" s="387">
        <f t="shared" si="48"/>
        <v>10.284504931241999</v>
      </c>
      <c r="U137" s="172"/>
      <c r="V137" s="172"/>
    </row>
    <row r="138" spans="1:22">
      <c r="A138" s="247" t="str">
        <f>+CONCATENATE(A62,"p")</f>
        <v>7511p</v>
      </c>
      <c r="B138" s="635" t="str">
        <f>+VLOOKUP(LEFT($A138,LEN(A138)-1)*1,Master!$D$30:$G$226,4,FALSE)</f>
        <v>Pozajmice i krediti od domaćih izvora</v>
      </c>
      <c r="C138" s="636"/>
      <c r="D138" s="636"/>
      <c r="E138" s="636"/>
      <c r="F138" s="636"/>
      <c r="G138" s="253">
        <v>0</v>
      </c>
      <c r="H138" s="253">
        <v>0</v>
      </c>
      <c r="I138" s="253">
        <v>0</v>
      </c>
      <c r="J138" s="253">
        <v>0</v>
      </c>
      <c r="K138" s="253">
        <v>0</v>
      </c>
      <c r="L138" s="253">
        <v>0</v>
      </c>
      <c r="M138" s="253">
        <v>0</v>
      </c>
      <c r="N138" s="253">
        <v>0</v>
      </c>
      <c r="O138" s="253">
        <v>0</v>
      </c>
      <c r="P138" s="253">
        <v>0</v>
      </c>
      <c r="Q138" s="253">
        <v>0</v>
      </c>
      <c r="R138" s="253">
        <v>0</v>
      </c>
      <c r="S138" s="317">
        <f t="shared" si="47"/>
        <v>0</v>
      </c>
      <c r="T138" s="342">
        <f t="shared" si="48"/>
        <v>0</v>
      </c>
      <c r="U138" s="172"/>
      <c r="V138" s="172"/>
    </row>
    <row r="139" spans="1:22">
      <c r="A139" s="247" t="str">
        <f>+CONCATENATE(A63,"p")</f>
        <v>7512p</v>
      </c>
      <c r="B139" s="631" t="str">
        <f>+VLOOKUP(LEFT($A139,LEN(A139)-1)*1,Master!$D$30:$G$226,4,FALSE)</f>
        <v>Pozajmice i krediti od inostranih izvora</v>
      </c>
      <c r="C139" s="632"/>
      <c r="D139" s="632"/>
      <c r="E139" s="632"/>
      <c r="F139" s="632"/>
      <c r="G139" s="253">
        <v>0</v>
      </c>
      <c r="H139" s="253">
        <v>0</v>
      </c>
      <c r="I139" s="253">
        <v>687000000</v>
      </c>
      <c r="J139" s="253">
        <v>0</v>
      </c>
      <c r="K139" s="253">
        <v>0</v>
      </c>
      <c r="L139" s="253">
        <v>0</v>
      </c>
      <c r="M139" s="253">
        <v>180000000</v>
      </c>
      <c r="N139" s="253">
        <v>0</v>
      </c>
      <c r="O139" s="253">
        <v>0</v>
      </c>
      <c r="P139" s="253">
        <v>0</v>
      </c>
      <c r="Q139" s="253">
        <v>0</v>
      </c>
      <c r="R139" s="253">
        <v>0</v>
      </c>
      <c r="S139" s="317">
        <f t="shared" si="47"/>
        <v>867000000</v>
      </c>
      <c r="T139" s="342">
        <f t="shared" si="48"/>
        <v>11.909831449098199</v>
      </c>
      <c r="U139" s="172"/>
      <c r="V139" s="172"/>
    </row>
    <row r="140" spans="1:22">
      <c r="A140" s="247" t="str">
        <f>+CONCATENATE(A64,"p")</f>
        <v>72p</v>
      </c>
      <c r="B140" s="631" t="str">
        <f>+VLOOKUP(LEFT($A140,LEN(A140)-1)*1,Master!$D$30:$G$226,4,FALSE)</f>
        <v>Primici od prodaje imovine</v>
      </c>
      <c r="C140" s="632"/>
      <c r="D140" s="632"/>
      <c r="E140" s="632"/>
      <c r="F140" s="632"/>
      <c r="G140" s="253">
        <v>500000</v>
      </c>
      <c r="H140" s="253">
        <v>500000</v>
      </c>
      <c r="I140" s="253">
        <v>500000</v>
      </c>
      <c r="J140" s="253">
        <v>500000</v>
      </c>
      <c r="K140" s="253">
        <v>500000</v>
      </c>
      <c r="L140" s="253">
        <v>500000</v>
      </c>
      <c r="M140" s="253">
        <v>500000</v>
      </c>
      <c r="N140" s="253">
        <v>500000</v>
      </c>
      <c r="O140" s="253">
        <v>500000</v>
      </c>
      <c r="P140" s="253">
        <v>500000</v>
      </c>
      <c r="Q140" s="253">
        <v>500000</v>
      </c>
      <c r="R140" s="253">
        <v>500000</v>
      </c>
      <c r="S140" s="317">
        <f t="shared" si="47"/>
        <v>6000000</v>
      </c>
      <c r="T140" s="342">
        <f t="shared" si="48"/>
        <v>8.2420978886492594E-2</v>
      </c>
      <c r="U140" s="172"/>
      <c r="V140" s="172"/>
    </row>
    <row r="141" spans="1:22">
      <c r="A141" s="247" t="s">
        <v>23</v>
      </c>
      <c r="B141" s="243" t="s">
        <v>20</v>
      </c>
      <c r="C141" s="244"/>
      <c r="D141" s="244"/>
      <c r="E141" s="244"/>
      <c r="F141" s="244"/>
      <c r="G141" s="253">
        <v>81522.336514710099</v>
      </c>
      <c r="H141" s="253">
        <v>445973.11311571102</v>
      </c>
      <c r="I141" s="253">
        <v>303147.50930105901</v>
      </c>
      <c r="J141" s="253">
        <v>411671.29191968899</v>
      </c>
      <c r="K141" s="253">
        <v>953218.81017704203</v>
      </c>
      <c r="L141" s="253">
        <v>1530930.59269586</v>
      </c>
      <c r="M141" s="253">
        <v>158719.86425742201</v>
      </c>
      <c r="N141" s="253">
        <v>1527452.96512826</v>
      </c>
      <c r="O141" s="253">
        <v>216436.809710011</v>
      </c>
      <c r="P141" s="253">
        <v>263186.689759926</v>
      </c>
      <c r="Q141" s="253">
        <v>1703592.47571623</v>
      </c>
      <c r="R141" s="253">
        <v>2152051.5417040801</v>
      </c>
      <c r="S141" s="317">
        <f t="shared" si="47"/>
        <v>9747904</v>
      </c>
      <c r="T141" s="342">
        <f t="shared" si="48"/>
        <v>0.13390529829525899</v>
      </c>
      <c r="U141" s="172"/>
      <c r="V141" s="172"/>
    </row>
    <row r="142" spans="1:22">
      <c r="A142" s="247" t="str">
        <f t="shared" ref="A142" si="68">+CONCATENATE(A66,"p")</f>
        <v>1004p</v>
      </c>
      <c r="B142" s="262" t="str">
        <f>+VLOOKUP(LEFT($A142,LEN(A142)-1)*1,Master!$D$30:$G$226,4,FALSE)</f>
        <v>Povećanje / smanjenje depozita</v>
      </c>
      <c r="C142" s="263"/>
      <c r="D142" s="263"/>
      <c r="E142" s="263"/>
      <c r="F142" s="263"/>
      <c r="G142" s="264">
        <f>-G136-SUM(G138:G141)</f>
        <v>67122630.433485299</v>
      </c>
      <c r="H142" s="264">
        <f t="shared" ref="H142:R142" si="69">-H136-SUM(H138:H141)</f>
        <v>35693731.7168843</v>
      </c>
      <c r="I142" s="264">
        <f t="shared" si="69"/>
        <v>-647644531.79930103</v>
      </c>
      <c r="J142" s="264">
        <f t="shared" si="69"/>
        <v>30316747.518080302</v>
      </c>
      <c r="K142" s="264">
        <f t="shared" si="69"/>
        <v>91031306.509822994</v>
      </c>
      <c r="L142" s="264">
        <f t="shared" si="69"/>
        <v>45203560.897304103</v>
      </c>
      <c r="M142" s="264">
        <f t="shared" si="69"/>
        <v>-157586301.16425699</v>
      </c>
      <c r="N142" s="264">
        <f t="shared" si="69"/>
        <v>-52931128.755128302</v>
      </c>
      <c r="O142" s="264">
        <f t="shared" si="69"/>
        <v>141151601.872688</v>
      </c>
      <c r="P142" s="264">
        <f t="shared" si="69"/>
        <v>111452335.73422199</v>
      </c>
      <c r="Q142" s="264">
        <f t="shared" si="69"/>
        <v>139339192.23364201</v>
      </c>
      <c r="R142" s="264">
        <f t="shared" si="69"/>
        <v>62784056.282180302</v>
      </c>
      <c r="S142" s="324">
        <f t="shared" si="47"/>
        <v>-134066798.520376</v>
      </c>
      <c r="T142" s="347">
        <f t="shared" si="48"/>
        <v>-1.84165279503793</v>
      </c>
      <c r="U142" s="172"/>
      <c r="V142" s="172"/>
    </row>
    <row r="144" spans="1:22">
      <c r="G144" s="172"/>
    </row>
    <row r="145" spans="7:19">
      <c r="G145" s="172"/>
      <c r="H145" s="172"/>
      <c r="I145" s="172"/>
      <c r="J145" s="172"/>
      <c r="K145" s="172"/>
      <c r="L145" s="172"/>
      <c r="M145" s="172"/>
      <c r="N145" s="172"/>
      <c r="O145" s="172"/>
      <c r="P145" s="172"/>
      <c r="Q145" s="172"/>
      <c r="R145" s="172"/>
    </row>
    <row r="146" spans="7:19">
      <c r="N146" s="172"/>
    </row>
    <row r="149" spans="7:19">
      <c r="S149" s="172"/>
    </row>
    <row r="150" spans="7:19">
      <c r="S150" s="172"/>
    </row>
  </sheetData>
  <mergeCells count="117">
    <mergeCell ref="B134:F134"/>
    <mergeCell ref="B135:F135"/>
    <mergeCell ref="B136:F136"/>
    <mergeCell ref="B137:F137"/>
    <mergeCell ref="B138:F138"/>
    <mergeCell ref="B139:F139"/>
    <mergeCell ref="B140:F140"/>
    <mergeCell ref="B7:F9"/>
    <mergeCell ref="B83:F85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8065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6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Y72"/>
  <sheetViews>
    <sheetView zoomScaleNormal="100" workbookViewId="0">
      <selection activeCell="H13" sqref="H13"/>
    </sheetView>
  </sheetViews>
  <sheetFormatPr defaultColWidth="9.140625" defaultRowHeight="15"/>
  <cols>
    <col min="1" max="1" width="5" style="414" customWidth="1"/>
    <col min="2" max="2" width="11.7109375" style="414" customWidth="1"/>
    <col min="3" max="4" width="9.140625" style="414"/>
    <col min="5" max="6" width="9.140625" style="414" customWidth="1"/>
    <col min="7" max="7" width="15.7109375" style="415" customWidth="1"/>
    <col min="8" max="8" width="12.42578125" style="414" customWidth="1"/>
    <col min="9" max="9" width="12.5703125" style="414" customWidth="1"/>
    <col min="10" max="10" width="12.7109375" style="414" customWidth="1"/>
    <col min="11" max="13" width="12.42578125" style="414" customWidth="1"/>
    <col min="14" max="14" width="15.7109375" style="414" customWidth="1"/>
    <col min="15" max="15" width="11.42578125" style="414" customWidth="1"/>
    <col min="16" max="17" width="12.140625" style="414" customWidth="1"/>
    <col min="18" max="18" width="13.42578125" style="414" customWidth="1"/>
    <col min="19" max="19" width="9.140625" style="414" customWidth="1"/>
    <col min="20" max="20" width="9.85546875" style="414" customWidth="1"/>
    <col min="21" max="21" width="9.140625" style="414"/>
    <col min="22" max="23" width="15.42578125" style="414" customWidth="1"/>
    <col min="24" max="25" width="9.140625" style="414"/>
    <col min="26" max="26" width="11.28515625" style="414" customWidth="1"/>
    <col min="27" max="16384" width="9.140625" style="414"/>
  </cols>
  <sheetData>
    <row r="1" spans="1:25" s="127" customFormat="1">
      <c r="G1" s="416"/>
    </row>
    <row r="2" spans="1:25" s="127" customFormat="1">
      <c r="C2" s="417"/>
      <c r="E2" s="127" t="str">
        <f>+Master!G6</f>
        <v>Crna Gora</v>
      </c>
      <c r="G2" s="416"/>
      <c r="I2" s="418"/>
      <c r="P2" s="419"/>
    </row>
    <row r="3" spans="1:25" s="127" customFormat="1">
      <c r="B3" s="153"/>
      <c r="E3" s="418" t="str">
        <f>+Master!G7</f>
        <v>Ministarstvo finansija</v>
      </c>
      <c r="G3" s="416"/>
    </row>
    <row r="4" spans="1:25" s="127" customFormat="1">
      <c r="B4" s="153"/>
      <c r="E4" s="418" t="str">
        <f>+Master!G8</f>
        <v>Direktorat za državni budžet</v>
      </c>
      <c r="G4" s="416"/>
      <c r="H4" s="419"/>
      <c r="I4" s="419"/>
      <c r="J4" s="419"/>
      <c r="N4" s="420"/>
      <c r="P4" s="420"/>
      <c r="Q4" s="420"/>
    </row>
    <row r="5" spans="1:25" s="127" customFormat="1">
      <c r="B5" s="420"/>
      <c r="G5" s="153"/>
      <c r="H5" s="153"/>
      <c r="N5" s="420"/>
      <c r="P5" s="420"/>
    </row>
    <row r="6" spans="1:25">
      <c r="A6" s="421"/>
      <c r="B6" s="421"/>
      <c r="C6" s="421"/>
      <c r="D6" s="421"/>
      <c r="E6" s="421"/>
      <c r="F6" s="421"/>
      <c r="G6" s="422"/>
      <c r="H6" s="421"/>
      <c r="I6" s="421"/>
      <c r="J6" s="421"/>
      <c r="K6" s="421"/>
      <c r="L6" s="421"/>
      <c r="M6" s="421"/>
      <c r="N6" s="423" t="str">
        <f>+IF(Master!B3-10&gt;=0,CONCATENATE(Master!B4,"-",Master!B3),CONCATENATE(Master!B4,"-0",Master!B3))</f>
        <v>2026-09</v>
      </c>
      <c r="O6" s="423" t="str">
        <f>+CONCATENATE(N6,"p")</f>
        <v>2026-09p</v>
      </c>
      <c r="P6" s="421"/>
      <c r="Q6" s="421"/>
      <c r="R6" s="423" t="str">
        <f>+IF(Master!B3-10&gt;=0,CONCATENATE(Master!B4-1,"-",Master!B3),CONCATENATE(Master!B4-1,"-0",Master!B3))</f>
        <v>2025-09</v>
      </c>
      <c r="S6" s="421"/>
      <c r="T6" s="421"/>
    </row>
    <row r="7" spans="1:25" ht="14.25" customHeight="1">
      <c r="A7" s="136"/>
      <c r="B7" s="584" t="str">
        <f>+Master!G254</f>
        <v>Analitika za period Jan - Sep</v>
      </c>
      <c r="C7" s="585"/>
      <c r="D7" s="585"/>
      <c r="E7" s="585"/>
      <c r="F7" s="585"/>
      <c r="G7" s="550" t="str">
        <f>+Master!G246</f>
        <v>Jan - Sep</v>
      </c>
      <c r="H7" s="551"/>
      <c r="I7" s="551"/>
      <c r="J7" s="551"/>
      <c r="K7" s="551"/>
      <c r="L7" s="551"/>
      <c r="M7" s="554"/>
      <c r="N7" s="551" t="str">
        <f>+Master!G245</f>
        <v>Septembar</v>
      </c>
      <c r="O7" s="551"/>
      <c r="P7" s="551"/>
      <c r="Q7" s="551"/>
      <c r="R7" s="551"/>
      <c r="S7" s="551"/>
      <c r="T7" s="554"/>
    </row>
    <row r="8" spans="1:25" ht="29.25" customHeight="1">
      <c r="A8" s="136"/>
      <c r="B8" s="586"/>
      <c r="C8" s="587"/>
      <c r="D8" s="587"/>
      <c r="E8" s="587"/>
      <c r="F8" s="588"/>
      <c r="G8" s="424" t="str">
        <f>+Master!G26</f>
        <v>Ostvarenje</v>
      </c>
      <c r="H8" s="425" t="str">
        <f>+Master!G25</f>
        <v>Plan</v>
      </c>
      <c r="I8" s="555" t="str">
        <f>+Master!G261</f>
        <v>Odstupanje</v>
      </c>
      <c r="J8" s="555"/>
      <c r="K8" s="141" t="str">
        <f>+CONCATENATE(Master!G246," ",Master!B4-1)</f>
        <v>Jan - Sep 2025</v>
      </c>
      <c r="L8" s="555" t="str">
        <f>+I8</f>
        <v>Odstupanje</v>
      </c>
      <c r="M8" s="557"/>
      <c r="N8" s="424" t="str">
        <f>+G8</f>
        <v>Ostvarenje</v>
      </c>
      <c r="O8" s="141" t="str">
        <f>+H8</f>
        <v>Plan</v>
      </c>
      <c r="P8" s="555" t="str">
        <f>+I8</f>
        <v>Odstupanje</v>
      </c>
      <c r="Q8" s="555"/>
      <c r="R8" s="141" t="str">
        <f>+CONCATENATE(Master!G245," ",Master!B4-1)</f>
        <v>Septembar 2025</v>
      </c>
      <c r="S8" s="555" t="str">
        <f>+P8</f>
        <v>Odstupanje</v>
      </c>
      <c r="T8" s="557"/>
    </row>
    <row r="9" spans="1:25" ht="15.75" thickBot="1">
      <c r="A9" s="136"/>
      <c r="B9" s="589"/>
      <c r="C9" s="590"/>
      <c r="D9" s="590"/>
      <c r="E9" s="590"/>
      <c r="F9" s="591"/>
      <c r="G9" s="426" t="s">
        <v>2</v>
      </c>
      <c r="H9" s="142" t="s">
        <v>2</v>
      </c>
      <c r="I9" s="142" t="s">
        <v>2</v>
      </c>
      <c r="J9" s="142" t="s">
        <v>3</v>
      </c>
      <c r="K9" s="142" t="s">
        <v>2</v>
      </c>
      <c r="L9" s="142" t="s">
        <v>2</v>
      </c>
      <c r="M9" s="427" t="s">
        <v>3</v>
      </c>
      <c r="N9" s="142" t="s">
        <v>2</v>
      </c>
      <c r="O9" s="142" t="s">
        <v>2</v>
      </c>
      <c r="P9" s="142" t="s">
        <v>2</v>
      </c>
      <c r="Q9" s="142" t="s">
        <v>3</v>
      </c>
      <c r="R9" s="142" t="s">
        <v>2</v>
      </c>
      <c r="S9" s="142" t="s">
        <v>2</v>
      </c>
      <c r="T9" s="427" t="s">
        <v>3</v>
      </c>
    </row>
    <row r="10" spans="1:25" ht="15.75" thickBot="1">
      <c r="A10" s="145">
        <v>7</v>
      </c>
      <c r="B10" s="570" t="str">
        <f>+VLOOKUP($A10,Master!$D$30:$G$226,4,FALSE)</f>
        <v>Prihodi budžeta</v>
      </c>
      <c r="C10" s="571"/>
      <c r="D10" s="571"/>
      <c r="E10" s="571"/>
      <c r="F10" s="571"/>
      <c r="G10" s="146">
        <f>'2026'!S10</f>
        <v>2318466301.3800001</v>
      </c>
      <c r="H10" s="146">
        <f>SUM('2026'!G86:O86)</f>
        <v>2271956571.3069668</v>
      </c>
      <c r="I10" s="428">
        <f>+G10-H10</f>
        <v>46509730.073033333</v>
      </c>
      <c r="J10" s="429">
        <f>IF(+IF(ISERROR(G10/H10),"…",G10/H10-1)&gt;200%,"...",IF(ISERROR(G10/H10),"…",G10/H10-1))</f>
        <v>2.0471223200484889E-2</v>
      </c>
      <c r="K10" s="146">
        <f>SUM('2025'!G10:O10)</f>
        <v>2101702289.8699999</v>
      </c>
      <c r="L10" s="428">
        <f>+G10-K10</f>
        <v>216764011.51000023</v>
      </c>
      <c r="M10" s="430">
        <f>IF(+IF(ISERROR(G10/K10),"…",G10/K10-1)&gt;200%,"...",IF(ISERROR(G10/K10),"…",G10/K10-1))</f>
        <v>0.10313735325634932</v>
      </c>
      <c r="N10" s="146">
        <f>'2026'!O10</f>
        <v>312838958.61000001</v>
      </c>
      <c r="O10" s="146">
        <f>'2026'!O86</f>
        <v>287256220.59865201</v>
      </c>
      <c r="P10" s="428">
        <f>+N10-O10</f>
        <v>25582738.011348009</v>
      </c>
      <c r="Q10" s="429">
        <f>IF(+IF(ISERROR(N10/O10),"…",N10/O10-1)&gt;200%,"...",IF(ISERROR(N10/O10),"…",N10/O10-1))</f>
        <v>8.9058952171802153E-2</v>
      </c>
      <c r="R10" s="146">
        <f>'2025'!O10</f>
        <v>261882689.87999994</v>
      </c>
      <c r="S10" s="428">
        <f>+N10-R10</f>
        <v>50956268.730000079</v>
      </c>
      <c r="T10" s="430">
        <f>IF(+IF(ISERROR(N10/R10),"…",N10/R10-1)&gt;200%,"...",IF(ISERROR(N10/R10),"…",N10/R10-1))</f>
        <v>0.19457669673909828</v>
      </c>
      <c r="U10" s="431"/>
      <c r="W10" s="432"/>
      <c r="Y10" s="432"/>
    </row>
    <row r="11" spans="1:25">
      <c r="A11" s="145">
        <v>711</v>
      </c>
      <c r="B11" s="560" t="str">
        <f>+VLOOKUP($A11,Master!$D$30:$G$226,4,FALSE)</f>
        <v>Porezi</v>
      </c>
      <c r="C11" s="561"/>
      <c r="D11" s="561"/>
      <c r="E11" s="561"/>
      <c r="F11" s="561"/>
      <c r="G11" s="433">
        <f>'2026'!S11</f>
        <v>1815246526.0400002</v>
      </c>
      <c r="H11" s="433">
        <f>SUM('2026'!G87:O87)</f>
        <v>1788379399.0922482</v>
      </c>
      <c r="I11" s="434">
        <f t="shared" ref="I11:I57" si="0">+G11-H11</f>
        <v>26867126.947751999</v>
      </c>
      <c r="J11" s="435">
        <f t="shared" ref="J11:J66" si="1">IF(+IF(ISERROR(G11/H11-1),"…",G11/H11-1)&gt;200%,"...",IF(ISERROR(G11/H11-1),"…",G11/H11-1))</f>
        <v>1.5023169558645799E-2</v>
      </c>
      <c r="K11" s="433">
        <f>SUM('2025'!G11:O11)</f>
        <v>1693533970.4400003</v>
      </c>
      <c r="L11" s="434">
        <f>+G11-K11</f>
        <v>121712555.5999999</v>
      </c>
      <c r="M11" s="436">
        <f t="shared" ref="M11:M66" si="2">IF(+IF(ISERROR(G11/K11),"…",G11/K11-1)&gt;200%,"...",IF(ISERROR(G11/K11),"…",G11/K11-1))</f>
        <v>7.1868977962324276E-2</v>
      </c>
      <c r="N11" s="433">
        <f>'2026'!O11</f>
        <v>233285504.19000003</v>
      </c>
      <c r="O11" s="433">
        <f>'2026'!O87</f>
        <v>219262374.173558</v>
      </c>
      <c r="P11" s="434">
        <f>+N11-O11</f>
        <v>14023130.016442031</v>
      </c>
      <c r="Q11" s="435">
        <f t="shared" ref="Q11:Q66" si="3">IF(+IF(ISERROR(N11/O11),"…",N11/O11-1)&gt;200%,"...",IF(ISERROR(N11/O11),"…",N11/O11-1))</f>
        <v>6.3955934388186364E-2</v>
      </c>
      <c r="R11" s="433">
        <f>'2025'!O11</f>
        <v>211154345.75999996</v>
      </c>
      <c r="S11" s="434">
        <f t="shared" ref="S11:S57" si="4">+N11-R11</f>
        <v>22131158.430000067</v>
      </c>
      <c r="T11" s="436">
        <f t="shared" ref="T11:T66" si="5">IF(+IF(ISERROR(N11/R11),"…",N11/R11-1)&gt;200%,"...",IF(ISERROR(N11/R11),"…",N11/R11-1))</f>
        <v>0.10481033838230625</v>
      </c>
      <c r="W11" s="432"/>
      <c r="Y11" s="432"/>
    </row>
    <row r="12" spans="1:25">
      <c r="A12" s="145">
        <v>7111</v>
      </c>
      <c r="B12" s="562" t="str">
        <f>+VLOOKUP($A12,Master!$D$30:$G$226,4,FALSE)</f>
        <v>Porez na dohodak fizičkih lica</v>
      </c>
      <c r="C12" s="563"/>
      <c r="D12" s="563"/>
      <c r="E12" s="563"/>
      <c r="F12" s="563"/>
      <c r="G12" s="153">
        <f>'2026'!S12</f>
        <v>94902901.900000006</v>
      </c>
      <c r="H12" s="153">
        <f>SUM('2026'!G88:O88)</f>
        <v>82162552.679525465</v>
      </c>
      <c r="I12" s="437">
        <f t="shared" si="0"/>
        <v>12740349.220474541</v>
      </c>
      <c r="J12" s="438">
        <f t="shared" si="1"/>
        <v>0.15506272389282016</v>
      </c>
      <c r="K12" s="153">
        <f>SUM('2025'!G12:O12)</f>
        <v>77928569.280000001</v>
      </c>
      <c r="L12" s="437">
        <f>+G12-K12</f>
        <v>16974332.620000005</v>
      </c>
      <c r="M12" s="439">
        <f t="shared" si="2"/>
        <v>0.21781912303574646</v>
      </c>
      <c r="N12" s="153">
        <f>'2026'!O12</f>
        <v>13634403.330000011</v>
      </c>
      <c r="O12" s="153">
        <f>'2026'!O88</f>
        <v>10706229.4621529</v>
      </c>
      <c r="P12" s="437">
        <f t="shared" ref="P12:P57" si="6">+N12-O12</f>
        <v>2928173.8678471111</v>
      </c>
      <c r="Q12" s="438">
        <f t="shared" si="3"/>
        <v>0.27350187834086359</v>
      </c>
      <c r="R12" s="153">
        <f>'2025'!O12</f>
        <v>11794721.619999997</v>
      </c>
      <c r="S12" s="437">
        <f t="shared" si="4"/>
        <v>1839681.7100000139</v>
      </c>
      <c r="T12" s="439">
        <f t="shared" si="5"/>
        <v>0.15597500045109292</v>
      </c>
      <c r="W12" s="432"/>
      <c r="Y12" s="432"/>
    </row>
    <row r="13" spans="1:25">
      <c r="A13" s="145">
        <v>7112</v>
      </c>
      <c r="B13" s="562" t="str">
        <f>+VLOOKUP($A13,Master!$D$30:$G$226,4,FALSE)</f>
        <v>Porez na dobit pravnih lica</v>
      </c>
      <c r="C13" s="563"/>
      <c r="D13" s="563"/>
      <c r="E13" s="563"/>
      <c r="F13" s="563"/>
      <c r="G13" s="153">
        <f>'2026'!S13</f>
        <v>230806261.51000002</v>
      </c>
      <c r="H13" s="153">
        <f>SUM('2026'!G89:O89)</f>
        <v>233327458.2331064</v>
      </c>
      <c r="I13" s="437">
        <f t="shared" si="0"/>
        <v>-2521196.7231063843</v>
      </c>
      <c r="J13" s="438">
        <f t="shared" si="1"/>
        <v>-1.0805400882512362E-2</v>
      </c>
      <c r="K13" s="153">
        <f>SUM('2025'!G13:O13)</f>
        <v>222547125.46000001</v>
      </c>
      <c r="L13" s="437">
        <f t="shared" ref="L13:L57" si="7">+G13-K13</f>
        <v>8259136.0500000119</v>
      </c>
      <c r="M13" s="439">
        <f t="shared" si="2"/>
        <v>3.7111852300624193E-2</v>
      </c>
      <c r="N13" s="153">
        <f>'2026'!O13</f>
        <v>3062872.7799999989</v>
      </c>
      <c r="O13" s="153">
        <f>'2026'!O89</f>
        <v>4675368.6756879296</v>
      </c>
      <c r="P13" s="437">
        <f t="shared" si="6"/>
        <v>-1612495.8956879308</v>
      </c>
      <c r="Q13" s="438">
        <f t="shared" si="3"/>
        <v>-0.34489170962558791</v>
      </c>
      <c r="R13" s="153">
        <f>'2025'!O13</f>
        <v>3732962.040000001</v>
      </c>
      <c r="S13" s="437">
        <f t="shared" si="4"/>
        <v>-670089.2600000021</v>
      </c>
      <c r="T13" s="439">
        <f t="shared" si="5"/>
        <v>-0.1795060471603408</v>
      </c>
      <c r="W13" s="432"/>
      <c r="Y13" s="432"/>
    </row>
    <row r="14" spans="1:25">
      <c r="A14" s="145">
        <v>7113</v>
      </c>
      <c r="B14" s="562" t="str">
        <f>+VLOOKUP($A14,Master!$D$30:$G$226,4,FALSE)</f>
        <v>Porez na promet nepokretnosti</v>
      </c>
      <c r="C14" s="563"/>
      <c r="D14" s="563"/>
      <c r="E14" s="563"/>
      <c r="F14" s="563"/>
      <c r="G14" s="153">
        <f>'2026'!S14</f>
        <v>1</v>
      </c>
      <c r="H14" s="153">
        <f>SUM('2026'!G90:O90)</f>
        <v>0</v>
      </c>
      <c r="I14" s="437">
        <f t="shared" si="0"/>
        <v>1</v>
      </c>
      <c r="J14" s="438" t="str">
        <f t="shared" si="1"/>
        <v>...</v>
      </c>
      <c r="K14" s="153">
        <f>SUM('2025'!G14:O14)</f>
        <v>0</v>
      </c>
      <c r="L14" s="437">
        <f t="shared" si="7"/>
        <v>1</v>
      </c>
      <c r="M14" s="439" t="str">
        <f t="shared" si="2"/>
        <v>...</v>
      </c>
      <c r="N14" s="153">
        <f>'2026'!O14</f>
        <v>1</v>
      </c>
      <c r="O14" s="153">
        <f>'2026'!O90</f>
        <v>0</v>
      </c>
      <c r="P14" s="437">
        <f t="shared" si="6"/>
        <v>1</v>
      </c>
      <c r="Q14" s="438" t="str">
        <f t="shared" si="3"/>
        <v>...</v>
      </c>
      <c r="R14" s="153">
        <f>'2025'!O14</f>
        <v>0</v>
      </c>
      <c r="S14" s="437">
        <f t="shared" si="4"/>
        <v>1</v>
      </c>
      <c r="T14" s="439" t="str">
        <f t="shared" si="5"/>
        <v>...</v>
      </c>
      <c r="W14" s="432"/>
      <c r="Y14" s="432"/>
    </row>
    <row r="15" spans="1:25">
      <c r="A15" s="145">
        <v>7114</v>
      </c>
      <c r="B15" s="562" t="str">
        <f>+VLOOKUP($A15,Master!$D$30:$G$226,4,FALSE)</f>
        <v>Porez na dodatu vrijednost</v>
      </c>
      <c r="C15" s="563"/>
      <c r="D15" s="563"/>
      <c r="E15" s="563"/>
      <c r="F15" s="563"/>
      <c r="G15" s="153">
        <f>'2026'!S15</f>
        <v>1105041959.5</v>
      </c>
      <c r="H15" s="153">
        <f>SUM('2026'!G91:O91)</f>
        <v>1088182179.274111</v>
      </c>
      <c r="I15" s="437">
        <f t="shared" si="0"/>
        <v>16859780.225888968</v>
      </c>
      <c r="J15" s="438">
        <f t="shared" si="1"/>
        <v>1.5493527230096227E-2</v>
      </c>
      <c r="K15" s="153">
        <f>SUM('2025'!G15:O15)</f>
        <v>1030179987.1600001</v>
      </c>
      <c r="L15" s="437">
        <f t="shared" si="7"/>
        <v>74861972.339999914</v>
      </c>
      <c r="M15" s="439">
        <f t="shared" si="2"/>
        <v>7.2668828042737887E-2</v>
      </c>
      <c r="N15" s="153">
        <f>'2026'!O15</f>
        <v>170616870.90000001</v>
      </c>
      <c r="O15" s="153">
        <f>'2026'!O91</f>
        <v>153903199.46410099</v>
      </c>
      <c r="P15" s="437">
        <f t="shared" si="6"/>
        <v>16713671.435899019</v>
      </c>
      <c r="Q15" s="438">
        <f t="shared" si="3"/>
        <v>0.10859859635210256</v>
      </c>
      <c r="R15" s="153">
        <f>'2025'!O15</f>
        <v>149853557.13</v>
      </c>
      <c r="S15" s="437">
        <f t="shared" si="4"/>
        <v>20763313.770000011</v>
      </c>
      <c r="T15" s="439">
        <f t="shared" si="5"/>
        <v>0.13855736338635971</v>
      </c>
      <c r="W15" s="432"/>
      <c r="Y15" s="432"/>
    </row>
    <row r="16" spans="1:25">
      <c r="A16" s="145">
        <v>7115</v>
      </c>
      <c r="B16" s="562" t="str">
        <f>+VLOOKUP($A16,Master!$D$30:$G$226,4,FALSE)</f>
        <v>Akcize</v>
      </c>
      <c r="C16" s="563"/>
      <c r="D16" s="563"/>
      <c r="E16" s="563"/>
      <c r="F16" s="563"/>
      <c r="G16" s="153">
        <f>'2026'!S16</f>
        <v>317237885.78999996</v>
      </c>
      <c r="H16" s="153">
        <f>SUM('2026'!G92:O92)</f>
        <v>320003476.20843863</v>
      </c>
      <c r="I16" s="437">
        <f t="shared" si="0"/>
        <v>-2765590.418438673</v>
      </c>
      <c r="J16" s="438">
        <f t="shared" si="1"/>
        <v>-8.6423761741802885E-3</v>
      </c>
      <c r="K16" s="153">
        <f>SUM('2025'!G16:O16)</f>
        <v>298654189.58999997</v>
      </c>
      <c r="L16" s="437">
        <f t="shared" si="7"/>
        <v>18583696.199999988</v>
      </c>
      <c r="M16" s="439">
        <f t="shared" si="2"/>
        <v>6.2224796596733301E-2</v>
      </c>
      <c r="N16" s="153">
        <f>'2026'!O16</f>
        <v>37614233.800000004</v>
      </c>
      <c r="O16" s="153">
        <f>'2026'!O92</f>
        <v>41937531.480353199</v>
      </c>
      <c r="P16" s="437">
        <f t="shared" si="6"/>
        <v>-4323297.6803531945</v>
      </c>
      <c r="Q16" s="438">
        <f t="shared" si="3"/>
        <v>-0.10308898801968269</v>
      </c>
      <c r="R16" s="153">
        <f>'2025'!O16</f>
        <v>38082168.619999982</v>
      </c>
      <c r="S16" s="437">
        <f t="shared" si="4"/>
        <v>-467934.81999997795</v>
      </c>
      <c r="T16" s="439">
        <f t="shared" si="5"/>
        <v>-1.2287504544954642E-2</v>
      </c>
      <c r="W16" s="432"/>
      <c r="Y16" s="432"/>
    </row>
    <row r="17" spans="1:25">
      <c r="A17" s="145">
        <v>7116</v>
      </c>
      <c r="B17" s="562" t="str">
        <f>+VLOOKUP($A17,Master!$D$30:$G$226,4,FALSE)</f>
        <v>Porez na međunarodnu trgovinu i transakcije</v>
      </c>
      <c r="C17" s="563"/>
      <c r="D17" s="563"/>
      <c r="E17" s="563"/>
      <c r="F17" s="563"/>
      <c r="G17" s="153">
        <f>'2026'!S17</f>
        <v>54311195.149999999</v>
      </c>
      <c r="H17" s="153">
        <f>SUM('2026'!G93:O93)</f>
        <v>51589701.950025268</v>
      </c>
      <c r="I17" s="437">
        <f t="shared" si="0"/>
        <v>2721493.1999747306</v>
      </c>
      <c r="J17" s="438">
        <f t="shared" si="1"/>
        <v>5.2752644367106916E-2</v>
      </c>
      <c r="K17" s="153">
        <f>SUM('2025'!G17:O17)</f>
        <v>52309548.439999998</v>
      </c>
      <c r="L17" s="437">
        <f t="shared" si="7"/>
        <v>2001646.7100000009</v>
      </c>
      <c r="M17" s="439">
        <f t="shared" si="2"/>
        <v>3.8265417494397269E-2</v>
      </c>
      <c r="N17" s="153">
        <f>'2026'!O17</f>
        <v>6669687.4300000006</v>
      </c>
      <c r="O17" s="153">
        <f>'2026'!O93</f>
        <v>6493627.6115585295</v>
      </c>
      <c r="P17" s="437">
        <f t="shared" si="6"/>
        <v>176059.81844147108</v>
      </c>
      <c r="Q17" s="438">
        <f t="shared" si="3"/>
        <v>2.7112706328907388E-2</v>
      </c>
      <c r="R17" s="153">
        <f>'2025'!O17</f>
        <v>6435243.1500000004</v>
      </c>
      <c r="S17" s="437">
        <f t="shared" si="4"/>
        <v>234444.28000000026</v>
      </c>
      <c r="T17" s="439">
        <f t="shared" si="5"/>
        <v>3.6431300968013947E-2</v>
      </c>
      <c r="W17" s="432"/>
      <c r="Y17" s="432"/>
    </row>
    <row r="18" spans="1:25">
      <c r="A18" s="145">
        <v>7118</v>
      </c>
      <c r="B18" s="562" t="str">
        <f>+VLOOKUP($A18,Master!$D$30:$G$226,4,FALSE)</f>
        <v>Ostali državni porezi</v>
      </c>
      <c r="C18" s="563"/>
      <c r="D18" s="563"/>
      <c r="E18" s="563"/>
      <c r="F18" s="563"/>
      <c r="G18" s="153">
        <f>'2026'!S18</f>
        <v>12946321.189999998</v>
      </c>
      <c r="H18" s="153">
        <f>SUM('2026'!G94:O94)</f>
        <v>13114030.74704155</v>
      </c>
      <c r="I18" s="437">
        <f t="shared" si="0"/>
        <v>-167709.55704155192</v>
      </c>
      <c r="J18" s="438">
        <f t="shared" si="1"/>
        <v>-1.2788559084275897E-2</v>
      </c>
      <c r="K18" s="153">
        <f>SUM('2025'!G18:O18)</f>
        <v>11914550.510000002</v>
      </c>
      <c r="L18" s="437">
        <f t="shared" si="7"/>
        <v>1031770.679999996</v>
      </c>
      <c r="M18" s="439">
        <f t="shared" si="2"/>
        <v>8.6597532918595732E-2</v>
      </c>
      <c r="N18" s="153">
        <f>'2026'!O18</f>
        <v>1687434.9499999995</v>
      </c>
      <c r="O18" s="153">
        <f>'2026'!O94</f>
        <v>1546417.4797046201</v>
      </c>
      <c r="P18" s="437">
        <f t="shared" si="6"/>
        <v>141017.4702953794</v>
      </c>
      <c r="Q18" s="438">
        <f t="shared" si="3"/>
        <v>9.1189780344642202E-2</v>
      </c>
      <c r="R18" s="153">
        <f>'2025'!O18</f>
        <v>1255693.2000000002</v>
      </c>
      <c r="S18" s="437">
        <f t="shared" si="4"/>
        <v>431741.7499999993</v>
      </c>
      <c r="T18" s="439">
        <f t="shared" si="5"/>
        <v>0.34382741739781597</v>
      </c>
      <c r="W18" s="432"/>
      <c r="Y18" s="432"/>
    </row>
    <row r="19" spans="1:25">
      <c r="A19" s="145">
        <v>712</v>
      </c>
      <c r="B19" s="566" t="str">
        <f>+VLOOKUP($A19,Master!$D$30:$G$226,4,FALSE)</f>
        <v>Doprinosi</v>
      </c>
      <c r="C19" s="567"/>
      <c r="D19" s="567"/>
      <c r="E19" s="567"/>
      <c r="F19" s="567"/>
      <c r="G19" s="156">
        <f>'2026'!S19</f>
        <v>322427382.53000003</v>
      </c>
      <c r="H19" s="156">
        <f>SUM('2026'!G95:O95)</f>
        <v>317393628.01219392</v>
      </c>
      <c r="I19" s="440">
        <f t="shared" si="0"/>
        <v>5033754.5178061128</v>
      </c>
      <c r="J19" s="441">
        <f t="shared" si="1"/>
        <v>1.5859658397467058E-2</v>
      </c>
      <c r="K19" s="156">
        <f>SUM('2025'!G19:O19)</f>
        <v>290652989.25999999</v>
      </c>
      <c r="L19" s="440">
        <f t="shared" si="7"/>
        <v>31774393.270000041</v>
      </c>
      <c r="M19" s="442">
        <f t="shared" si="2"/>
        <v>0.1093207172955537</v>
      </c>
      <c r="N19" s="156">
        <f>'2026'!O19</f>
        <v>34223723.900000013</v>
      </c>
      <c r="O19" s="156">
        <f>'2026'!O95</f>
        <v>36622021.814950503</v>
      </c>
      <c r="P19" s="440">
        <f t="shared" si="6"/>
        <v>-2398297.91495049</v>
      </c>
      <c r="Q19" s="441">
        <f t="shared" si="3"/>
        <v>-6.5487862113921103E-2</v>
      </c>
      <c r="R19" s="156">
        <f>'2025'!O19</f>
        <v>35020872.799999997</v>
      </c>
      <c r="S19" s="440">
        <f t="shared" si="4"/>
        <v>-797148.89999998361</v>
      </c>
      <c r="T19" s="442">
        <f t="shared" si="5"/>
        <v>-2.276210831615777E-2</v>
      </c>
      <c r="W19" s="432"/>
      <c r="Y19" s="432"/>
    </row>
    <row r="20" spans="1:25">
      <c r="A20" s="145">
        <v>7121</v>
      </c>
      <c r="B20" s="562" t="str">
        <f>+VLOOKUP($A20,Master!$D$30:$G$226,4,FALSE)</f>
        <v>Doprinosi za penzijsko i invalidsko osiguranje</v>
      </c>
      <c r="C20" s="563"/>
      <c r="D20" s="563"/>
      <c r="E20" s="563"/>
      <c r="F20" s="563"/>
      <c r="G20" s="153">
        <f>'2026'!S20</f>
        <v>272936461.11000001</v>
      </c>
      <c r="H20" s="153">
        <f>SUM('2026'!G96:O96)</f>
        <v>279909101.34398317</v>
      </c>
      <c r="I20" s="437">
        <f t="shared" si="0"/>
        <v>-6972640.2339831591</v>
      </c>
      <c r="J20" s="438">
        <f t="shared" si="1"/>
        <v>-2.4910373405166331E-2</v>
      </c>
      <c r="K20" s="153">
        <f>SUM('2025'!G20:O20)</f>
        <v>244892354.74000001</v>
      </c>
      <c r="L20" s="437">
        <f t="shared" si="7"/>
        <v>28044106.370000005</v>
      </c>
      <c r="M20" s="439">
        <f t="shared" si="2"/>
        <v>0.1145160550225186</v>
      </c>
      <c r="N20" s="153">
        <f>'2026'!O20</f>
        <v>27761594.980000015</v>
      </c>
      <c r="O20" s="153">
        <f>'2026'!O96</f>
        <v>32049537.889377501</v>
      </c>
      <c r="P20" s="437">
        <f t="shared" si="6"/>
        <v>-4287942.9093774855</v>
      </c>
      <c r="Q20" s="438">
        <f t="shared" si="3"/>
        <v>-0.13379109939674605</v>
      </c>
      <c r="R20" s="153">
        <f>'2025'!O20</f>
        <v>29269872.189999998</v>
      </c>
      <c r="S20" s="437">
        <f t="shared" si="4"/>
        <v>-1508277.2099999823</v>
      </c>
      <c r="T20" s="439">
        <f t="shared" si="5"/>
        <v>-5.1530023780400502E-2</v>
      </c>
      <c r="W20" s="432"/>
      <c r="Y20" s="432"/>
    </row>
    <row r="21" spans="1:25">
      <c r="A21" s="145">
        <v>7122</v>
      </c>
      <c r="B21" s="562" t="str">
        <f>+VLOOKUP($A21,Master!$D$30:$G$226,4,FALSE)</f>
        <v>Doprinosi za zdravstveno osiguranje</v>
      </c>
      <c r="C21" s="563"/>
      <c r="D21" s="563"/>
      <c r="E21" s="563"/>
      <c r="F21" s="563"/>
      <c r="G21" s="153">
        <f>'2026'!S21</f>
        <v>3958750.04</v>
      </c>
      <c r="H21" s="153">
        <f>SUM('2026'!G97:O97)</f>
        <v>3666606.9958935073</v>
      </c>
      <c r="I21" s="437">
        <f t="shared" si="0"/>
        <v>292143.04410649277</v>
      </c>
      <c r="J21" s="438">
        <f t="shared" si="1"/>
        <v>7.9676672311399743E-2</v>
      </c>
      <c r="K21" s="153">
        <f>SUM('2025'!G21:O21)</f>
        <v>5177992.8500000006</v>
      </c>
      <c r="L21" s="437">
        <f t="shared" si="7"/>
        <v>-1219242.8100000005</v>
      </c>
      <c r="M21" s="439">
        <f t="shared" si="2"/>
        <v>-0.23546629849054357</v>
      </c>
      <c r="N21" s="153">
        <f>'2026'!O21</f>
        <v>284499.55999999994</v>
      </c>
      <c r="O21" s="153">
        <f>'2026'!O97</f>
        <v>504633.101966571</v>
      </c>
      <c r="P21" s="437">
        <f t="shared" si="6"/>
        <v>-220133.54196657107</v>
      </c>
      <c r="Q21" s="438">
        <f t="shared" si="3"/>
        <v>-0.436224934727238</v>
      </c>
      <c r="R21" s="153">
        <f>'2025'!O21</f>
        <v>536571.03</v>
      </c>
      <c r="S21" s="437">
        <f t="shared" si="4"/>
        <v>-252071.47000000009</v>
      </c>
      <c r="T21" s="439">
        <f t="shared" si="5"/>
        <v>-0.46978210881045901</v>
      </c>
      <c r="W21" s="432"/>
      <c r="Y21" s="432"/>
    </row>
    <row r="22" spans="1:25">
      <c r="A22" s="145">
        <v>7123</v>
      </c>
      <c r="B22" s="562" t="str">
        <f>+VLOOKUP($A22,Master!$D$30:$G$226,4,FALSE)</f>
        <v>Doprinosi za osiguranje od nezaposlenosti</v>
      </c>
      <c r="C22" s="563"/>
      <c r="D22" s="563"/>
      <c r="E22" s="563"/>
      <c r="F22" s="563"/>
      <c r="G22" s="153">
        <f>'2026'!S22</f>
        <v>26326911.430000007</v>
      </c>
      <c r="H22" s="153">
        <f>SUM('2026'!G98:O98)</f>
        <v>19444768.646617059</v>
      </c>
      <c r="I22" s="437">
        <f t="shared" si="0"/>
        <v>6882142.7833829485</v>
      </c>
      <c r="J22" s="438">
        <f t="shared" si="1"/>
        <v>0.35393287050397904</v>
      </c>
      <c r="K22" s="153">
        <f>SUM('2025'!G22:O22)</f>
        <v>23745875.050000001</v>
      </c>
      <c r="L22" s="437">
        <f t="shared" si="7"/>
        <v>2581036.3800000064</v>
      </c>
      <c r="M22" s="439">
        <f t="shared" si="2"/>
        <v>0.10869409421911391</v>
      </c>
      <c r="N22" s="153">
        <f>'2026'!O22</f>
        <v>3584019.4399999995</v>
      </c>
      <c r="O22" s="153">
        <f>'2026'!O98</f>
        <v>2597255.7287014499</v>
      </c>
      <c r="P22" s="437">
        <f t="shared" si="6"/>
        <v>986763.71129854955</v>
      </c>
      <c r="Q22" s="438">
        <f t="shared" si="3"/>
        <v>0.37992551152900988</v>
      </c>
      <c r="R22" s="153">
        <f>'2025'!O22</f>
        <v>3032409.4099999997</v>
      </c>
      <c r="S22" s="437">
        <f t="shared" si="4"/>
        <v>551610.0299999998</v>
      </c>
      <c r="T22" s="439">
        <f t="shared" si="5"/>
        <v>0.18190486686294771</v>
      </c>
      <c r="W22" s="432"/>
      <c r="Y22" s="432"/>
    </row>
    <row r="23" spans="1:25">
      <c r="A23" s="145">
        <v>7124</v>
      </c>
      <c r="B23" s="562" t="str">
        <f>+VLOOKUP($A23,Master!$D$30:$G$226,4,FALSE)</f>
        <v>Ostali doprinosi</v>
      </c>
      <c r="C23" s="563"/>
      <c r="D23" s="563"/>
      <c r="E23" s="563"/>
      <c r="F23" s="563"/>
      <c r="G23" s="153">
        <f>'2026'!S23</f>
        <v>19205259.949999996</v>
      </c>
      <c r="H23" s="153">
        <f>SUM('2026'!G99:O99)</f>
        <v>14373151.02570021</v>
      </c>
      <c r="I23" s="437">
        <f t="shared" si="0"/>
        <v>4832108.9242997859</v>
      </c>
      <c r="J23" s="438">
        <f t="shared" si="1"/>
        <v>0.33618994997406171</v>
      </c>
      <c r="K23" s="153">
        <f>SUM('2025'!G23:O23)</f>
        <v>16836766.619999997</v>
      </c>
      <c r="L23" s="437">
        <f t="shared" si="7"/>
        <v>2368493.3299999982</v>
      </c>
      <c r="M23" s="439">
        <f t="shared" si="2"/>
        <v>0.14067388254859581</v>
      </c>
      <c r="N23" s="153">
        <f>'2026'!O23</f>
        <v>2593609.9199999985</v>
      </c>
      <c r="O23" s="153">
        <f>'2026'!O99</f>
        <v>1470595.0949049699</v>
      </c>
      <c r="P23" s="437">
        <f t="shared" si="6"/>
        <v>1123014.8250950286</v>
      </c>
      <c r="Q23" s="438">
        <f t="shared" si="3"/>
        <v>0.76364651900841407</v>
      </c>
      <c r="R23" s="153">
        <f>'2025'!O23</f>
        <v>2182020.1699999995</v>
      </c>
      <c r="S23" s="437">
        <f t="shared" si="4"/>
        <v>411589.74999999907</v>
      </c>
      <c r="T23" s="439">
        <f t="shared" si="5"/>
        <v>0.18862783931094418</v>
      </c>
      <c r="W23" s="432"/>
      <c r="Y23" s="432"/>
    </row>
    <row r="24" spans="1:25">
      <c r="A24" s="145">
        <v>713</v>
      </c>
      <c r="B24" s="566" t="str">
        <f>+VLOOKUP($A24,Master!$D$30:$G$226,4,FALSE)</f>
        <v>Takse</v>
      </c>
      <c r="C24" s="567"/>
      <c r="D24" s="567"/>
      <c r="E24" s="567"/>
      <c r="F24" s="567"/>
      <c r="G24" s="159">
        <f>'2026'!S24</f>
        <v>13418486.369999997</v>
      </c>
      <c r="H24" s="159">
        <f>SUM('2026'!G100:O100)</f>
        <v>15050180.512976641</v>
      </c>
      <c r="I24" s="443">
        <f t="shared" si="0"/>
        <v>-1631694.1429766435</v>
      </c>
      <c r="J24" s="444">
        <f t="shared" si="1"/>
        <v>-0.10841691510409168</v>
      </c>
      <c r="K24" s="159">
        <f>SUM('2025'!G24:O24)</f>
        <v>12457881.169999998</v>
      </c>
      <c r="L24" s="443">
        <f t="shared" si="7"/>
        <v>960605.19999999925</v>
      </c>
      <c r="M24" s="445">
        <f t="shared" si="2"/>
        <v>7.710823268351974E-2</v>
      </c>
      <c r="N24" s="159">
        <f>'2026'!O24</f>
        <v>1813817.2399999998</v>
      </c>
      <c r="O24" s="159">
        <f>'2026'!O100</f>
        <v>2283008.9060167298</v>
      </c>
      <c r="P24" s="443">
        <f t="shared" si="6"/>
        <v>-469191.66601673001</v>
      </c>
      <c r="Q24" s="444">
        <f t="shared" si="3"/>
        <v>-0.20551460170838765</v>
      </c>
      <c r="R24" s="159">
        <f>'2025'!O24</f>
        <v>1722264.71</v>
      </c>
      <c r="S24" s="443">
        <f t="shared" si="4"/>
        <v>91552.529999999795</v>
      </c>
      <c r="T24" s="445">
        <f t="shared" si="5"/>
        <v>5.3158222117899445E-2</v>
      </c>
      <c r="W24" s="432"/>
      <c r="Y24" s="432"/>
    </row>
    <row r="25" spans="1:25">
      <c r="A25" s="145">
        <v>714</v>
      </c>
      <c r="B25" s="566" t="str">
        <f>+VLOOKUP($A25,Master!$D$30:$G$226,4,FALSE)</f>
        <v>Naknade</v>
      </c>
      <c r="C25" s="567"/>
      <c r="D25" s="567"/>
      <c r="E25" s="567"/>
      <c r="F25" s="567"/>
      <c r="G25" s="159">
        <f>'2026'!S25</f>
        <v>59588870.279999994</v>
      </c>
      <c r="H25" s="159">
        <f>SUM('2026'!G101:O101)</f>
        <v>60562154.532632731</v>
      </c>
      <c r="I25" s="443">
        <f t="shared" si="0"/>
        <v>-973284.25263273716</v>
      </c>
      <c r="J25" s="444">
        <f t="shared" si="1"/>
        <v>-1.6070832686579939E-2</v>
      </c>
      <c r="K25" s="159">
        <f>SUM('2025'!G25:O25)</f>
        <v>52396949.939999998</v>
      </c>
      <c r="L25" s="443">
        <f t="shared" si="7"/>
        <v>7191920.3399999961</v>
      </c>
      <c r="M25" s="445">
        <f t="shared" si="2"/>
        <v>0.13725837760090043</v>
      </c>
      <c r="N25" s="159">
        <f>'2026'!O25</f>
        <v>7393671.6500000004</v>
      </c>
      <c r="O25" s="159">
        <f>'2026'!O101</f>
        <v>8234896.4815741004</v>
      </c>
      <c r="P25" s="443">
        <f t="shared" si="6"/>
        <v>-841224.83157410007</v>
      </c>
      <c r="Q25" s="444">
        <f t="shared" si="3"/>
        <v>-0.10215366197454612</v>
      </c>
      <c r="R25" s="159">
        <f>'2025'!O25</f>
        <v>7408352.6699999981</v>
      </c>
      <c r="S25" s="443">
        <f t="shared" si="4"/>
        <v>-14681.01999999769</v>
      </c>
      <c r="T25" s="445">
        <f t="shared" si="5"/>
        <v>-1.9816848163085599E-3</v>
      </c>
      <c r="W25" s="432"/>
      <c r="Y25" s="432"/>
    </row>
    <row r="26" spans="1:25">
      <c r="A26" s="145">
        <v>715</v>
      </c>
      <c r="B26" s="566" t="str">
        <f>+VLOOKUP($A26,Master!$D$30:$G$226,4,FALSE)</f>
        <v>Ostali prihodi</v>
      </c>
      <c r="C26" s="567"/>
      <c r="D26" s="567"/>
      <c r="E26" s="567"/>
      <c r="F26" s="567"/>
      <c r="G26" s="159">
        <f>'2026'!S26</f>
        <v>46860985.640000001</v>
      </c>
      <c r="H26" s="159">
        <f>SUM('2026'!G102:O102)</f>
        <v>45848952.770249307</v>
      </c>
      <c r="I26" s="443">
        <f t="shared" si="0"/>
        <v>1012032.8697506934</v>
      </c>
      <c r="J26" s="444">
        <f t="shared" si="1"/>
        <v>2.2073194884559832E-2</v>
      </c>
      <c r="K26" s="159">
        <f>SUM('2025'!G26:O26)</f>
        <v>39773726.100000009</v>
      </c>
      <c r="L26" s="443">
        <f t="shared" si="7"/>
        <v>7087259.5399999917</v>
      </c>
      <c r="M26" s="445">
        <f t="shared" si="2"/>
        <v>0.17818947920999517</v>
      </c>
      <c r="N26" s="159">
        <f>'2026'!O26</f>
        <v>4160192.8499999992</v>
      </c>
      <c r="O26" s="159">
        <f>'2026'!O102</f>
        <v>7732947.0922748102</v>
      </c>
      <c r="P26" s="443">
        <f t="shared" si="6"/>
        <v>-3572754.242274811</v>
      </c>
      <c r="Q26" s="444">
        <f t="shared" si="3"/>
        <v>-0.46201715848333957</v>
      </c>
      <c r="R26" s="159">
        <f>'2025'!O26</f>
        <v>4915237.8300000019</v>
      </c>
      <c r="S26" s="443">
        <f t="shared" si="4"/>
        <v>-755044.98000000278</v>
      </c>
      <c r="T26" s="445">
        <f t="shared" si="5"/>
        <v>-0.15361311214517614</v>
      </c>
      <c r="W26" s="432"/>
      <c r="Y26" s="432"/>
    </row>
    <row r="27" spans="1:25" hidden="1">
      <c r="A27" s="145">
        <v>73</v>
      </c>
      <c r="B27" s="566" t="str">
        <f>+VLOOKUP($A27,Master!$D$30:$G$226,4,FALSE)</f>
        <v>Primici od otplate kredita i sredstva prenesena iz prethodne godine</v>
      </c>
      <c r="C27" s="567"/>
      <c r="D27" s="567"/>
      <c r="E27" s="567"/>
      <c r="F27" s="567"/>
      <c r="G27" s="159">
        <f>'2026'!S27</f>
        <v>0</v>
      </c>
      <c r="H27" s="159">
        <f>SUM('2026'!G103:O103)</f>
        <v>0</v>
      </c>
      <c r="I27" s="443">
        <f t="shared" si="0"/>
        <v>0</v>
      </c>
      <c r="J27" s="444" t="str">
        <f t="shared" si="1"/>
        <v>...</v>
      </c>
      <c r="K27" s="159">
        <f>SUM('2025'!G27:O27)</f>
        <v>0</v>
      </c>
      <c r="L27" s="443">
        <f t="shared" si="7"/>
        <v>0</v>
      </c>
      <c r="M27" s="445" t="str">
        <f t="shared" si="2"/>
        <v>...</v>
      </c>
      <c r="N27" s="159">
        <f>'2026'!O27</f>
        <v>0</v>
      </c>
      <c r="O27" s="159">
        <f>'2026'!O103</f>
        <v>0</v>
      </c>
      <c r="P27" s="443">
        <f t="shared" si="6"/>
        <v>0</v>
      </c>
      <c r="Q27" s="444" t="str">
        <f t="shared" si="3"/>
        <v>...</v>
      </c>
      <c r="R27" s="159">
        <f>'2025'!O27</f>
        <v>0</v>
      </c>
      <c r="S27" s="443">
        <f t="shared" si="4"/>
        <v>0</v>
      </c>
      <c r="T27" s="445" t="str">
        <f t="shared" si="5"/>
        <v>...</v>
      </c>
      <c r="W27" s="432"/>
      <c r="Y27" s="432"/>
    </row>
    <row r="28" spans="1:25" ht="15.75" thickBot="1">
      <c r="A28" s="145">
        <v>74</v>
      </c>
      <c r="B28" s="568" t="str">
        <f>+VLOOKUP($A28,Master!$D$30:$G$226,4,FALSE)</f>
        <v>Donacije i transferi</v>
      </c>
      <c r="C28" s="569"/>
      <c r="D28" s="569"/>
      <c r="E28" s="569"/>
      <c r="F28" s="569"/>
      <c r="G28" s="159">
        <f>'2026'!S28</f>
        <v>60924050.520000003</v>
      </c>
      <c r="H28" s="159">
        <f>SUM('2026'!G104:O104)</f>
        <v>44722256.3866667</v>
      </c>
      <c r="I28" s="443">
        <f t="shared" si="0"/>
        <v>16201794.133333303</v>
      </c>
      <c r="J28" s="444">
        <f t="shared" si="1"/>
        <v>0.36227586536004108</v>
      </c>
      <c r="K28" s="159">
        <f>SUM('2025'!G28:O28)</f>
        <v>12886772.959999999</v>
      </c>
      <c r="L28" s="443">
        <f t="shared" si="7"/>
        <v>48037277.560000002</v>
      </c>
      <c r="M28" s="445" t="str">
        <f t="shared" si="2"/>
        <v>...</v>
      </c>
      <c r="N28" s="159">
        <f>'2026'!O28</f>
        <v>31962048.780000001</v>
      </c>
      <c r="O28" s="159">
        <f>'2026'!O104</f>
        <v>13120972.130277799</v>
      </c>
      <c r="P28" s="443">
        <f t="shared" si="6"/>
        <v>18841076.649722204</v>
      </c>
      <c r="Q28" s="444">
        <f t="shared" si="3"/>
        <v>1.4359512742386484</v>
      </c>
      <c r="R28" s="159">
        <f>'2025'!O28</f>
        <v>1661616.11</v>
      </c>
      <c r="S28" s="443">
        <f t="shared" si="4"/>
        <v>30300432.670000002</v>
      </c>
      <c r="T28" s="445" t="str">
        <f t="shared" si="5"/>
        <v>...</v>
      </c>
      <c r="W28" s="432"/>
      <c r="Y28" s="432"/>
    </row>
    <row r="29" spans="1:25" ht="15.75" thickBot="1">
      <c r="A29" s="145">
        <v>4</v>
      </c>
      <c r="B29" s="570" t="str">
        <f>+VLOOKUP($A29,Master!$D$30:$G$226,4,FALSE)</f>
        <v>Izdaci budžeta</v>
      </c>
      <c r="C29" s="571"/>
      <c r="D29" s="571"/>
      <c r="E29" s="571"/>
      <c r="F29" s="571"/>
      <c r="G29" s="146">
        <f>'2026'!S29</f>
        <v>2442675608.0700002</v>
      </c>
      <c r="H29" s="146">
        <f>SUM('2026'!G105:O105)</f>
        <v>2453109663.0499997</v>
      </c>
      <c r="I29" s="428">
        <f t="shared" si="0"/>
        <v>-10434054.979999542</v>
      </c>
      <c r="J29" s="429">
        <f t="shared" si="1"/>
        <v>-4.2533993229746381E-3</v>
      </c>
      <c r="K29" s="146">
        <f>SUM('2025'!G29:O29)</f>
        <v>2186445389.5600004</v>
      </c>
      <c r="L29" s="428">
        <f t="shared" si="7"/>
        <v>256230218.50999975</v>
      </c>
      <c r="M29" s="430">
        <f t="shared" si="2"/>
        <v>0.11719031251979417</v>
      </c>
      <c r="N29" s="146">
        <f>'2026'!O29</f>
        <v>290808897.38999999</v>
      </c>
      <c r="O29" s="146">
        <f>'2026'!O105</f>
        <v>276928365.88999999</v>
      </c>
      <c r="P29" s="428">
        <f t="shared" si="6"/>
        <v>13880531.5</v>
      </c>
      <c r="Q29" s="429">
        <f t="shared" si="3"/>
        <v>5.0123184222715444E-2</v>
      </c>
      <c r="R29" s="146">
        <f>'2025'!O29</f>
        <v>276373435.84000003</v>
      </c>
      <c r="S29" s="428">
        <f t="shared" si="4"/>
        <v>14435461.549999952</v>
      </c>
      <c r="T29" s="430">
        <f t="shared" si="5"/>
        <v>5.2231725911447757E-2</v>
      </c>
      <c r="V29" s="432"/>
      <c r="W29" s="432"/>
      <c r="Y29" s="432"/>
    </row>
    <row r="30" spans="1:25">
      <c r="A30" s="145">
        <v>41</v>
      </c>
      <c r="B30" s="574" t="str">
        <f>+VLOOKUP($A30,Master!$D$30:$G$226,4,FALSE)</f>
        <v>Tekući izdaci</v>
      </c>
      <c r="C30" s="575"/>
      <c r="D30" s="575"/>
      <c r="E30" s="575"/>
      <c r="F30" s="575"/>
      <c r="G30" s="446">
        <f>'2026'!S30</f>
        <v>927165546.26999998</v>
      </c>
      <c r="H30" s="446">
        <f>SUM('2026'!G106:O106)</f>
        <v>940620933.8499999</v>
      </c>
      <c r="I30" s="447">
        <f t="shared" si="0"/>
        <v>-13455387.579999924</v>
      </c>
      <c r="J30" s="449">
        <f t="shared" si="1"/>
        <v>-1.4304792819065271E-2</v>
      </c>
      <c r="K30" s="446">
        <f>SUM('2025'!G30:O30)</f>
        <v>836563076.42000008</v>
      </c>
      <c r="L30" s="447">
        <f t="shared" si="7"/>
        <v>90602469.849999905</v>
      </c>
      <c r="M30" s="448">
        <f t="shared" si="2"/>
        <v>0.10830321395216891</v>
      </c>
      <c r="N30" s="446">
        <f>'2026'!O30</f>
        <v>113054765.18999998</v>
      </c>
      <c r="O30" s="446">
        <f>'2026'!O106</f>
        <v>110961329.31</v>
      </c>
      <c r="P30" s="447">
        <f t="shared" si="6"/>
        <v>2093435.8799999803</v>
      </c>
      <c r="Q30" s="449">
        <f t="shared" si="3"/>
        <v>1.8866355450297467E-2</v>
      </c>
      <c r="R30" s="446">
        <f>'2025'!O30</f>
        <v>103523108.14000005</v>
      </c>
      <c r="S30" s="447">
        <f t="shared" si="4"/>
        <v>9531657.0499999374</v>
      </c>
      <c r="T30" s="448">
        <f t="shared" si="5"/>
        <v>9.2072748019792261E-2</v>
      </c>
      <c r="W30" s="432"/>
      <c r="Y30" s="432"/>
    </row>
    <row r="31" spans="1:25">
      <c r="A31" s="145">
        <v>411</v>
      </c>
      <c r="B31" s="562" t="str">
        <f>+VLOOKUP($A31,Master!$D$30:$G$226,4,FALSE)</f>
        <v>Bruto zarade i doprinosi na teret poslodavca</v>
      </c>
      <c r="C31" s="563"/>
      <c r="D31" s="563"/>
      <c r="E31" s="563"/>
      <c r="F31" s="563"/>
      <c r="G31" s="153">
        <f>'2026'!S31</f>
        <v>534286889.60000008</v>
      </c>
      <c r="H31" s="153">
        <f>SUM('2026'!G107:O107)</f>
        <v>542167406.06999993</v>
      </c>
      <c r="I31" s="437">
        <f t="shared" si="0"/>
        <v>-7880516.4699998498</v>
      </c>
      <c r="J31" s="438">
        <f t="shared" si="1"/>
        <v>-1.4535208833602153E-2</v>
      </c>
      <c r="K31" s="153">
        <f>SUM('2025'!G31:O31)</f>
        <v>511051140.63000005</v>
      </c>
      <c r="L31" s="437">
        <f t="shared" si="7"/>
        <v>23235748.970000029</v>
      </c>
      <c r="M31" s="439">
        <f t="shared" si="2"/>
        <v>4.5466582740341988E-2</v>
      </c>
      <c r="N31" s="153">
        <f>'2026'!O31</f>
        <v>59588704.589999989</v>
      </c>
      <c r="O31" s="153">
        <f>'2026'!O107</f>
        <v>59056810.899999999</v>
      </c>
      <c r="P31" s="437">
        <f t="shared" si="6"/>
        <v>531893.68999999017</v>
      </c>
      <c r="Q31" s="438">
        <f t="shared" si="3"/>
        <v>9.0064749839038338E-3</v>
      </c>
      <c r="R31" s="153">
        <f>'2025'!O31</f>
        <v>55640667.270000018</v>
      </c>
      <c r="S31" s="437">
        <f t="shared" si="4"/>
        <v>3948037.3199999705</v>
      </c>
      <c r="T31" s="439">
        <f t="shared" si="5"/>
        <v>7.0955966448817964E-2</v>
      </c>
      <c r="W31" s="432"/>
      <c r="Y31" s="432"/>
    </row>
    <row r="32" spans="1:25">
      <c r="A32" s="145">
        <v>412</v>
      </c>
      <c r="B32" s="562" t="str">
        <f>+VLOOKUP($A32,Master!$D$30:$G$226,4,FALSE)</f>
        <v>Ostala lična primanja</v>
      </c>
      <c r="C32" s="563"/>
      <c r="D32" s="563"/>
      <c r="E32" s="563"/>
      <c r="F32" s="563"/>
      <c r="G32" s="153">
        <f>'2026'!S32</f>
        <v>23712534.909999993</v>
      </c>
      <c r="H32" s="153">
        <f>SUM('2026'!G108:O108)</f>
        <v>17931444.279999997</v>
      </c>
      <c r="I32" s="437">
        <f t="shared" si="0"/>
        <v>5781090.6299999952</v>
      </c>
      <c r="J32" s="438">
        <f t="shared" si="1"/>
        <v>0.32239960929683664</v>
      </c>
      <c r="K32" s="153">
        <f>SUM('2025'!G32:O32)</f>
        <v>16868350.520000003</v>
      </c>
      <c r="L32" s="437">
        <f t="shared" si="7"/>
        <v>6844184.3899999894</v>
      </c>
      <c r="M32" s="439">
        <f t="shared" si="2"/>
        <v>0.40574117676089094</v>
      </c>
      <c r="N32" s="153">
        <f>'2026'!O32</f>
        <v>2825680.8599999989</v>
      </c>
      <c r="O32" s="153">
        <f>'2026'!O108</f>
        <v>1824872.4</v>
      </c>
      <c r="P32" s="437">
        <f t="shared" si="6"/>
        <v>1000808.459999999</v>
      </c>
      <c r="Q32" s="438">
        <f t="shared" si="3"/>
        <v>0.5484265420420622</v>
      </c>
      <c r="R32" s="153">
        <f>'2025'!O32</f>
        <v>1964043.6899999995</v>
      </c>
      <c r="S32" s="437">
        <f t="shared" si="4"/>
        <v>861637.16999999946</v>
      </c>
      <c r="T32" s="439">
        <f t="shared" si="5"/>
        <v>0.43870570414856691</v>
      </c>
      <c r="W32" s="432"/>
      <c r="Y32" s="432"/>
    </row>
    <row r="33" spans="1:25">
      <c r="A33" s="145">
        <v>413</v>
      </c>
      <c r="B33" s="562" t="str">
        <f>+VLOOKUP($A33,Master!$D$30:$G$226,4,FALSE)</f>
        <v>Rashodi za materijal</v>
      </c>
      <c r="C33" s="563"/>
      <c r="D33" s="563"/>
      <c r="E33" s="563"/>
      <c r="F33" s="563"/>
      <c r="G33" s="153">
        <f>'2026'!S33</f>
        <v>28067957.789999999</v>
      </c>
      <c r="H33" s="153">
        <f>SUM('2026'!G109:O109)</f>
        <v>31557197.309999987</v>
      </c>
      <c r="I33" s="437">
        <f t="shared" si="0"/>
        <v>-3489239.5199999884</v>
      </c>
      <c r="J33" s="438">
        <f t="shared" si="1"/>
        <v>-0.11056873922369215</v>
      </c>
      <c r="K33" s="153">
        <f>SUM('2025'!G33:O33)</f>
        <v>27682160.740000002</v>
      </c>
      <c r="L33" s="437">
        <f t="shared" si="7"/>
        <v>385797.04999999702</v>
      </c>
      <c r="M33" s="439">
        <f t="shared" si="2"/>
        <v>1.3936666780585805E-2</v>
      </c>
      <c r="N33" s="153">
        <f>'2026'!O33</f>
        <v>4062823.66</v>
      </c>
      <c r="O33" s="153">
        <f>'2026'!O109</f>
        <v>5407318.0700000003</v>
      </c>
      <c r="P33" s="437">
        <f t="shared" si="6"/>
        <v>-1344494.4100000001</v>
      </c>
      <c r="Q33" s="438">
        <f t="shared" si="3"/>
        <v>-0.24864348510573198</v>
      </c>
      <c r="R33" s="153">
        <f>'2025'!O33</f>
        <v>5571109.4100000001</v>
      </c>
      <c r="S33" s="437">
        <f t="shared" si="4"/>
        <v>-1508285.75</v>
      </c>
      <c r="T33" s="439">
        <f t="shared" si="5"/>
        <v>-0.27073346419883004</v>
      </c>
      <c r="W33" s="432"/>
      <c r="Y33" s="432"/>
    </row>
    <row r="34" spans="1:25">
      <c r="A34" s="145">
        <v>414</v>
      </c>
      <c r="B34" s="562" t="str">
        <f>+VLOOKUP($A34,Master!$D$30:$G$226,4,FALSE)</f>
        <v>Rashodi za usluge</v>
      </c>
      <c r="C34" s="563"/>
      <c r="D34" s="563"/>
      <c r="E34" s="563"/>
      <c r="F34" s="563"/>
      <c r="G34" s="153">
        <f>'2026'!S34</f>
        <v>75232907.11999999</v>
      </c>
      <c r="H34" s="153">
        <f>SUM('2026'!G110:O110)</f>
        <v>73768570.630000085</v>
      </c>
      <c r="I34" s="437">
        <f t="shared" si="0"/>
        <v>1464336.4899999052</v>
      </c>
      <c r="J34" s="438">
        <f t="shared" si="1"/>
        <v>1.9850411597976514E-2</v>
      </c>
      <c r="K34" s="153">
        <f>SUM('2025'!G34:O34)</f>
        <v>53880319.710000001</v>
      </c>
      <c r="L34" s="437">
        <f t="shared" si="7"/>
        <v>21352587.409999989</v>
      </c>
      <c r="M34" s="439">
        <f t="shared" si="2"/>
        <v>0.39629659818141394</v>
      </c>
      <c r="N34" s="153">
        <f>'2026'!O34</f>
        <v>9987877.4199999999</v>
      </c>
      <c r="O34" s="153">
        <f>'2026'!O110</f>
        <v>8321058.8100000098</v>
      </c>
      <c r="P34" s="437">
        <f t="shared" si="6"/>
        <v>1666818.6099999901</v>
      </c>
      <c r="Q34" s="438">
        <f t="shared" si="3"/>
        <v>0.2003132832082446</v>
      </c>
      <c r="R34" s="153">
        <f>'2025'!O34</f>
        <v>8387093.3100000015</v>
      </c>
      <c r="S34" s="437">
        <f t="shared" si="4"/>
        <v>1600784.1099999985</v>
      </c>
      <c r="T34" s="439">
        <f t="shared" si="5"/>
        <v>0.19086279964136921</v>
      </c>
      <c r="W34" s="432"/>
      <c r="Y34" s="432"/>
    </row>
    <row r="35" spans="1:25">
      <c r="A35" s="145">
        <v>415</v>
      </c>
      <c r="B35" s="562" t="str">
        <f>+VLOOKUP($A35,Master!$D$30:$G$226,4,FALSE)</f>
        <v>Rashodi za tekuće održavanje</v>
      </c>
      <c r="C35" s="563"/>
      <c r="D35" s="563"/>
      <c r="E35" s="563"/>
      <c r="F35" s="563"/>
      <c r="G35" s="153">
        <f>'2026'!S35</f>
        <v>23758820.549999997</v>
      </c>
      <c r="H35" s="153">
        <f>SUM('2026'!G111:O111)</f>
        <v>41416632.090000004</v>
      </c>
      <c r="I35" s="437">
        <f t="shared" si="0"/>
        <v>-17657811.540000007</v>
      </c>
      <c r="J35" s="438">
        <f t="shared" si="1"/>
        <v>-0.42634590619606327</v>
      </c>
      <c r="K35" s="153">
        <f>SUM('2025'!G35:O35)</f>
        <v>19486441.930000003</v>
      </c>
      <c r="L35" s="437">
        <f t="shared" si="7"/>
        <v>4272378.6199999936</v>
      </c>
      <c r="M35" s="439">
        <f t="shared" si="2"/>
        <v>0.21924878001573656</v>
      </c>
      <c r="N35" s="153">
        <f>'2026'!O35</f>
        <v>3317208.4</v>
      </c>
      <c r="O35" s="153">
        <f>'2026'!O111</f>
        <v>4256734.91</v>
      </c>
      <c r="P35" s="437">
        <f t="shared" si="6"/>
        <v>-939526.51000000024</v>
      </c>
      <c r="Q35" s="438">
        <f t="shared" si="3"/>
        <v>-0.22071529702092729</v>
      </c>
      <c r="R35" s="153">
        <f>'2025'!O35</f>
        <v>1833197.8899999997</v>
      </c>
      <c r="S35" s="437">
        <f t="shared" si="4"/>
        <v>1484010.5100000002</v>
      </c>
      <c r="T35" s="439">
        <f t="shared" si="5"/>
        <v>0.80952008405377374</v>
      </c>
      <c r="W35" s="432"/>
      <c r="Y35" s="432"/>
    </row>
    <row r="36" spans="1:25">
      <c r="A36" s="145">
        <v>416</v>
      </c>
      <c r="B36" s="562" t="str">
        <f>+VLOOKUP($A36,Master!$D$30:$G$226,4,FALSE)</f>
        <v>Kamate</v>
      </c>
      <c r="C36" s="563"/>
      <c r="D36" s="563"/>
      <c r="E36" s="563"/>
      <c r="F36" s="563"/>
      <c r="G36" s="153">
        <f>'2026'!S36</f>
        <v>128014495.35999998</v>
      </c>
      <c r="H36" s="153">
        <f>SUM('2026'!G112:O112)</f>
        <v>133243059.43000001</v>
      </c>
      <c r="I36" s="437">
        <f t="shared" si="0"/>
        <v>-5228564.0700000226</v>
      </c>
      <c r="J36" s="438">
        <f t="shared" si="1"/>
        <v>-3.924079867549779E-2</v>
      </c>
      <c r="K36" s="153">
        <f>SUM('2025'!G36:O36)</f>
        <v>111534554.37000002</v>
      </c>
      <c r="L36" s="437">
        <f t="shared" si="7"/>
        <v>16479940.989999965</v>
      </c>
      <c r="M36" s="439">
        <f t="shared" si="2"/>
        <v>0.14775637095684369</v>
      </c>
      <c r="N36" s="153">
        <f>'2026'!O36</f>
        <v>21385596.530000001</v>
      </c>
      <c r="O36" s="153">
        <f>'2026'!O112</f>
        <v>21667714.07</v>
      </c>
      <c r="P36" s="437">
        <f t="shared" si="6"/>
        <v>-282117.53999999911</v>
      </c>
      <c r="Q36" s="438">
        <f t="shared" si="3"/>
        <v>-1.3020180120920322E-2</v>
      </c>
      <c r="R36" s="153">
        <f>'2025'!O36</f>
        <v>23271613.460000005</v>
      </c>
      <c r="S36" s="437">
        <f t="shared" si="4"/>
        <v>-1886016.9300000034</v>
      </c>
      <c r="T36" s="439">
        <f t="shared" si="5"/>
        <v>-8.1043668641271882E-2</v>
      </c>
      <c r="W36" s="432"/>
      <c r="Y36" s="432"/>
    </row>
    <row r="37" spans="1:25">
      <c r="A37" s="145">
        <v>417</v>
      </c>
      <c r="B37" s="562" t="str">
        <f>+VLOOKUP($A37,Master!$D$30:$G$226,4,FALSE)</f>
        <v>Renta</v>
      </c>
      <c r="C37" s="563"/>
      <c r="D37" s="563"/>
      <c r="E37" s="563"/>
      <c r="F37" s="563"/>
      <c r="G37" s="153">
        <f>'2026'!S37</f>
        <v>9394938.4399999995</v>
      </c>
      <c r="H37" s="153">
        <f>SUM('2026'!G113:O113)</f>
        <v>10506828.020000001</v>
      </c>
      <c r="I37" s="437">
        <f t="shared" si="0"/>
        <v>-1111889.5800000019</v>
      </c>
      <c r="J37" s="438">
        <f t="shared" si="1"/>
        <v>-0.10582542874819056</v>
      </c>
      <c r="K37" s="153">
        <f>SUM('2025'!G37:O37)</f>
        <v>8596543.709999999</v>
      </c>
      <c r="L37" s="437">
        <f t="shared" si="7"/>
        <v>798394.73000000045</v>
      </c>
      <c r="M37" s="439">
        <f t="shared" si="2"/>
        <v>9.2873922000915377E-2</v>
      </c>
      <c r="N37" s="153">
        <f>'2026'!O37</f>
        <v>1562084.4200000002</v>
      </c>
      <c r="O37" s="153">
        <f>'2026'!O113</f>
        <v>1221691.22</v>
      </c>
      <c r="P37" s="437">
        <f t="shared" si="6"/>
        <v>340393.20000000019</v>
      </c>
      <c r="Q37" s="438">
        <f t="shared" si="3"/>
        <v>0.27862457749348502</v>
      </c>
      <c r="R37" s="153">
        <f>'2025'!O37</f>
        <v>1351493.9</v>
      </c>
      <c r="S37" s="437">
        <f t="shared" si="4"/>
        <v>210590.52000000025</v>
      </c>
      <c r="T37" s="439">
        <f t="shared" si="5"/>
        <v>0.15582054791368294</v>
      </c>
      <c r="W37" s="432"/>
      <c r="Y37" s="432"/>
    </row>
    <row r="38" spans="1:25">
      <c r="A38" s="145">
        <v>418</v>
      </c>
      <c r="B38" s="562" t="str">
        <f>+VLOOKUP($A38,Master!$D$30:$G$226,4,FALSE)</f>
        <v>Subvencije</v>
      </c>
      <c r="C38" s="563"/>
      <c r="D38" s="563"/>
      <c r="E38" s="563"/>
      <c r="F38" s="563"/>
      <c r="G38" s="153">
        <f>'2026'!S38</f>
        <v>48752076.62999998</v>
      </c>
      <c r="H38" s="153">
        <f>SUM('2026'!G114:O114)</f>
        <v>34012268.630000003</v>
      </c>
      <c r="I38" s="437">
        <f t="shared" si="0"/>
        <v>14739807.999999978</v>
      </c>
      <c r="J38" s="438">
        <f t="shared" si="1"/>
        <v>0.43336738752553994</v>
      </c>
      <c r="K38" s="153">
        <f>SUM('2025'!G38:O38)</f>
        <v>39829306.149999969</v>
      </c>
      <c r="L38" s="437">
        <f t="shared" si="7"/>
        <v>8922770.4800000116</v>
      </c>
      <c r="M38" s="439">
        <f t="shared" si="2"/>
        <v>0.22402525533325202</v>
      </c>
      <c r="N38" s="153">
        <f>'2026'!O38</f>
        <v>4382623.8500000006</v>
      </c>
      <c r="O38" s="153">
        <f>'2026'!O114</f>
        <v>4794489.1100000003</v>
      </c>
      <c r="P38" s="437">
        <f t="shared" si="6"/>
        <v>-411865.25999999978</v>
      </c>
      <c r="Q38" s="438">
        <f t="shared" si="3"/>
        <v>-8.5903888933851369E-2</v>
      </c>
      <c r="R38" s="153">
        <f>'2025'!O38</f>
        <v>1662216.29</v>
      </c>
      <c r="S38" s="437">
        <f t="shared" si="4"/>
        <v>2720407.5600000005</v>
      </c>
      <c r="T38" s="439">
        <f t="shared" si="5"/>
        <v>1.636614667035901</v>
      </c>
      <c r="W38" s="432"/>
      <c r="Y38" s="432"/>
    </row>
    <row r="39" spans="1:25">
      <c r="A39" s="145">
        <v>419</v>
      </c>
      <c r="B39" s="562" t="str">
        <f>+VLOOKUP($A39,Master!$D$30:$G$226,4,FALSE)</f>
        <v>Ostali izdaci</v>
      </c>
      <c r="C39" s="563"/>
      <c r="D39" s="563"/>
      <c r="E39" s="563"/>
      <c r="F39" s="563"/>
      <c r="G39" s="153">
        <f>'2026'!S39</f>
        <v>55944925.869999997</v>
      </c>
      <c r="H39" s="153">
        <f>SUM('2026'!G115:O115)</f>
        <v>56017527.390000001</v>
      </c>
      <c r="I39" s="437">
        <f t="shared" si="0"/>
        <v>-72601.520000003278</v>
      </c>
      <c r="J39" s="438">
        <f t="shared" si="1"/>
        <v>-1.2960500647332118E-3</v>
      </c>
      <c r="K39" s="153">
        <f>SUM('2025'!G39:O39)</f>
        <v>47634258.659999996</v>
      </c>
      <c r="L39" s="437">
        <f t="shared" si="7"/>
        <v>8310667.2100000009</v>
      </c>
      <c r="M39" s="439">
        <f t="shared" si="2"/>
        <v>0.17446828068259057</v>
      </c>
      <c r="N39" s="153">
        <f>'2026'!O39</f>
        <v>5942165.46</v>
      </c>
      <c r="O39" s="153">
        <f>'2026'!O115</f>
        <v>4410639.82</v>
      </c>
      <c r="P39" s="437">
        <f t="shared" si="6"/>
        <v>1531525.6399999997</v>
      </c>
      <c r="Q39" s="438">
        <f t="shared" si="3"/>
        <v>0.34723434751015314</v>
      </c>
      <c r="R39" s="153">
        <f>'2025'!O39</f>
        <v>3841672.92</v>
      </c>
      <c r="S39" s="437">
        <f t="shared" si="4"/>
        <v>2100492.54</v>
      </c>
      <c r="T39" s="439">
        <f t="shared" si="5"/>
        <v>0.5467650640075834</v>
      </c>
      <c r="W39" s="432"/>
      <c r="Y39" s="432"/>
    </row>
    <row r="40" spans="1:25">
      <c r="A40" s="145">
        <v>42</v>
      </c>
      <c r="B40" s="576" t="str">
        <f>+VLOOKUP($A40,Master!$D$30:$G$226,4,FALSE)</f>
        <v>Transferi za socijalnu zaštitu</v>
      </c>
      <c r="C40" s="577"/>
      <c r="D40" s="577"/>
      <c r="E40" s="577"/>
      <c r="F40" s="577"/>
      <c r="G40" s="174">
        <f>'2026'!S40</f>
        <v>851816577.49999988</v>
      </c>
      <c r="H40" s="174">
        <f>SUM('2026'!G116:O116)</f>
        <v>860854396.95000005</v>
      </c>
      <c r="I40" s="450">
        <f t="shared" si="0"/>
        <v>-9037819.4500001669</v>
      </c>
      <c r="J40" s="451">
        <f t="shared" si="1"/>
        <v>-1.0498662122213842E-2</v>
      </c>
      <c r="K40" s="174">
        <f>SUM('2025'!G40:O40)</f>
        <v>823789003.29000008</v>
      </c>
      <c r="L40" s="450">
        <f t="shared" si="7"/>
        <v>28027574.2099998</v>
      </c>
      <c r="M40" s="452">
        <f t="shared" si="2"/>
        <v>3.4022758373885686E-2</v>
      </c>
      <c r="N40" s="174">
        <f>'2026'!O40</f>
        <v>92633365.110000014</v>
      </c>
      <c r="O40" s="174">
        <f>'2026'!O116</f>
        <v>95268061.5</v>
      </c>
      <c r="P40" s="450">
        <f t="shared" si="6"/>
        <v>-2634696.3899999857</v>
      </c>
      <c r="Q40" s="451">
        <f t="shared" si="3"/>
        <v>-2.7655610374731743E-2</v>
      </c>
      <c r="R40" s="174">
        <f>'2025'!O40</f>
        <v>93154567.469999999</v>
      </c>
      <c r="S40" s="450">
        <f t="shared" si="4"/>
        <v>-521202.3599999845</v>
      </c>
      <c r="T40" s="452">
        <f t="shared" si="5"/>
        <v>-5.5950274275905487E-3</v>
      </c>
      <c r="W40" s="432"/>
      <c r="Y40" s="432"/>
    </row>
    <row r="41" spans="1:25">
      <c r="A41" s="145">
        <v>421</v>
      </c>
      <c r="B41" s="562" t="str">
        <f>+VLOOKUP($A41,Master!$D$30:$G$226,4,FALSE)</f>
        <v>Prava iz oblasti socijalne zaštite</v>
      </c>
      <c r="C41" s="563"/>
      <c r="D41" s="563"/>
      <c r="E41" s="563"/>
      <c r="F41" s="563"/>
      <c r="G41" s="153">
        <f>'2026'!S41</f>
        <v>183102310.34000003</v>
      </c>
      <c r="H41" s="153">
        <f>SUM('2026'!G117:O117)</f>
        <v>184965656.73999998</v>
      </c>
      <c r="I41" s="437">
        <f t="shared" si="0"/>
        <v>-1863346.3999999464</v>
      </c>
      <c r="J41" s="438">
        <f t="shared" si="1"/>
        <v>-1.0074012834821455E-2</v>
      </c>
      <c r="K41" s="153">
        <f>SUM('2025'!G41:O41)</f>
        <v>183931223.40000004</v>
      </c>
      <c r="L41" s="437">
        <f t="shared" si="7"/>
        <v>-828913.06000000238</v>
      </c>
      <c r="M41" s="439">
        <f t="shared" si="2"/>
        <v>-4.5066468035029894E-3</v>
      </c>
      <c r="N41" s="153">
        <f>'2026'!O41</f>
        <v>18820911.859999999</v>
      </c>
      <c r="O41" s="153">
        <f>'2026'!O117</f>
        <v>19601806.600000001</v>
      </c>
      <c r="P41" s="437">
        <f t="shared" si="6"/>
        <v>-780894.74000000209</v>
      </c>
      <c r="Q41" s="438">
        <f t="shared" si="3"/>
        <v>-3.9837896370225501E-2</v>
      </c>
      <c r="R41" s="153">
        <f>'2025'!O41</f>
        <v>19728465.5</v>
      </c>
      <c r="S41" s="437">
        <f t="shared" si="4"/>
        <v>-907553.6400000006</v>
      </c>
      <c r="T41" s="439">
        <f t="shared" si="5"/>
        <v>-4.6002241786113562E-2</v>
      </c>
      <c r="W41" s="432"/>
      <c r="Y41" s="432"/>
    </row>
    <row r="42" spans="1:25">
      <c r="A42" s="145">
        <v>422</v>
      </c>
      <c r="B42" s="562" t="str">
        <f>+VLOOKUP($A42,Master!$D$30:$G$226,4,FALSE)</f>
        <v>Sredstva za tehnološke viškove</v>
      </c>
      <c r="C42" s="563"/>
      <c r="D42" s="563"/>
      <c r="E42" s="563"/>
      <c r="F42" s="563"/>
      <c r="G42" s="153">
        <f>'2026'!S42</f>
        <v>15575855.049999999</v>
      </c>
      <c r="H42" s="153">
        <f>SUM('2026'!G118:O118)</f>
        <v>18759977.300000001</v>
      </c>
      <c r="I42" s="437">
        <f t="shared" si="0"/>
        <v>-3184122.2500000019</v>
      </c>
      <c r="J42" s="438">
        <f t="shared" si="1"/>
        <v>-0.16972953639981225</v>
      </c>
      <c r="K42" s="153">
        <f>SUM('2025'!G42:O42)</f>
        <v>16904948.900000002</v>
      </c>
      <c r="L42" s="437">
        <f t="shared" si="7"/>
        <v>-1329093.8500000034</v>
      </c>
      <c r="M42" s="439">
        <f t="shared" si="2"/>
        <v>-7.8621583410997675E-2</v>
      </c>
      <c r="N42" s="153">
        <f>'2026'!O42</f>
        <v>1867162.9600000002</v>
      </c>
      <c r="O42" s="153">
        <f>'2026'!O118</f>
        <v>2036528.08</v>
      </c>
      <c r="P42" s="437">
        <f t="shared" si="6"/>
        <v>-169365.11999999988</v>
      </c>
      <c r="Q42" s="438">
        <f t="shared" si="3"/>
        <v>-8.3163655666363301E-2</v>
      </c>
      <c r="R42" s="153">
        <f>'2025'!O42</f>
        <v>2096311.3499999999</v>
      </c>
      <c r="S42" s="437">
        <f t="shared" si="4"/>
        <v>-229148.38999999966</v>
      </c>
      <c r="T42" s="439">
        <f t="shared" si="5"/>
        <v>-0.10931028446704716</v>
      </c>
      <c r="W42" s="432"/>
      <c r="Y42" s="432"/>
    </row>
    <row r="43" spans="1:25">
      <c r="A43" s="145">
        <v>423</v>
      </c>
      <c r="B43" s="562" t="str">
        <f>+VLOOKUP($A43,Master!$D$30:$G$226,4,FALSE)</f>
        <v>Prava iz oblasti penzijskog i invalidskog osiguranja</v>
      </c>
      <c r="C43" s="563"/>
      <c r="D43" s="563"/>
      <c r="E43" s="563"/>
      <c r="F43" s="563"/>
      <c r="G43" s="153">
        <f>'2026'!S43</f>
        <v>618191531.58999991</v>
      </c>
      <c r="H43" s="153">
        <f>SUM('2026'!G119:O119)</f>
        <v>624280559.30999994</v>
      </c>
      <c r="I43" s="437">
        <f t="shared" si="0"/>
        <v>-6089027.7200000286</v>
      </c>
      <c r="J43" s="438">
        <f t="shared" si="1"/>
        <v>-9.7536718534533273E-3</v>
      </c>
      <c r="K43" s="153">
        <f>SUM('2025'!G43:O43)</f>
        <v>593004810.87000012</v>
      </c>
      <c r="L43" s="437">
        <f t="shared" si="7"/>
        <v>25186720.71999979</v>
      </c>
      <c r="M43" s="439">
        <f t="shared" si="2"/>
        <v>4.2473046184984931E-2</v>
      </c>
      <c r="N43" s="153">
        <f>'2026'!O43</f>
        <v>69126829.299999997</v>
      </c>
      <c r="O43" s="153">
        <f>'2026'!O119</f>
        <v>70260550.239999995</v>
      </c>
      <c r="P43" s="437">
        <f t="shared" si="6"/>
        <v>-1133720.9399999976</v>
      </c>
      <c r="Q43" s="438">
        <f t="shared" si="3"/>
        <v>-1.6135953050856688E-2</v>
      </c>
      <c r="R43" s="153">
        <f>'2025'!O43</f>
        <v>67160706.24000001</v>
      </c>
      <c r="S43" s="437">
        <f t="shared" si="4"/>
        <v>1966123.0599999875</v>
      </c>
      <c r="T43" s="439">
        <f t="shared" si="5"/>
        <v>2.9274901502286399E-2</v>
      </c>
      <c r="W43" s="432"/>
      <c r="Y43" s="432"/>
    </row>
    <row r="44" spans="1:25">
      <c r="A44" s="145">
        <v>424</v>
      </c>
      <c r="B44" s="562" t="str">
        <f>+VLOOKUP($A44,Master!$D$30:$G$226,4,FALSE)</f>
        <v>Ostala prava iz oblasti zdravstvene zaštite</v>
      </c>
      <c r="C44" s="563"/>
      <c r="D44" s="563"/>
      <c r="E44" s="563"/>
      <c r="F44" s="563"/>
      <c r="G44" s="153">
        <f>'2026'!S44</f>
        <v>22028319.819999997</v>
      </c>
      <c r="H44" s="153">
        <f>SUM('2026'!G120:O120)</f>
        <v>19689066.800000001</v>
      </c>
      <c r="I44" s="437">
        <f t="shared" si="0"/>
        <v>2339253.0199999958</v>
      </c>
      <c r="J44" s="438">
        <f t="shared" si="1"/>
        <v>0.118809745721417</v>
      </c>
      <c r="K44" s="153">
        <f>SUM('2025'!G44:O44)</f>
        <v>18046505.200000003</v>
      </c>
      <c r="L44" s="437">
        <f t="shared" si="7"/>
        <v>3981814.6199999936</v>
      </c>
      <c r="M44" s="439">
        <f t="shared" si="2"/>
        <v>0.22064186809975772</v>
      </c>
      <c r="N44" s="153">
        <f>'2026'!O44</f>
        <v>2070712.4500000002</v>
      </c>
      <c r="O44" s="153">
        <f>'2026'!O120</f>
        <v>1964311.09</v>
      </c>
      <c r="P44" s="437">
        <f t="shared" si="6"/>
        <v>106401.3600000001</v>
      </c>
      <c r="Q44" s="438">
        <f t="shared" si="3"/>
        <v>5.416726532862981E-2</v>
      </c>
      <c r="R44" s="153">
        <f>'2025'!O44</f>
        <v>2544955.6000000006</v>
      </c>
      <c r="S44" s="437">
        <f t="shared" si="4"/>
        <v>-474243.15000000037</v>
      </c>
      <c r="T44" s="439">
        <f t="shared" si="5"/>
        <v>-0.18634633547241464</v>
      </c>
      <c r="W44" s="432"/>
      <c r="Y44" s="432"/>
    </row>
    <row r="45" spans="1:25">
      <c r="A45" s="145">
        <v>425</v>
      </c>
      <c r="B45" s="562" t="str">
        <f>+VLOOKUP($A45,Master!$D$30:$G$226,4,FALSE)</f>
        <v>Ostala prava iz zdravstvenog osiguranja</v>
      </c>
      <c r="C45" s="563"/>
      <c r="D45" s="563"/>
      <c r="E45" s="563"/>
      <c r="F45" s="563"/>
      <c r="G45" s="153">
        <f>'2026'!S45</f>
        <v>12918560.699999999</v>
      </c>
      <c r="H45" s="153">
        <f>SUM('2026'!G121:O121)</f>
        <v>13159136.800000001</v>
      </c>
      <c r="I45" s="437">
        <f t="shared" si="0"/>
        <v>-240576.10000000149</v>
      </c>
      <c r="J45" s="438">
        <f t="shared" si="1"/>
        <v>-1.8282057832243348E-2</v>
      </c>
      <c r="K45" s="153">
        <f>SUM('2025'!G45:O45)</f>
        <v>11901514.920000002</v>
      </c>
      <c r="L45" s="437">
        <f t="shared" si="7"/>
        <v>1017045.7799999975</v>
      </c>
      <c r="M45" s="439">
        <f t="shared" si="2"/>
        <v>8.5455153132723893E-2</v>
      </c>
      <c r="N45" s="153">
        <f>'2026'!O45</f>
        <v>747748.54</v>
      </c>
      <c r="O45" s="153">
        <f>'2026'!O121</f>
        <v>1404865.49</v>
      </c>
      <c r="P45" s="437">
        <f t="shared" si="6"/>
        <v>-657116.94999999995</v>
      </c>
      <c r="Q45" s="438">
        <f t="shared" si="3"/>
        <v>-0.46774367701209596</v>
      </c>
      <c r="R45" s="153">
        <f>'2025'!O45</f>
        <v>1624128.7800000005</v>
      </c>
      <c r="S45" s="437">
        <f t="shared" si="4"/>
        <v>-876380.24000000046</v>
      </c>
      <c r="T45" s="439">
        <f t="shared" si="5"/>
        <v>-0.53960021569225569</v>
      </c>
      <c r="W45" s="432"/>
      <c r="Y45" s="432"/>
    </row>
    <row r="46" spans="1:25">
      <c r="A46" s="145">
        <v>43</v>
      </c>
      <c r="B46" s="580" t="str">
        <f>+VLOOKUP($A46,Master!$D$30:$G$226,4,FALSE)</f>
        <v>Transferi institucijama, pojedincima, nevladinom i javnom sektoru</v>
      </c>
      <c r="C46" s="581"/>
      <c r="D46" s="581"/>
      <c r="E46" s="581"/>
      <c r="F46" s="581"/>
      <c r="G46" s="159">
        <f>'2026'!S46</f>
        <v>360989433.75</v>
      </c>
      <c r="H46" s="159">
        <f>SUM('2026'!G122:O122)</f>
        <v>362697462.82000005</v>
      </c>
      <c r="I46" s="443">
        <f t="shared" si="0"/>
        <v>-1708029.0700000525</v>
      </c>
      <c r="J46" s="444">
        <f t="shared" si="1"/>
        <v>-4.7092390906735559E-3</v>
      </c>
      <c r="K46" s="159">
        <f>SUM('2025'!G46:O46)</f>
        <v>308716646.56999999</v>
      </c>
      <c r="L46" s="443">
        <f t="shared" si="7"/>
        <v>52272787.180000007</v>
      </c>
      <c r="M46" s="445">
        <f t="shared" si="2"/>
        <v>0.16932286535493768</v>
      </c>
      <c r="N46" s="159">
        <f>'2026'!O46</f>
        <v>38112693.939999998</v>
      </c>
      <c r="O46" s="159">
        <f>'2026'!O122</f>
        <v>40548918.93</v>
      </c>
      <c r="P46" s="443">
        <f t="shared" si="6"/>
        <v>-2436224.9900000021</v>
      </c>
      <c r="Q46" s="444">
        <f t="shared" si="3"/>
        <v>-6.008113296943085E-2</v>
      </c>
      <c r="R46" s="159">
        <f>'2025'!O46</f>
        <v>40423255.329999998</v>
      </c>
      <c r="S46" s="443">
        <f t="shared" si="4"/>
        <v>-2310561.3900000006</v>
      </c>
      <c r="T46" s="445">
        <f t="shared" si="5"/>
        <v>-5.7159211229710793E-2</v>
      </c>
      <c r="W46" s="432"/>
      <c r="Y46" s="432"/>
    </row>
    <row r="47" spans="1:25">
      <c r="A47" s="145">
        <v>44</v>
      </c>
      <c r="B47" s="580" t="str">
        <f>+VLOOKUP($A47,Master!$D$30:$G$226,4,FALSE)</f>
        <v>Kapitalni izdaci</v>
      </c>
      <c r="C47" s="581"/>
      <c r="D47" s="581"/>
      <c r="E47" s="581"/>
      <c r="F47" s="581"/>
      <c r="G47" s="159">
        <f>'2026'!S47</f>
        <v>278494724.47000003</v>
      </c>
      <c r="H47" s="159">
        <f>SUM('2026'!G123:O123)</f>
        <v>261301480.00999996</v>
      </c>
      <c r="I47" s="443">
        <f t="shared" si="0"/>
        <v>17193244.460000068</v>
      </c>
      <c r="J47" s="444">
        <f t="shared" si="1"/>
        <v>6.5798496278482999E-2</v>
      </c>
      <c r="K47" s="159">
        <f>SUM('2025'!G47:O47)</f>
        <v>187723323.31999999</v>
      </c>
      <c r="L47" s="443">
        <f t="shared" si="7"/>
        <v>90771401.150000036</v>
      </c>
      <c r="M47" s="445">
        <f t="shared" si="2"/>
        <v>0.48353821754619064</v>
      </c>
      <c r="N47" s="159">
        <f>'2026'!O47</f>
        <v>45878755.850000009</v>
      </c>
      <c r="O47" s="159">
        <f>'2026'!O123</f>
        <v>28685724.789999999</v>
      </c>
      <c r="P47" s="443">
        <f t="shared" si="6"/>
        <v>17193031.06000001</v>
      </c>
      <c r="Q47" s="444">
        <f t="shared" si="3"/>
        <v>0.5993584330138173</v>
      </c>
      <c r="R47" s="159">
        <f>'2025'!O47</f>
        <v>32840220.689999998</v>
      </c>
      <c r="S47" s="443">
        <f t="shared" si="4"/>
        <v>13038535.160000011</v>
      </c>
      <c r="T47" s="445">
        <f t="shared" si="5"/>
        <v>0.39702946222801438</v>
      </c>
      <c r="W47" s="432"/>
      <c r="Y47" s="432"/>
    </row>
    <row r="48" spans="1:25" hidden="1">
      <c r="A48" s="145">
        <v>451</v>
      </c>
      <c r="B48" s="582" t="str">
        <f>+VLOOKUP($A48,Master!$D$30:$G$226,4,FALSE)</f>
        <v>Pozajmice i krediti</v>
      </c>
      <c r="C48" s="583"/>
      <c r="D48" s="583"/>
      <c r="E48" s="583"/>
      <c r="F48" s="583"/>
      <c r="G48" s="153">
        <f>'2026'!S48</f>
        <v>0</v>
      </c>
      <c r="H48" s="153">
        <f>SUM('2026'!G124:O124)</f>
        <v>0</v>
      </c>
      <c r="I48" s="437">
        <f>G48-H48</f>
        <v>0</v>
      </c>
      <c r="J48" s="453" t="str">
        <f t="shared" si="1"/>
        <v>...</v>
      </c>
      <c r="K48" s="153">
        <f>SUM('2025'!G48:O48)</f>
        <v>0</v>
      </c>
      <c r="L48" s="454">
        <f t="shared" si="7"/>
        <v>0</v>
      </c>
      <c r="M48" s="455" t="str">
        <f t="shared" si="2"/>
        <v>...</v>
      </c>
      <c r="N48" s="153">
        <f>'2026'!O48</f>
        <v>0</v>
      </c>
      <c r="O48" s="153">
        <f>'2026'!O124</f>
        <v>0</v>
      </c>
      <c r="P48" s="437">
        <f t="shared" si="6"/>
        <v>0</v>
      </c>
      <c r="Q48" s="453" t="str">
        <f t="shared" si="3"/>
        <v>...</v>
      </c>
      <c r="R48" s="153">
        <f>'2025'!O48</f>
        <v>0</v>
      </c>
      <c r="S48" s="454">
        <f>+N48-R48-S58</f>
        <v>0</v>
      </c>
      <c r="T48" s="456" t="str">
        <f t="shared" si="5"/>
        <v>...</v>
      </c>
      <c r="W48" s="432"/>
      <c r="Y48" s="432"/>
    </row>
    <row r="49" spans="1:25">
      <c r="A49" s="145">
        <v>47</v>
      </c>
      <c r="B49" s="582" t="str">
        <f>+VLOOKUP($A49,Master!$D$30:$G$226,4,FALSE)</f>
        <v>Rezerve</v>
      </c>
      <c r="C49" s="583"/>
      <c r="D49" s="583"/>
      <c r="E49" s="583"/>
      <c r="F49" s="583"/>
      <c r="G49" s="153">
        <f>'2026'!S49</f>
        <v>976601.95</v>
      </c>
      <c r="H49" s="153">
        <f>SUM('2026'!G125:O125)</f>
        <v>23102123.249999996</v>
      </c>
      <c r="I49" s="437">
        <f t="shared" ref="I49:I52" si="8">G49-H49</f>
        <v>-22125521.299999997</v>
      </c>
      <c r="J49" s="457">
        <f t="shared" si="1"/>
        <v>-0.957726744878309</v>
      </c>
      <c r="K49" s="153">
        <f>SUM('2025'!G49:O49)</f>
        <v>4671079.91</v>
      </c>
      <c r="L49" s="458">
        <f t="shared" si="7"/>
        <v>-3694477.96</v>
      </c>
      <c r="M49" s="459">
        <f t="shared" si="2"/>
        <v>-0.79092587392708513</v>
      </c>
      <c r="N49" s="153">
        <f>'2026'!O49</f>
        <v>4100</v>
      </c>
      <c r="O49" s="153">
        <f>'2026'!O125</f>
        <v>229771.06</v>
      </c>
      <c r="P49" s="437">
        <f t="shared" si="6"/>
        <v>-225671.06</v>
      </c>
      <c r="Q49" s="457">
        <f t="shared" si="3"/>
        <v>-0.98215615143177737</v>
      </c>
      <c r="R49" s="153">
        <f>'2025'!O49</f>
        <v>53111.65</v>
      </c>
      <c r="S49" s="458">
        <f t="shared" si="4"/>
        <v>-49011.65</v>
      </c>
      <c r="T49" s="459">
        <f t="shared" si="5"/>
        <v>-0.92280413054386368</v>
      </c>
      <c r="W49" s="432"/>
      <c r="Y49" s="432"/>
    </row>
    <row r="50" spans="1:25" ht="15.75" thickBot="1">
      <c r="A50" s="145">
        <v>462</v>
      </c>
      <c r="B50" s="578" t="str">
        <f>+VLOOKUP($A50,Master!$D$30:$G$226,4,FALSE)</f>
        <v>Otplata garancija</v>
      </c>
      <c r="C50" s="579"/>
      <c r="D50" s="579"/>
      <c r="E50" s="579"/>
      <c r="F50" s="579"/>
      <c r="G50" s="153">
        <f>'2026'!S50</f>
        <v>1533780.91</v>
      </c>
      <c r="H50" s="153">
        <f>SUM('2026'!G126:O126)</f>
        <v>1.44</v>
      </c>
      <c r="I50" s="437">
        <f t="shared" si="8"/>
        <v>1533779.47</v>
      </c>
      <c r="J50" s="460" t="str">
        <f t="shared" si="1"/>
        <v>...</v>
      </c>
      <c r="K50" s="153">
        <f>SUM('2025'!G50:O50)</f>
        <v>4062322.96</v>
      </c>
      <c r="L50" s="458">
        <f t="shared" si="7"/>
        <v>-2528542.0499999998</v>
      </c>
      <c r="M50" s="461">
        <f t="shared" si="2"/>
        <v>-0.62243747601987809</v>
      </c>
      <c r="N50" s="153">
        <f>'2026'!O50</f>
        <v>0</v>
      </c>
      <c r="O50" s="153">
        <f>'2026'!O126</f>
        <v>0.16</v>
      </c>
      <c r="P50" s="437">
        <f t="shared" si="6"/>
        <v>-0.16</v>
      </c>
      <c r="Q50" s="460">
        <f t="shared" si="3"/>
        <v>-1</v>
      </c>
      <c r="R50" s="153">
        <f>'2025'!O50</f>
        <v>0</v>
      </c>
      <c r="S50" s="458">
        <f t="shared" si="4"/>
        <v>0</v>
      </c>
      <c r="T50" s="461" t="str">
        <f t="shared" si="5"/>
        <v>...</v>
      </c>
      <c r="W50" s="432"/>
      <c r="Y50" s="432"/>
    </row>
    <row r="51" spans="1:25" ht="15" customHeight="1" thickBot="1">
      <c r="A51" s="136">
        <v>4630</v>
      </c>
      <c r="B51" s="578" t="str">
        <f>+VLOOKUP($A51,Master!$D$30:$G$226,4,FALSE)</f>
        <v>Otplata obaveza iz prethodnog perioda</v>
      </c>
      <c r="C51" s="579"/>
      <c r="D51" s="579"/>
      <c r="E51" s="579"/>
      <c r="F51" s="579"/>
      <c r="G51" s="462">
        <f>'2026'!S51</f>
        <v>21698943.219999999</v>
      </c>
      <c r="H51" s="462">
        <f>SUM('2026'!G127:O127)</f>
        <v>4533264.7300000126</v>
      </c>
      <c r="I51" s="463">
        <f t="shared" si="8"/>
        <v>17165678.489999987</v>
      </c>
      <c r="J51" s="464" t="str">
        <f t="shared" si="1"/>
        <v>...</v>
      </c>
      <c r="K51" s="462">
        <f>SUM('2025'!G51:O51)</f>
        <v>20919937.09</v>
      </c>
      <c r="L51" s="465">
        <f t="shared" si="7"/>
        <v>779006.12999999896</v>
      </c>
      <c r="M51" s="466">
        <f t="shared" si="2"/>
        <v>3.7237498690776416E-2</v>
      </c>
      <c r="N51" s="462">
        <f>'2026'!O51</f>
        <v>1125217.2999999996</v>
      </c>
      <c r="O51" s="462">
        <f>'2026'!O127</f>
        <v>1234560.1399999999</v>
      </c>
      <c r="P51" s="463">
        <f>N51-O51</f>
        <v>-109342.84000000032</v>
      </c>
      <c r="Q51" s="464">
        <f t="shared" si="3"/>
        <v>-8.8568257193205935E-2</v>
      </c>
      <c r="R51" s="462">
        <f>'2025'!O51</f>
        <v>6379172.5600000015</v>
      </c>
      <c r="S51" s="465">
        <f t="shared" si="4"/>
        <v>-5253955.2600000016</v>
      </c>
      <c r="T51" s="466">
        <f t="shared" si="5"/>
        <v>-0.82361077562698837</v>
      </c>
      <c r="W51" s="432"/>
      <c r="Y51" s="432"/>
    </row>
    <row r="52" spans="1:25" ht="15.75" thickBot="1">
      <c r="A52" s="136">
        <v>1005</v>
      </c>
      <c r="B52" s="578" t="str">
        <f>+VLOOKUP($A52,Master!$D$30:$G$228,4,FALSE)</f>
        <v>Neto povećanje obaveza</v>
      </c>
      <c r="C52" s="579"/>
      <c r="D52" s="579"/>
      <c r="E52" s="579"/>
      <c r="F52" s="579"/>
      <c r="G52" s="153">
        <f>'2026'!S52</f>
        <v>0</v>
      </c>
      <c r="H52" s="153">
        <f>SUM('2026'!G128:O128)</f>
        <v>0</v>
      </c>
      <c r="I52" s="463">
        <f t="shared" si="8"/>
        <v>0</v>
      </c>
      <c r="J52" s="464" t="str">
        <f t="shared" si="1"/>
        <v>...</v>
      </c>
      <c r="K52" s="153">
        <f>SUM('2025'!G52:O52)</f>
        <v>0</v>
      </c>
      <c r="L52" s="465">
        <f t="shared" si="7"/>
        <v>0</v>
      </c>
      <c r="M52" s="466" t="str">
        <f t="shared" si="2"/>
        <v>...</v>
      </c>
      <c r="N52" s="153">
        <f>'2026'!O52</f>
        <v>0</v>
      </c>
      <c r="O52" s="153">
        <f>'2026'!O128</f>
        <v>0</v>
      </c>
      <c r="P52" s="463">
        <f>N52-O52</f>
        <v>0</v>
      </c>
      <c r="Q52" s="464" t="str">
        <f t="shared" si="3"/>
        <v>...</v>
      </c>
      <c r="R52" s="153">
        <f>'2025'!O52</f>
        <v>0</v>
      </c>
      <c r="S52" s="465">
        <f t="shared" si="4"/>
        <v>0</v>
      </c>
      <c r="T52" s="466" t="str">
        <f t="shared" si="5"/>
        <v>...</v>
      </c>
      <c r="W52" s="432"/>
      <c r="Y52" s="432"/>
    </row>
    <row r="53" spans="1:25" ht="15.75" thickBot="1">
      <c r="A53" s="136">
        <v>1000</v>
      </c>
      <c r="B53" s="596" t="str">
        <f>+VLOOKUP($A53,Master!$D$30:$G$226,4,FALSE)</f>
        <v>Suficit / deficit</v>
      </c>
      <c r="C53" s="597"/>
      <c r="D53" s="597"/>
      <c r="E53" s="597"/>
      <c r="F53" s="597"/>
      <c r="G53" s="146">
        <f>'2026'!S53</f>
        <v>-124209306.69000009</v>
      </c>
      <c r="H53" s="146">
        <f>SUM('2026'!G129:O129)</f>
        <v>-181153091.74303383</v>
      </c>
      <c r="I53" s="467">
        <f>+G53-H53</f>
        <v>56943785.053033739</v>
      </c>
      <c r="J53" s="468">
        <f t="shared" si="1"/>
        <v>-0.31434067453736125</v>
      </c>
      <c r="K53" s="146">
        <f>SUM('2025'!G53:O53)</f>
        <v>-84743099.690000236</v>
      </c>
      <c r="L53" s="469">
        <f t="shared" si="7"/>
        <v>-39466206.999999851</v>
      </c>
      <c r="M53" s="470">
        <f t="shared" si="2"/>
        <v>0.46571587709644402</v>
      </c>
      <c r="N53" s="146">
        <f>'2026'!O53</f>
        <v>22030061.220000029</v>
      </c>
      <c r="O53" s="146">
        <f>'2026'!O129</f>
        <v>10327854.7086519</v>
      </c>
      <c r="P53" s="467">
        <f>N53-O53</f>
        <v>11702206.511348128</v>
      </c>
      <c r="Q53" s="468">
        <f t="shared" si="3"/>
        <v>1.1330723409136363</v>
      </c>
      <c r="R53" s="146">
        <f>'2025'!O53</f>
        <v>-14490745.960000098</v>
      </c>
      <c r="S53" s="469">
        <f t="shared" si="4"/>
        <v>36520807.180000126</v>
      </c>
      <c r="T53" s="470">
        <f t="shared" si="5"/>
        <v>-2.5202848273519716</v>
      </c>
      <c r="W53" s="432"/>
      <c r="Y53" s="432"/>
    </row>
    <row r="54" spans="1:25" ht="15.75" thickBot="1">
      <c r="A54" s="136">
        <v>1001</v>
      </c>
      <c r="B54" s="598" t="str">
        <f>+VLOOKUP($A54,Master!$D$30:$G$226,4,FALSE)</f>
        <v>Primarni suficit/deficit</v>
      </c>
      <c r="C54" s="599"/>
      <c r="D54" s="599"/>
      <c r="E54" s="599"/>
      <c r="F54" s="599"/>
      <c r="G54" s="146">
        <f>'2026'!S54</f>
        <v>3805188.6699998975</v>
      </c>
      <c r="H54" s="146">
        <f>SUM('2026'!G130:O130)</f>
        <v>-47910032.313033782</v>
      </c>
      <c r="I54" s="471">
        <f t="shared" si="0"/>
        <v>51715220.983033679</v>
      </c>
      <c r="J54" s="472">
        <f t="shared" si="1"/>
        <v>-1.0794236297971502</v>
      </c>
      <c r="K54" s="146">
        <f>SUM('2025'!G54:O54)</f>
        <v>26791454.679999776</v>
      </c>
      <c r="L54" s="471">
        <f t="shared" si="7"/>
        <v>-22986266.009999879</v>
      </c>
      <c r="M54" s="473">
        <f t="shared" si="2"/>
        <v>-0.85797006114638008</v>
      </c>
      <c r="N54" s="146">
        <f>'2026'!O54</f>
        <v>43415657.75000003</v>
      </c>
      <c r="O54" s="146">
        <f>'2026'!O130</f>
        <v>31995568.778651901</v>
      </c>
      <c r="P54" s="471">
        <f t="shared" si="6"/>
        <v>11420088.971348129</v>
      </c>
      <c r="Q54" s="472">
        <f t="shared" si="3"/>
        <v>0.35692720608760808</v>
      </c>
      <c r="R54" s="146">
        <f>'2025'!O54</f>
        <v>8780867.4999999069</v>
      </c>
      <c r="S54" s="471">
        <f t="shared" si="4"/>
        <v>34634790.250000119</v>
      </c>
      <c r="T54" s="473" t="str">
        <f t="shared" si="5"/>
        <v>...</v>
      </c>
      <c r="W54" s="432"/>
      <c r="Y54" s="432"/>
    </row>
    <row r="55" spans="1:25">
      <c r="A55" s="136">
        <v>46</v>
      </c>
      <c r="B55" s="612" t="str">
        <f>+VLOOKUP($A55,Master!$D$30:$G$226,4,FALSE)</f>
        <v>Otplata dugova</v>
      </c>
      <c r="C55" s="613"/>
      <c r="D55" s="613"/>
      <c r="E55" s="613"/>
      <c r="F55" s="613"/>
      <c r="G55" s="474">
        <f>'2026'!S55</f>
        <v>285281476.14000005</v>
      </c>
      <c r="H55" s="474">
        <f>SUM('2026'!G131:O131)</f>
        <v>276975298.94</v>
      </c>
      <c r="I55" s="475">
        <f t="shared" si="0"/>
        <v>8306177.2000000477</v>
      </c>
      <c r="J55" s="476">
        <f t="shared" si="1"/>
        <v>2.9988873490842893E-2</v>
      </c>
      <c r="K55" s="474">
        <f>SUM('2025'!G55:O55)</f>
        <v>741779493.32000017</v>
      </c>
      <c r="L55" s="475">
        <f t="shared" si="7"/>
        <v>-456498017.18000013</v>
      </c>
      <c r="M55" s="477">
        <f t="shared" si="2"/>
        <v>-0.61540932486127531</v>
      </c>
      <c r="N55" s="474">
        <f>'2026'!O55</f>
        <v>6016896.1199999992</v>
      </c>
      <c r="O55" s="474">
        <f>'2026'!O131</f>
        <v>10991740.380000001</v>
      </c>
      <c r="P55" s="475">
        <f t="shared" si="6"/>
        <v>-4974844.2600000016</v>
      </c>
      <c r="Q55" s="476">
        <f t="shared" si="3"/>
        <v>-0.45259841371908394</v>
      </c>
      <c r="R55" s="474">
        <f>'2025'!O55</f>
        <v>26105146.839999996</v>
      </c>
      <c r="S55" s="475">
        <f t="shared" si="4"/>
        <v>-20088250.719999999</v>
      </c>
      <c r="T55" s="477">
        <f t="shared" si="5"/>
        <v>-0.76951303293262763</v>
      </c>
      <c r="W55" s="432"/>
      <c r="Y55" s="432"/>
    </row>
    <row r="56" spans="1:25">
      <c r="A56" s="136">
        <v>4611</v>
      </c>
      <c r="B56" s="582" t="str">
        <f>+VLOOKUP($A56,Master!$D$30:$G$226,4,FALSE)</f>
        <v>Otplata hartija od vrijednosti i kredita rezidentima</v>
      </c>
      <c r="C56" s="583"/>
      <c r="D56" s="583"/>
      <c r="E56" s="583"/>
      <c r="F56" s="583"/>
      <c r="G56" s="153">
        <f>'2026'!S56</f>
        <v>82226437.300000012</v>
      </c>
      <c r="H56" s="153">
        <f>SUM('2026'!G132:O132)</f>
        <v>82531581.739999995</v>
      </c>
      <c r="I56" s="478">
        <f t="shared" si="0"/>
        <v>-305144.43999998271</v>
      </c>
      <c r="J56" s="479">
        <f t="shared" si="1"/>
        <v>-3.6973051232833676E-3</v>
      </c>
      <c r="K56" s="153">
        <f>SUM('2025'!G56:O56)</f>
        <v>36423514.030000001</v>
      </c>
      <c r="L56" s="478">
        <f t="shared" si="7"/>
        <v>45802923.270000011</v>
      </c>
      <c r="M56" s="480">
        <f t="shared" si="2"/>
        <v>1.2575097293543593</v>
      </c>
      <c r="N56" s="153">
        <f>'2026'!O56</f>
        <v>4780681.76</v>
      </c>
      <c r="O56" s="153">
        <f>'2026'!O132</f>
        <v>5060550.79</v>
      </c>
      <c r="P56" s="478">
        <f t="shared" si="6"/>
        <v>-279869.03000000026</v>
      </c>
      <c r="Q56" s="479">
        <f t="shared" si="3"/>
        <v>-5.5304065034391336E-2</v>
      </c>
      <c r="R56" s="153">
        <f>'2025'!O56</f>
        <v>4555783.9000000004</v>
      </c>
      <c r="S56" s="478">
        <f t="shared" si="4"/>
        <v>224897.8599999994</v>
      </c>
      <c r="T56" s="480">
        <f t="shared" si="5"/>
        <v>4.936534851883545E-2</v>
      </c>
      <c r="W56" s="432"/>
      <c r="Y56" s="432"/>
    </row>
    <row r="57" spans="1:25">
      <c r="A57" s="136">
        <v>4612</v>
      </c>
      <c r="B57" s="582" t="str">
        <f>+VLOOKUP($A57,Master!$D$30:$G$226,4,FALSE)</f>
        <v>Otplata hartija od vrijednosti i kredita nerezidentima</v>
      </c>
      <c r="C57" s="583"/>
      <c r="D57" s="583"/>
      <c r="E57" s="583"/>
      <c r="F57" s="583"/>
      <c r="G57" s="153">
        <f>'2026'!S57</f>
        <v>203055038.84000003</v>
      </c>
      <c r="H57" s="153">
        <f>SUM('2026'!G133:O133)</f>
        <v>194443717.20000002</v>
      </c>
      <c r="I57" s="478">
        <f t="shared" si="0"/>
        <v>8611321.6400000155</v>
      </c>
      <c r="J57" s="479">
        <f t="shared" si="1"/>
        <v>4.4286962644016103E-2</v>
      </c>
      <c r="K57" s="153">
        <f>SUM('2025'!G57:O57)</f>
        <v>705355979.28999996</v>
      </c>
      <c r="L57" s="478">
        <f t="shared" si="7"/>
        <v>-502300940.44999993</v>
      </c>
      <c r="M57" s="480">
        <f t="shared" si="2"/>
        <v>-0.71212402701343513</v>
      </c>
      <c r="N57" s="153">
        <f>'2026'!O57</f>
        <v>1236214.3599999999</v>
      </c>
      <c r="O57" s="153">
        <f>'2026'!O133</f>
        <v>5931189.5899999999</v>
      </c>
      <c r="P57" s="478">
        <f t="shared" si="6"/>
        <v>-4694975.2300000004</v>
      </c>
      <c r="Q57" s="479">
        <f t="shared" si="3"/>
        <v>-0.79157395978637068</v>
      </c>
      <c r="R57" s="153">
        <f>'2025'!O57</f>
        <v>21549362.939999994</v>
      </c>
      <c r="S57" s="478">
        <f t="shared" si="4"/>
        <v>-20313148.579999994</v>
      </c>
      <c r="T57" s="480">
        <f t="shared" si="5"/>
        <v>-0.94263336863173175</v>
      </c>
      <c r="W57" s="432"/>
      <c r="Y57" s="432"/>
    </row>
    <row r="58" spans="1:25" ht="15.75" thickBot="1">
      <c r="A58" s="136">
        <v>4418</v>
      </c>
      <c r="B58" s="576" t="str">
        <f>+VLOOKUP($A58,Master!$D$30:$G$226,4,FALSE)</f>
        <v>Izdaci za kupovinu hartija od vrijednosti</v>
      </c>
      <c r="C58" s="577"/>
      <c r="D58" s="577"/>
      <c r="E58" s="577"/>
      <c r="F58" s="577"/>
      <c r="G58" s="481">
        <f>'2026'!S58</f>
        <v>15149177.699999999</v>
      </c>
      <c r="H58" s="481">
        <f>SUM('2026'!G134:O134)</f>
        <v>34179003.439999998</v>
      </c>
      <c r="I58" s="482">
        <f t="shared" ref="I58:I66" si="9">+G58-H58</f>
        <v>-19029825.739999998</v>
      </c>
      <c r="J58" s="483">
        <f t="shared" si="1"/>
        <v>-0.55676947320615033</v>
      </c>
      <c r="K58" s="481">
        <f>SUM('2025'!G58:O58)</f>
        <v>1485557.54</v>
      </c>
      <c r="L58" s="482">
        <f t="shared" ref="L58:L66" si="10">+G58-K58</f>
        <v>13663620.16</v>
      </c>
      <c r="M58" s="484" t="str">
        <f t="shared" si="2"/>
        <v>...</v>
      </c>
      <c r="N58" s="481">
        <f>'2026'!O58</f>
        <v>0</v>
      </c>
      <c r="O58" s="481">
        <f>'2026'!O134</f>
        <v>0</v>
      </c>
      <c r="P58" s="482">
        <f t="shared" ref="P58:P66" si="11">+N58-O58</f>
        <v>0</v>
      </c>
      <c r="Q58" s="483" t="str">
        <f t="shared" si="3"/>
        <v>...</v>
      </c>
      <c r="R58" s="481">
        <f>'2025'!O58</f>
        <v>0</v>
      </c>
      <c r="S58" s="482">
        <f t="shared" ref="S58:S66" si="12">+N58-R58</f>
        <v>0</v>
      </c>
      <c r="T58" s="484" t="str">
        <f t="shared" si="5"/>
        <v>...</v>
      </c>
      <c r="W58" s="432"/>
      <c r="Y58" s="432"/>
    </row>
    <row r="59" spans="1:25" ht="15.75" thickBot="1">
      <c r="A59" s="136">
        <v>451</v>
      </c>
      <c r="B59" s="572" t="str">
        <f>+VLOOKUP($A59,Master!$D$30:$G$226,4,FALSE)</f>
        <v>Pozajmice i krediti</v>
      </c>
      <c r="C59" s="573"/>
      <c r="D59" s="573"/>
      <c r="E59" s="573"/>
      <c r="F59" s="573"/>
      <c r="G59" s="481">
        <f>'2026'!S59</f>
        <v>7537207.25</v>
      </c>
      <c r="H59" s="481">
        <f>SUM('2026'!G135:O135)</f>
        <v>6031660.8499999996</v>
      </c>
      <c r="I59" s="482">
        <f t="shared" si="9"/>
        <v>1505546.4000000004</v>
      </c>
      <c r="J59" s="483">
        <f t="shared" si="1"/>
        <v>0.24960727027614626</v>
      </c>
      <c r="K59" s="481">
        <f>SUM('2025'!G59:O59)</f>
        <v>6675916.6200000001</v>
      </c>
      <c r="L59" s="482">
        <f t="shared" si="10"/>
        <v>861290.62999999989</v>
      </c>
      <c r="M59" s="484">
        <f t="shared" si="2"/>
        <v>0.12901458766272</v>
      </c>
      <c r="N59" s="481">
        <f>'2026'!O59</f>
        <v>1040929.74</v>
      </c>
      <c r="O59" s="481">
        <f>'2026'!O135</f>
        <v>830950.94</v>
      </c>
      <c r="P59" s="482">
        <f t="shared" si="11"/>
        <v>209978.80000000005</v>
      </c>
      <c r="Q59" s="483">
        <f t="shared" si="3"/>
        <v>0.2526969883444623</v>
      </c>
      <c r="R59" s="481">
        <f>'2025'!O59</f>
        <v>1103772.82</v>
      </c>
      <c r="S59" s="482">
        <f t="shared" si="12"/>
        <v>-62843.080000000075</v>
      </c>
      <c r="T59" s="484">
        <f t="shared" si="5"/>
        <v>-5.6934795694643103E-2</v>
      </c>
      <c r="W59" s="432"/>
      <c r="Y59" s="432"/>
    </row>
    <row r="60" spans="1:25" ht="15.75" thickBot="1">
      <c r="A60" s="136">
        <v>1002</v>
      </c>
      <c r="B60" s="592" t="str">
        <f>+VLOOKUP($A60,Master!$D$30:$G$226,4,FALSE)</f>
        <v>Nedostajuća sredstva</v>
      </c>
      <c r="C60" s="593"/>
      <c r="D60" s="593"/>
      <c r="E60" s="593"/>
      <c r="F60" s="593"/>
      <c r="G60" s="485">
        <f>'2026'!S60</f>
        <v>-432177167.78000015</v>
      </c>
      <c r="H60" s="485">
        <f>SUM('2026'!G136:O136)</f>
        <v>-498339054.97303337</v>
      </c>
      <c r="I60" s="486">
        <f t="shared" si="9"/>
        <v>66161887.193033218</v>
      </c>
      <c r="J60" s="487">
        <f t="shared" si="1"/>
        <v>-0.13276480446954619</v>
      </c>
      <c r="K60" s="485">
        <f>SUM('2025'!G60:O60)</f>
        <v>-834684067.17000043</v>
      </c>
      <c r="L60" s="486">
        <f t="shared" si="10"/>
        <v>402506899.39000028</v>
      </c>
      <c r="M60" s="488">
        <f t="shared" si="2"/>
        <v>-0.48222664744841903</v>
      </c>
      <c r="N60" s="485">
        <f>'2026'!O60</f>
        <v>14972235.360000029</v>
      </c>
      <c r="O60" s="485">
        <f>'2026'!O136</f>
        <v>-1494836.6113481</v>
      </c>
      <c r="P60" s="486">
        <f t="shared" si="11"/>
        <v>16467071.971348129</v>
      </c>
      <c r="Q60" s="487">
        <f t="shared" si="3"/>
        <v>-11.015967796304844</v>
      </c>
      <c r="R60" s="485">
        <f>'2025'!O60</f>
        <v>-41699665.620000094</v>
      </c>
      <c r="S60" s="486">
        <f t="shared" si="12"/>
        <v>56671900.980000123</v>
      </c>
      <c r="T60" s="488">
        <f t="shared" si="5"/>
        <v>-1.359049290621146</v>
      </c>
      <c r="W60" s="432"/>
      <c r="Y60" s="432"/>
    </row>
    <row r="61" spans="1:25" ht="15.75" thickBot="1">
      <c r="A61" s="136">
        <v>1003</v>
      </c>
      <c r="B61" s="570" t="str">
        <f>+VLOOKUP($A61,Master!$D$30:$G$226,4,FALSE)</f>
        <v>Finansiranje</v>
      </c>
      <c r="C61" s="571"/>
      <c r="D61" s="571"/>
      <c r="E61" s="571"/>
      <c r="F61" s="571"/>
      <c r="G61" s="146">
        <f>'2026'!S61</f>
        <v>432177167.78000009</v>
      </c>
      <c r="H61" s="146">
        <f>SUM('2026'!G137:O137)</f>
        <v>498339054.97303337</v>
      </c>
      <c r="I61" s="467">
        <f t="shared" si="9"/>
        <v>-66161887.193033278</v>
      </c>
      <c r="J61" s="489">
        <f t="shared" si="1"/>
        <v>-0.1327648044695463</v>
      </c>
      <c r="K61" s="146">
        <f>SUM('2025'!G61:O61)</f>
        <v>834684067.17000043</v>
      </c>
      <c r="L61" s="467">
        <f t="shared" si="10"/>
        <v>-402506899.39000034</v>
      </c>
      <c r="M61" s="490">
        <f t="shared" si="2"/>
        <v>-0.48222664744841903</v>
      </c>
      <c r="N61" s="146">
        <f>'2026'!O61</f>
        <v>-14972235.360000027</v>
      </c>
      <c r="O61" s="146">
        <f>'2026'!O137</f>
        <v>1494836.6113481</v>
      </c>
      <c r="P61" s="486">
        <f t="shared" si="11"/>
        <v>-16467071.971348127</v>
      </c>
      <c r="Q61" s="489">
        <f t="shared" si="3"/>
        <v>-11.015967796304842</v>
      </c>
      <c r="R61" s="146">
        <f>'2025'!O61</f>
        <v>41699665.620000094</v>
      </c>
      <c r="S61" s="467">
        <f t="shared" si="12"/>
        <v>-56671900.980000123</v>
      </c>
      <c r="T61" s="490">
        <f t="shared" si="5"/>
        <v>-1.359049290621146</v>
      </c>
      <c r="W61" s="432"/>
      <c r="Y61" s="432"/>
    </row>
    <row r="62" spans="1:25">
      <c r="A62" s="136">
        <v>7511</v>
      </c>
      <c r="B62" s="594" t="str">
        <f>+VLOOKUP($A62,Master!$D$30:$G$226,4,FALSE)</f>
        <v>Pozajmice i krediti od domaćih izvora</v>
      </c>
      <c r="C62" s="595"/>
      <c r="D62" s="595"/>
      <c r="E62" s="595"/>
      <c r="F62" s="595"/>
      <c r="G62" s="153">
        <f>'2026'!S62</f>
        <v>13854700</v>
      </c>
      <c r="H62" s="153">
        <f>SUM('2026'!G138:O138)</f>
        <v>50000000</v>
      </c>
      <c r="I62" s="478">
        <f t="shared" si="9"/>
        <v>-36145300</v>
      </c>
      <c r="J62" s="479">
        <f t="shared" si="1"/>
        <v>-0.72290600000000005</v>
      </c>
      <c r="K62" s="153">
        <f>SUM('2025'!G62:O62)</f>
        <v>6127675</v>
      </c>
      <c r="L62" s="478">
        <f t="shared" si="10"/>
        <v>7727025</v>
      </c>
      <c r="M62" s="480">
        <f t="shared" si="2"/>
        <v>1.261004377679952</v>
      </c>
      <c r="N62" s="153">
        <f>'2026'!O62</f>
        <v>0</v>
      </c>
      <c r="O62" s="153">
        <f>'2026'!O138</f>
        <v>50000000</v>
      </c>
      <c r="P62" s="478">
        <f t="shared" si="11"/>
        <v>-50000000</v>
      </c>
      <c r="Q62" s="479">
        <f t="shared" si="3"/>
        <v>-1</v>
      </c>
      <c r="R62" s="153">
        <f>'2025'!O62</f>
        <v>0</v>
      </c>
      <c r="S62" s="478">
        <f t="shared" si="12"/>
        <v>0</v>
      </c>
      <c r="T62" s="480" t="str">
        <f t="shared" si="5"/>
        <v>...</v>
      </c>
      <c r="W62" s="432"/>
      <c r="Y62" s="432"/>
    </row>
    <row r="63" spans="1:25">
      <c r="A63" s="136">
        <v>7512</v>
      </c>
      <c r="B63" s="582" t="str">
        <f>+VLOOKUP($A63,Master!$D$30:$G$226,4,FALSE)</f>
        <v>Pozajmice i krediti od inostranih izvora</v>
      </c>
      <c r="C63" s="583"/>
      <c r="D63" s="583"/>
      <c r="E63" s="583"/>
      <c r="F63" s="583"/>
      <c r="G63" s="153">
        <f>'2026'!S63</f>
        <v>136841636.34</v>
      </c>
      <c r="H63" s="153">
        <f>SUM('2026'!G139:O139)</f>
        <v>388318968.70999998</v>
      </c>
      <c r="I63" s="478">
        <f t="shared" si="9"/>
        <v>-251477332.36999997</v>
      </c>
      <c r="J63" s="479">
        <f t="shared" si="1"/>
        <v>-0.6476050685996888</v>
      </c>
      <c r="K63" s="153">
        <f>SUM('2025'!G63:O63)</f>
        <v>942091540.60000002</v>
      </c>
      <c r="L63" s="478">
        <f t="shared" si="10"/>
        <v>-805249904.25999999</v>
      </c>
      <c r="M63" s="480">
        <f t="shared" si="2"/>
        <v>-0.85474698535893001</v>
      </c>
      <c r="N63" s="153">
        <f>'2026'!O63</f>
        <v>5364999.82</v>
      </c>
      <c r="O63" s="153">
        <f>'2026'!O139</f>
        <v>0</v>
      </c>
      <c r="P63" s="478">
        <f t="shared" si="11"/>
        <v>5364999.82</v>
      </c>
      <c r="Q63" s="479" t="str">
        <f t="shared" si="3"/>
        <v>...</v>
      </c>
      <c r="R63" s="153">
        <f>'2025'!O63</f>
        <v>11385734.539999999</v>
      </c>
      <c r="S63" s="478">
        <f t="shared" si="12"/>
        <v>-6020734.7199999988</v>
      </c>
      <c r="T63" s="480">
        <f t="shared" si="5"/>
        <v>-0.52879633710483465</v>
      </c>
      <c r="W63" s="432"/>
      <c r="Y63" s="432"/>
    </row>
    <row r="64" spans="1:25">
      <c r="A64" s="136">
        <v>72</v>
      </c>
      <c r="B64" s="582" t="str">
        <f>+VLOOKUP($A64,Master!$D$30:$G$226,4,FALSE)</f>
        <v>Primici od prodaje imovine</v>
      </c>
      <c r="C64" s="583"/>
      <c r="D64" s="583"/>
      <c r="E64" s="583"/>
      <c r="F64" s="583"/>
      <c r="G64" s="153">
        <f>'2026'!S64</f>
        <v>945189.11</v>
      </c>
      <c r="H64" s="153">
        <f>SUM('2026'!G140:O140)</f>
        <v>4500000</v>
      </c>
      <c r="I64" s="478">
        <f t="shared" si="9"/>
        <v>-3554810.89</v>
      </c>
      <c r="J64" s="479">
        <f t="shared" si="1"/>
        <v>-0.78995797555555558</v>
      </c>
      <c r="K64" s="153">
        <f>SUM('2025'!G64:O64)</f>
        <v>1406114.85</v>
      </c>
      <c r="L64" s="478">
        <f t="shared" si="10"/>
        <v>-460925.74000000011</v>
      </c>
      <c r="M64" s="480">
        <f t="shared" si="2"/>
        <v>-0.32780091896476315</v>
      </c>
      <c r="N64" s="153">
        <f>'2026'!O64</f>
        <v>21227.87</v>
      </c>
      <c r="O64" s="153">
        <f>'2026'!O140</f>
        <v>500000</v>
      </c>
      <c r="P64" s="478">
        <f t="shared" si="11"/>
        <v>-478772.13</v>
      </c>
      <c r="Q64" s="479">
        <f t="shared" si="3"/>
        <v>-0.95754426000000004</v>
      </c>
      <c r="R64" s="153">
        <f>'2025'!O64</f>
        <v>103884.06</v>
      </c>
      <c r="S64" s="478">
        <f t="shared" si="12"/>
        <v>-82656.19</v>
      </c>
      <c r="T64" s="480">
        <f t="shared" si="5"/>
        <v>-0.79565806342185708</v>
      </c>
      <c r="W64" s="432"/>
      <c r="Y64" s="432"/>
    </row>
    <row r="65" spans="1:25">
      <c r="A65" s="136">
        <v>73</v>
      </c>
      <c r="B65" s="582" t="str">
        <f>+VLOOKUP($A65,Master!$D$30:$G$226,4,FALSE)</f>
        <v>Primici od otplate kredita i sredstva prenesena iz prethodne godine</v>
      </c>
      <c r="C65" s="583"/>
      <c r="D65" s="583"/>
      <c r="E65" s="583"/>
      <c r="F65" s="583"/>
      <c r="G65" s="153">
        <f>'2026'!S65</f>
        <v>17056468.450000003</v>
      </c>
      <c r="H65" s="153">
        <f>SUM('2026'!G141:O141)</f>
        <v>7310925</v>
      </c>
      <c r="I65" s="478">
        <f t="shared" si="9"/>
        <v>9745543.450000003</v>
      </c>
      <c r="J65" s="479">
        <f t="shared" si="1"/>
        <v>1.3330110006599716</v>
      </c>
      <c r="K65" s="153">
        <f>SUM('2025'!G65:O65)</f>
        <v>14360066.52</v>
      </c>
      <c r="L65" s="478">
        <f t="shared" si="10"/>
        <v>2696401.9300000034</v>
      </c>
      <c r="M65" s="480">
        <f t="shared" si="2"/>
        <v>0.18777085233167878</v>
      </c>
      <c r="N65" s="153">
        <f>'2026'!O65</f>
        <v>241912.70999999996</v>
      </c>
      <c r="O65" s="153">
        <f>'2026'!O141</f>
        <v>812325</v>
      </c>
      <c r="P65" s="478">
        <f t="shared" si="11"/>
        <v>-570412.29</v>
      </c>
      <c r="Q65" s="479">
        <f t="shared" si="3"/>
        <v>-0.70219713784507443</v>
      </c>
      <c r="R65" s="153">
        <f>'2025'!O65</f>
        <v>577156.09</v>
      </c>
      <c r="S65" s="478">
        <f t="shared" si="12"/>
        <v>-335243.38</v>
      </c>
      <c r="T65" s="480">
        <f t="shared" si="5"/>
        <v>-0.58085392462895091</v>
      </c>
      <c r="W65" s="432"/>
      <c r="Y65" s="432"/>
    </row>
    <row r="66" spans="1:25" ht="15.75" thickBot="1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491">
        <f>'2026'!S66</f>
        <v>263479173.88000011</v>
      </c>
      <c r="H66" s="491">
        <f>SUM('2026'!G142:O142)</f>
        <v>48209161.263033412</v>
      </c>
      <c r="I66" s="492">
        <f t="shared" si="9"/>
        <v>215270012.61696669</v>
      </c>
      <c r="J66" s="493" t="str">
        <f t="shared" si="1"/>
        <v>...</v>
      </c>
      <c r="K66" s="491">
        <f>SUM('2025'!G66:O66)</f>
        <v>-129301329.79999977</v>
      </c>
      <c r="L66" s="492">
        <f t="shared" si="10"/>
        <v>392780503.67999989</v>
      </c>
      <c r="M66" s="494">
        <f t="shared" si="2"/>
        <v>-3.0377143397329589</v>
      </c>
      <c r="N66" s="491">
        <f>'2026'!O66</f>
        <v>-20600375.760000028</v>
      </c>
      <c r="O66" s="491">
        <f>'2026'!O142</f>
        <v>-49817488.3886519</v>
      </c>
      <c r="P66" s="492">
        <f t="shared" si="11"/>
        <v>29217112.628651872</v>
      </c>
      <c r="Q66" s="493">
        <f t="shared" si="3"/>
        <v>-0.58648305190968519</v>
      </c>
      <c r="R66" s="491">
        <f>'2025'!O66</f>
        <v>29632890.930000097</v>
      </c>
      <c r="S66" s="492">
        <f t="shared" si="12"/>
        <v>-50233266.690000124</v>
      </c>
      <c r="T66" s="494">
        <f t="shared" si="5"/>
        <v>-1.6951861635323733</v>
      </c>
      <c r="W66" s="432"/>
      <c r="Y66" s="432"/>
    </row>
    <row r="67" spans="1:25">
      <c r="G67" s="495"/>
    </row>
    <row r="68" spans="1:25">
      <c r="G68" s="414"/>
      <c r="N68" s="496"/>
    </row>
    <row r="69" spans="1:25">
      <c r="F69" s="495"/>
      <c r="G69" s="414"/>
      <c r="H69" s="495"/>
      <c r="N69" s="432"/>
    </row>
    <row r="70" spans="1:25">
      <c r="G70" s="414"/>
    </row>
    <row r="71" spans="1:25">
      <c r="G71" s="414"/>
      <c r="R71" s="497"/>
    </row>
    <row r="72" spans="1:25">
      <c r="G72" s="414"/>
    </row>
  </sheetData>
  <sheetProtection algorithmName="SHA-512" hashValue="9I/kntthp6SAxIvjJsf37PDZ8Hx3XjRXOTcwzgBT7gP44Rq+ifZhP8yHd//nIIdfdU0yzswPvB6yVce7o7JYow==" saltValue="nGTp0tVL1OJFNX3w9a0GaQ==" spinCount="100000" sheet="1" objects="1" scenarios="1"/>
  <mergeCells count="63">
    <mergeCell ref="B65:F65"/>
    <mergeCell ref="B7:F9"/>
    <mergeCell ref="B60:F60"/>
    <mergeCell ref="B61:F61"/>
    <mergeCell ref="B62:F62"/>
    <mergeCell ref="B63:F63"/>
    <mergeCell ref="B64:F64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45:F45"/>
    <mergeCell ref="B46:F46"/>
    <mergeCell ref="B47:F47"/>
    <mergeCell ref="B48:F48"/>
    <mergeCell ref="B49:F49"/>
    <mergeCell ref="B40:F40"/>
    <mergeCell ref="B41:F41"/>
    <mergeCell ref="B42:F42"/>
    <mergeCell ref="B43:F43"/>
    <mergeCell ref="B44:F44"/>
    <mergeCell ref="B35:F35"/>
    <mergeCell ref="B36:F36"/>
    <mergeCell ref="B37:F37"/>
    <mergeCell ref="B38:F38"/>
    <mergeCell ref="B39:F39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  <mergeCell ref="B15:F15"/>
    <mergeCell ref="B16:F16"/>
    <mergeCell ref="B17:F17"/>
    <mergeCell ref="B18:F18"/>
    <mergeCell ref="B19:F19"/>
    <mergeCell ref="B10:F10"/>
    <mergeCell ref="B11:F11"/>
    <mergeCell ref="B12:F12"/>
    <mergeCell ref="B13:F13"/>
    <mergeCell ref="B14:F14"/>
    <mergeCell ref="G7:M7"/>
    <mergeCell ref="N7:T7"/>
    <mergeCell ref="I8:J8"/>
    <mergeCell ref="L8:M8"/>
    <mergeCell ref="P8:Q8"/>
    <mergeCell ref="S8:T8"/>
  </mergeCells>
  <pageMargins left="0.118110236220472" right="0.118110236220472" top="0.196850393700787" bottom="0.196850393700787" header="0.31496062992126" footer="0.31496062992126"/>
  <pageSetup paperSize="9" scale="54" fitToWidth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Option Button 1">
              <controlPr defaultSiz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Option Button 2">
              <controlPr defaultSiz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>
    <pageSetUpPr fitToPage="1"/>
  </sheetPr>
  <dimension ref="A1:Y150"/>
  <sheetViews>
    <sheetView zoomScale="90" zoomScaleNormal="90" workbookViewId="0">
      <pane ySplit="1" topLeftCell="A2" activePane="bottomLeft" state="frozen"/>
      <selection pane="bottomLeft" activeCell="Q78" sqref="Q78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9.85546875" style="173" customWidth="1"/>
    <col min="22" max="22" width="19.85546875" style="129" customWidth="1"/>
    <col min="23" max="23" width="14.5703125" style="129" customWidth="1"/>
    <col min="24" max="16384" width="9.140625" style="129"/>
  </cols>
  <sheetData>
    <row r="1" spans="1:23" s="127" customFormat="1" ht="3" customHeight="1">
      <c r="A1" s="130"/>
      <c r="G1" s="127" t="s">
        <v>6</v>
      </c>
      <c r="O1" s="127" t="s">
        <v>7</v>
      </c>
      <c r="U1" s="354"/>
    </row>
    <row r="2" spans="1:23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3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3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3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  <c r="U5" s="354"/>
    </row>
    <row r="6" spans="1:23">
      <c r="A6" s="136"/>
      <c r="B6" s="137"/>
      <c r="C6" s="137"/>
      <c r="D6" s="137"/>
      <c r="E6" s="137"/>
      <c r="F6" s="137"/>
      <c r="G6" s="138" t="s">
        <v>24</v>
      </c>
      <c r="H6" s="138" t="s">
        <v>25</v>
      </c>
      <c r="I6" s="138" t="s">
        <v>26</v>
      </c>
      <c r="J6" s="138" t="s">
        <v>27</v>
      </c>
      <c r="K6" s="138" t="s">
        <v>28</v>
      </c>
      <c r="L6" s="138" t="s">
        <v>29</v>
      </c>
      <c r="M6" s="138" t="s">
        <v>30</v>
      </c>
      <c r="N6" s="138" t="s">
        <v>31</v>
      </c>
      <c r="O6" s="138" t="s">
        <v>32</v>
      </c>
      <c r="P6" s="138" t="s">
        <v>33</v>
      </c>
      <c r="Q6" s="138" t="s">
        <v>34</v>
      </c>
      <c r="R6" s="138" t="s">
        <v>35</v>
      </c>
      <c r="S6" s="137"/>
      <c r="T6" s="137"/>
    </row>
    <row r="7" spans="1:23" ht="15" customHeight="1">
      <c r="A7" s="136"/>
      <c r="B7" s="584" t="str">
        <f>+Master!G252</f>
        <v>Ostvarenje budžeta</v>
      </c>
      <c r="C7" s="585"/>
      <c r="D7" s="585"/>
      <c r="E7" s="585"/>
      <c r="F7" s="585"/>
      <c r="G7" s="550">
        <v>2025</v>
      </c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4"/>
      <c r="S7" s="139" t="str">
        <f>+Master!G249</f>
        <v>BDP</v>
      </c>
      <c r="T7" s="140">
        <v>8170744000</v>
      </c>
    </row>
    <row r="8" spans="1:23" ht="16.5" customHeight="1">
      <c r="A8" s="136"/>
      <c r="B8" s="586"/>
      <c r="C8" s="587"/>
      <c r="D8" s="587"/>
      <c r="E8" s="587"/>
      <c r="F8" s="588"/>
      <c r="G8" s="141" t="str">
        <f>+[1]Master!G232</f>
        <v>Januar</v>
      </c>
      <c r="H8" s="141" t="str">
        <f>+[1]Master!G233</f>
        <v>Februar</v>
      </c>
      <c r="I8" s="141" t="str">
        <f>+[1]Master!G234</f>
        <v>Mart</v>
      </c>
      <c r="J8" s="141" t="str">
        <f>+[1]Master!G235</f>
        <v>April</v>
      </c>
      <c r="K8" s="141" t="str">
        <f>+[1]Master!G236</f>
        <v>Maj</v>
      </c>
      <c r="L8" s="141" t="str">
        <f>+[1]Master!G237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0" t="str">
        <f>+Master!G247</f>
        <v>Jan - Dec</v>
      </c>
      <c r="T8" s="554"/>
    </row>
    <row r="9" spans="1:23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3">
      <c r="A10" s="145">
        <v>7</v>
      </c>
      <c r="B10" s="570" t="str">
        <f>+VLOOKUP($A10,Master!$D$30:$G$226,4,FALSE)</f>
        <v>Prihodi budžeta</v>
      </c>
      <c r="C10" s="571"/>
      <c r="D10" s="571"/>
      <c r="E10" s="571"/>
      <c r="F10" s="571"/>
      <c r="G10" s="363">
        <f>G11+G19+G24+G25+G26+G27+G28</f>
        <v>156749922.07999998</v>
      </c>
      <c r="H10" s="363">
        <f t="shared" ref="H10:L10" si="1">+H11+H19+SUM(H24:H28)</f>
        <v>178347064.72000003</v>
      </c>
      <c r="I10" s="363">
        <f t="shared" si="1"/>
        <v>245349306.01000005</v>
      </c>
      <c r="J10" s="363">
        <f t="shared" si="1"/>
        <v>317114367.18000001</v>
      </c>
      <c r="K10" s="363">
        <f t="shared" si="1"/>
        <v>199531898.40999997</v>
      </c>
      <c r="L10" s="363">
        <f t="shared" si="1"/>
        <v>225902006.28999999</v>
      </c>
      <c r="M10" s="363">
        <f t="shared" ref="M10:R10" si="2">+M11+M19+SUM(M24:M28)</f>
        <v>256796079.27000001</v>
      </c>
      <c r="N10" s="363">
        <f t="shared" si="2"/>
        <v>260028956.03</v>
      </c>
      <c r="O10" s="363">
        <f t="shared" si="2"/>
        <v>261882689.87999994</v>
      </c>
      <c r="P10" s="363">
        <f t="shared" si="2"/>
        <v>245929060.88999996</v>
      </c>
      <c r="Q10" s="363">
        <f t="shared" si="2"/>
        <v>196118969.65000001</v>
      </c>
      <c r="R10" s="363">
        <f t="shared" si="2"/>
        <v>329906141.19999999</v>
      </c>
      <c r="S10" s="364">
        <f>+SUM(G10:R10)</f>
        <v>2873656461.6099997</v>
      </c>
      <c r="T10" s="365">
        <f>+S10/$T$7*100</f>
        <v>35.170070945926099</v>
      </c>
    </row>
    <row r="11" spans="1:23">
      <c r="A11" s="145">
        <v>711</v>
      </c>
      <c r="B11" s="560" t="str">
        <f>+VLOOKUP($A11,Master!$D$30:$G$226,4,FALSE)</f>
        <v>Porezi</v>
      </c>
      <c r="C11" s="561"/>
      <c r="D11" s="561"/>
      <c r="E11" s="561"/>
      <c r="F11" s="561"/>
      <c r="G11" s="366">
        <f t="shared" ref="G11:L11" si="3">+SUM(G12:G18)</f>
        <v>132702629.50999998</v>
      </c>
      <c r="H11" s="366">
        <f t="shared" si="3"/>
        <v>134657233.55000004</v>
      </c>
      <c r="I11" s="366">
        <f t="shared" si="3"/>
        <v>202518041.18000007</v>
      </c>
      <c r="J11" s="366">
        <f t="shared" si="3"/>
        <v>265707637.31999999</v>
      </c>
      <c r="K11" s="366">
        <f t="shared" si="3"/>
        <v>157978153.23999998</v>
      </c>
      <c r="L11" s="366">
        <f t="shared" si="3"/>
        <v>177871216.63999999</v>
      </c>
      <c r="M11" s="366">
        <f t="shared" ref="M11:R11" si="4">+SUM(M12:M18)</f>
        <v>202252135.63</v>
      </c>
      <c r="N11" s="366">
        <f t="shared" si="4"/>
        <v>208692577.61000001</v>
      </c>
      <c r="O11" s="366">
        <f t="shared" si="4"/>
        <v>211154345.75999996</v>
      </c>
      <c r="P11" s="366">
        <f t="shared" si="4"/>
        <v>193703162.32999998</v>
      </c>
      <c r="Q11" s="366">
        <f t="shared" si="4"/>
        <v>154847063.50999999</v>
      </c>
      <c r="R11" s="367">
        <f t="shared" si="4"/>
        <v>196519495.26999995</v>
      </c>
      <c r="S11" s="368">
        <f>+SUM(G11:R11)</f>
        <v>2238603691.5500002</v>
      </c>
      <c r="T11" s="369">
        <f t="shared" ref="T11:T66" si="5">+S11/$T$7*100</f>
        <v>27.397795005571098</v>
      </c>
    </row>
    <row r="12" spans="1:23">
      <c r="A12" s="145">
        <v>7111</v>
      </c>
      <c r="B12" s="562" t="str">
        <f>+VLOOKUP($A12,Master!$D$30:$G$226,4,FALSE)</f>
        <v>Porez na dohodak fizičkih lica</v>
      </c>
      <c r="C12" s="563"/>
      <c r="D12" s="563"/>
      <c r="E12" s="563"/>
      <c r="F12" s="563"/>
      <c r="G12" s="153">
        <v>3030555.430000002</v>
      </c>
      <c r="H12" s="153">
        <v>8431658.620000001</v>
      </c>
      <c r="I12" s="153">
        <v>8822636.5500000045</v>
      </c>
      <c r="J12" s="153">
        <v>10595893.429999994</v>
      </c>
      <c r="K12" s="153">
        <v>7860769.3199999966</v>
      </c>
      <c r="L12" s="153">
        <v>7843776.2899999982</v>
      </c>
      <c r="M12" s="153">
        <v>9900438.6000000034</v>
      </c>
      <c r="N12" s="153">
        <v>9648119.4200000018</v>
      </c>
      <c r="O12" s="153">
        <v>11794721.619999997</v>
      </c>
      <c r="P12" s="153">
        <v>7543936.3200000003</v>
      </c>
      <c r="Q12" s="153">
        <v>9039647.1200000029</v>
      </c>
      <c r="R12" s="153">
        <v>17519055.849999987</v>
      </c>
      <c r="S12" s="270">
        <f>+SUM(G12:R12)</f>
        <v>112031208.56999999</v>
      </c>
      <c r="T12" s="329">
        <f t="shared" si="5"/>
        <v>1.3711261614609389</v>
      </c>
    </row>
    <row r="13" spans="1:23">
      <c r="A13" s="145">
        <v>7112</v>
      </c>
      <c r="B13" s="562" t="str">
        <f>+VLOOKUP($A13,Master!$D$30:$G$226,4,FALSE)</f>
        <v>Porez na dobit pravnih lica</v>
      </c>
      <c r="C13" s="563"/>
      <c r="D13" s="563"/>
      <c r="E13" s="563"/>
      <c r="F13" s="563"/>
      <c r="G13" s="153">
        <v>4758743.2199999988</v>
      </c>
      <c r="H13" s="153">
        <v>4374185.1600000011</v>
      </c>
      <c r="I13" s="153">
        <v>69066545.550000012</v>
      </c>
      <c r="J13" s="153">
        <v>112838365.88</v>
      </c>
      <c r="K13" s="153">
        <v>8765336.6999999993</v>
      </c>
      <c r="L13" s="153">
        <v>10311268.780000001</v>
      </c>
      <c r="M13" s="153">
        <v>5773713.330000001</v>
      </c>
      <c r="N13" s="153">
        <v>2926004.7999999993</v>
      </c>
      <c r="O13" s="153">
        <v>3732962.040000001</v>
      </c>
      <c r="P13" s="153">
        <v>4156533.9800000004</v>
      </c>
      <c r="Q13" s="153">
        <v>3525815.4300000006</v>
      </c>
      <c r="R13" s="153">
        <v>3201756.7499999981</v>
      </c>
      <c r="S13" s="270">
        <f t="shared" ref="S13:S65" si="6">+SUM(G13:R13)</f>
        <v>233431231.62</v>
      </c>
      <c r="T13" s="329">
        <f t="shared" si="5"/>
        <v>2.8569152530051118</v>
      </c>
      <c r="V13" s="161"/>
      <c r="W13" s="358"/>
    </row>
    <row r="14" spans="1:23">
      <c r="A14" s="145">
        <v>7113</v>
      </c>
      <c r="B14" s="562" t="str">
        <f>+VLOOKUP($A14,Master!$D$30:$G$226,4,FALSE)</f>
        <v>Porez na promet nepokretnosti</v>
      </c>
      <c r="C14" s="563"/>
      <c r="D14" s="563"/>
      <c r="E14" s="563"/>
      <c r="F14" s="563"/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3">
        <v>0</v>
      </c>
      <c r="M14" s="153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0</v>
      </c>
      <c r="S14" s="270">
        <f t="shared" si="6"/>
        <v>0</v>
      </c>
      <c r="T14" s="329">
        <f t="shared" si="5"/>
        <v>0</v>
      </c>
      <c r="V14" s="161"/>
      <c r="W14" s="358"/>
    </row>
    <row r="15" spans="1:23">
      <c r="A15" s="145">
        <v>7114</v>
      </c>
      <c r="B15" s="562" t="str">
        <f>+VLOOKUP($A15,Master!$D$30:$G$226,4,FALSE)</f>
        <v>Porez na dodatu vrijednost</v>
      </c>
      <c r="C15" s="563"/>
      <c r="D15" s="563"/>
      <c r="E15" s="563"/>
      <c r="F15" s="563"/>
      <c r="G15" s="153">
        <v>96606704.819999978</v>
      </c>
      <c r="H15" s="153">
        <v>90486320.040000021</v>
      </c>
      <c r="I15" s="153">
        <v>95190601.359999999</v>
      </c>
      <c r="J15" s="153">
        <v>101620940.56000002</v>
      </c>
      <c r="K15" s="153">
        <v>103302134.66000001</v>
      </c>
      <c r="L15" s="153">
        <v>114852175.13999997</v>
      </c>
      <c r="M15" s="153">
        <v>136015036.31999999</v>
      </c>
      <c r="N15" s="153">
        <v>142252517.13000003</v>
      </c>
      <c r="O15" s="153">
        <v>149853557.13</v>
      </c>
      <c r="P15" s="153">
        <v>134545730.11999997</v>
      </c>
      <c r="Q15" s="153">
        <v>107592791.44</v>
      </c>
      <c r="R15" s="153">
        <v>131336012.73999999</v>
      </c>
      <c r="S15" s="270">
        <f t="shared" si="6"/>
        <v>1403654521.46</v>
      </c>
      <c r="T15" s="329">
        <f t="shared" si="5"/>
        <v>17.179029491806379</v>
      </c>
      <c r="V15" s="161"/>
      <c r="W15" s="358"/>
    </row>
    <row r="16" spans="1:23">
      <c r="A16" s="145">
        <v>7115</v>
      </c>
      <c r="B16" s="562" t="str">
        <f>+VLOOKUP($A16,Master!$D$30:$G$226,4,FALSE)</f>
        <v>Akcize</v>
      </c>
      <c r="C16" s="563"/>
      <c r="D16" s="563"/>
      <c r="E16" s="563"/>
      <c r="F16" s="563"/>
      <c r="G16" s="153">
        <v>23651764.849999998</v>
      </c>
      <c r="H16" s="153">
        <v>25416734.460000001</v>
      </c>
      <c r="I16" s="153">
        <v>22396675.60000002</v>
      </c>
      <c r="J16" s="153">
        <v>33254768.049999993</v>
      </c>
      <c r="K16" s="153">
        <v>31121619.409999996</v>
      </c>
      <c r="L16" s="153">
        <v>37020225.660000019</v>
      </c>
      <c r="M16" s="153">
        <v>41468885.000000015</v>
      </c>
      <c r="N16" s="153">
        <v>46241347.939999968</v>
      </c>
      <c r="O16" s="153">
        <v>38082168.619999982</v>
      </c>
      <c r="P16" s="153">
        <v>39651632.880000003</v>
      </c>
      <c r="Q16" s="153">
        <v>28401548.630000006</v>
      </c>
      <c r="R16" s="153">
        <v>36470532.089999981</v>
      </c>
      <c r="S16" s="270">
        <f t="shared" si="6"/>
        <v>403177903.18999994</v>
      </c>
      <c r="T16" s="329">
        <f t="shared" si="5"/>
        <v>4.9344087048866045</v>
      </c>
      <c r="V16" s="161"/>
      <c r="W16" s="358"/>
    </row>
    <row r="17" spans="1:23">
      <c r="A17" s="145">
        <v>7116</v>
      </c>
      <c r="B17" s="562" t="str">
        <f>+VLOOKUP($A17,Master!$D$30:$G$226,4,FALSE)</f>
        <v>Porez na međunarodnu trgovinu i transakcije</v>
      </c>
      <c r="C17" s="563"/>
      <c r="D17" s="563"/>
      <c r="E17" s="563"/>
      <c r="F17" s="563"/>
      <c r="G17" s="153">
        <v>3527264.1999999993</v>
      </c>
      <c r="H17" s="153">
        <v>4794688.6700000009</v>
      </c>
      <c r="I17" s="153">
        <v>5839125.4399999976</v>
      </c>
      <c r="J17" s="153">
        <v>6146881.0000000009</v>
      </c>
      <c r="K17" s="153">
        <v>5626244.9799999995</v>
      </c>
      <c r="L17" s="153">
        <v>6373571.0700000003</v>
      </c>
      <c r="M17" s="153">
        <v>7389935.04</v>
      </c>
      <c r="N17" s="153">
        <v>6176594.8900000025</v>
      </c>
      <c r="O17" s="153">
        <v>6435243.1500000004</v>
      </c>
      <c r="P17" s="153">
        <v>6274901.9399999995</v>
      </c>
      <c r="Q17" s="153">
        <v>4834041.1999999974</v>
      </c>
      <c r="R17" s="153">
        <v>6489077.9600000009</v>
      </c>
      <c r="S17" s="270">
        <f t="shared" si="6"/>
        <v>69907569.539999992</v>
      </c>
      <c r="T17" s="329">
        <f t="shared" si="5"/>
        <v>0.85558389223796494</v>
      </c>
      <c r="V17" s="161"/>
      <c r="W17" s="358"/>
    </row>
    <row r="18" spans="1:23">
      <c r="A18" s="145">
        <v>7118</v>
      </c>
      <c r="B18" s="562" t="str">
        <f>+VLOOKUP($A18,Master!$D$30:$G$226,4,FALSE)</f>
        <v>Ostali državni porezi</v>
      </c>
      <c r="C18" s="563"/>
      <c r="D18" s="563"/>
      <c r="E18" s="563"/>
      <c r="F18" s="563"/>
      <c r="G18" s="153">
        <v>1127596.9900000002</v>
      </c>
      <c r="H18" s="153">
        <v>1153646.5999999999</v>
      </c>
      <c r="I18" s="153">
        <v>1202456.6800000004</v>
      </c>
      <c r="J18" s="153">
        <v>1250788.4000000001</v>
      </c>
      <c r="K18" s="153">
        <v>1302048.17</v>
      </c>
      <c r="L18" s="153">
        <v>1470199.7000000002</v>
      </c>
      <c r="M18" s="153">
        <v>1704127.3399999994</v>
      </c>
      <c r="N18" s="153">
        <v>1447993.43</v>
      </c>
      <c r="O18" s="153">
        <v>1255693.2000000002</v>
      </c>
      <c r="P18" s="153">
        <v>1530427.0900000008</v>
      </c>
      <c r="Q18" s="153">
        <v>1453219.69</v>
      </c>
      <c r="R18" s="153">
        <v>1503059.8800000001</v>
      </c>
      <c r="S18" s="270">
        <f t="shared" si="6"/>
        <v>16401257.170000002</v>
      </c>
      <c r="T18" s="329">
        <f t="shared" si="5"/>
        <v>0.20073150217409821</v>
      </c>
      <c r="V18" s="161"/>
      <c r="W18" s="358"/>
    </row>
    <row r="19" spans="1:23">
      <c r="A19" s="145">
        <v>712</v>
      </c>
      <c r="B19" s="566" t="str">
        <f>+VLOOKUP($A19,Master!$D$30:$G$226,4,FALSE)</f>
        <v>Doprinosi</v>
      </c>
      <c r="C19" s="567"/>
      <c r="D19" s="567"/>
      <c r="E19" s="567"/>
      <c r="F19" s="567"/>
      <c r="G19" s="370">
        <f t="shared" ref="G19:R19" si="7">SUM(G20:G23)</f>
        <v>16612975.690000001</v>
      </c>
      <c r="H19" s="370">
        <f t="shared" si="7"/>
        <v>35354452.780000001</v>
      </c>
      <c r="I19" s="370">
        <f t="shared" si="7"/>
        <v>32433143.130000003</v>
      </c>
      <c r="J19" s="370">
        <f t="shared" si="7"/>
        <v>33755127.570000015</v>
      </c>
      <c r="K19" s="370">
        <f t="shared" si="7"/>
        <v>31771983.16</v>
      </c>
      <c r="L19" s="370">
        <f t="shared" si="7"/>
        <v>34152040.779999994</v>
      </c>
      <c r="M19" s="370">
        <f t="shared" si="7"/>
        <v>34931492.050000019</v>
      </c>
      <c r="N19" s="370">
        <f t="shared" si="7"/>
        <v>36620901.29999999</v>
      </c>
      <c r="O19" s="370">
        <f t="shared" si="7"/>
        <v>35020872.799999997</v>
      </c>
      <c r="P19" s="370">
        <f t="shared" si="7"/>
        <v>34596670.239999972</v>
      </c>
      <c r="Q19" s="370">
        <f t="shared" si="7"/>
        <v>30961281.809999987</v>
      </c>
      <c r="R19" s="370">
        <f t="shared" si="7"/>
        <v>64170339.24000001</v>
      </c>
      <c r="S19" s="371">
        <f t="shared" si="6"/>
        <v>420381280.54999995</v>
      </c>
      <c r="T19" s="372">
        <f t="shared" si="5"/>
        <v>5.1449571856614282</v>
      </c>
      <c r="V19" s="161"/>
      <c r="W19" s="358"/>
    </row>
    <row r="20" spans="1:23">
      <c r="A20" s="145">
        <v>7121</v>
      </c>
      <c r="B20" s="562" t="str">
        <f>+VLOOKUP($A20,Master!$D$30:$G$226,4,FALSE)</f>
        <v>Doprinosi za penzijsko i invalidsko osiguranje</v>
      </c>
      <c r="C20" s="563"/>
      <c r="D20" s="563"/>
      <c r="E20" s="563"/>
      <c r="F20" s="563"/>
      <c r="G20" s="153">
        <v>14262452.49</v>
      </c>
      <c r="H20" s="153">
        <v>29554149.210000001</v>
      </c>
      <c r="I20" s="153">
        <v>27476313.780000001</v>
      </c>
      <c r="J20" s="153">
        <v>28513630.080000013</v>
      </c>
      <c r="K20" s="153">
        <v>27075161.030000001</v>
      </c>
      <c r="L20" s="153">
        <v>28518289.399999991</v>
      </c>
      <c r="M20" s="153">
        <v>29314001.12000002</v>
      </c>
      <c r="N20" s="153">
        <v>30908485.439999986</v>
      </c>
      <c r="O20" s="153">
        <v>29269872.189999998</v>
      </c>
      <c r="P20" s="153">
        <v>28683629.949999977</v>
      </c>
      <c r="Q20" s="153">
        <v>25906266.569999985</v>
      </c>
      <c r="R20" s="153">
        <v>53818912.590000011</v>
      </c>
      <c r="S20" s="270">
        <f t="shared" si="6"/>
        <v>353301163.85000002</v>
      </c>
      <c r="T20" s="329">
        <f t="shared" si="5"/>
        <v>4.3239778880601332</v>
      </c>
      <c r="V20" s="161"/>
      <c r="W20" s="358"/>
    </row>
    <row r="21" spans="1:23">
      <c r="A21" s="145">
        <v>7122</v>
      </c>
      <c r="B21" s="562" t="str">
        <f>+VLOOKUP($A21,Master!$D$30:$G$226,4,FALSE)</f>
        <v>Doprinosi za zdravstveno osiguranje</v>
      </c>
      <c r="C21" s="563"/>
      <c r="D21" s="563"/>
      <c r="E21" s="563"/>
      <c r="F21" s="563"/>
      <c r="G21" s="153">
        <v>314658.87999999989</v>
      </c>
      <c r="H21" s="153">
        <v>1154569.9300000002</v>
      </c>
      <c r="I21" s="153">
        <v>583561.46999999939</v>
      </c>
      <c r="J21" s="153">
        <v>524440.96000000008</v>
      </c>
      <c r="K21" s="153">
        <v>499269.08</v>
      </c>
      <c r="L21" s="153">
        <v>572757.14</v>
      </c>
      <c r="M21" s="153">
        <v>514025.99000000017</v>
      </c>
      <c r="N21" s="153">
        <v>478138.37000000011</v>
      </c>
      <c r="O21" s="153">
        <v>536571.03</v>
      </c>
      <c r="P21" s="153">
        <v>591623.41</v>
      </c>
      <c r="Q21" s="153">
        <v>423550.1700000001</v>
      </c>
      <c r="R21" s="153">
        <v>1273029.8600000006</v>
      </c>
      <c r="S21" s="270">
        <f t="shared" si="6"/>
        <v>7466196.290000001</v>
      </c>
      <c r="T21" s="329">
        <f t="shared" si="5"/>
        <v>9.1377190253421253E-2</v>
      </c>
      <c r="V21" s="161"/>
      <c r="W21" s="358"/>
    </row>
    <row r="22" spans="1:23">
      <c r="A22" s="145">
        <v>7123</v>
      </c>
      <c r="B22" s="562" t="str">
        <f>+VLOOKUP($A22,Master!$D$30:$G$226,4,FALSE)</f>
        <v>Doprinosi za osiguranje od nezaposlenosti</v>
      </c>
      <c r="C22" s="563"/>
      <c r="D22" s="563"/>
      <c r="E22" s="563"/>
      <c r="F22" s="563"/>
      <c r="G22" s="153">
        <v>1216722.5599999998</v>
      </c>
      <c r="H22" s="153">
        <v>2764148.0300000003</v>
      </c>
      <c r="I22" s="153">
        <v>2567338.7400000002</v>
      </c>
      <c r="J22" s="153">
        <v>2726994.09</v>
      </c>
      <c r="K22" s="153">
        <v>2429549.14</v>
      </c>
      <c r="L22" s="153">
        <v>2974122.7600000002</v>
      </c>
      <c r="M22" s="153">
        <v>2992596.3199999994</v>
      </c>
      <c r="N22" s="153">
        <v>3041994</v>
      </c>
      <c r="O22" s="153">
        <v>3032409.4099999997</v>
      </c>
      <c r="P22" s="153">
        <v>3092583.3099999977</v>
      </c>
      <c r="Q22" s="153">
        <v>2699467.2299999995</v>
      </c>
      <c r="R22" s="153">
        <v>5217248.669999999</v>
      </c>
      <c r="S22" s="270">
        <f t="shared" si="6"/>
        <v>34755174.259999998</v>
      </c>
      <c r="T22" s="329">
        <f t="shared" si="5"/>
        <v>0.42536119428047187</v>
      </c>
    </row>
    <row r="23" spans="1:23">
      <c r="A23" s="145">
        <v>7124</v>
      </c>
      <c r="B23" s="562" t="str">
        <f>+VLOOKUP($A23,Master!$D$30:$G$226,4,FALSE)</f>
        <v>Ostali doprinosi</v>
      </c>
      <c r="C23" s="563"/>
      <c r="D23" s="563"/>
      <c r="E23" s="563"/>
      <c r="F23" s="563"/>
      <c r="G23" s="153">
        <v>819141.76</v>
      </c>
      <c r="H23" s="153">
        <v>1881585.6099999996</v>
      </c>
      <c r="I23" s="153">
        <v>1805929.1400000001</v>
      </c>
      <c r="J23" s="153">
        <v>1990062.4400000002</v>
      </c>
      <c r="K23" s="153">
        <v>1768003.91</v>
      </c>
      <c r="L23" s="153">
        <v>2086871.4799999997</v>
      </c>
      <c r="M23" s="153">
        <v>2110868.6199999996</v>
      </c>
      <c r="N23" s="153">
        <v>2192283.4900000002</v>
      </c>
      <c r="O23" s="153">
        <v>2182020.1699999995</v>
      </c>
      <c r="P23" s="153">
        <v>2228833.5699999998</v>
      </c>
      <c r="Q23" s="153">
        <v>1931997.8400000003</v>
      </c>
      <c r="R23" s="153">
        <v>3861148.1199999996</v>
      </c>
      <c r="S23" s="270">
        <f t="shared" si="6"/>
        <v>24858746.149999999</v>
      </c>
      <c r="T23" s="329">
        <f t="shared" si="5"/>
        <v>0.30424091306740242</v>
      </c>
      <c r="V23" s="359"/>
      <c r="W23" s="358"/>
    </row>
    <row r="24" spans="1:23">
      <c r="A24" s="145">
        <v>713</v>
      </c>
      <c r="B24" s="566" t="str">
        <f>+VLOOKUP($A24,Master!$D$30:$G$226,4,FALSE)</f>
        <v>Takse</v>
      </c>
      <c r="C24" s="567"/>
      <c r="D24" s="567"/>
      <c r="E24" s="567"/>
      <c r="F24" s="567"/>
      <c r="G24" s="159">
        <v>876568.74000000034</v>
      </c>
      <c r="H24" s="159">
        <v>1052557.3699999999</v>
      </c>
      <c r="I24" s="159">
        <v>1107384.3999999997</v>
      </c>
      <c r="J24" s="159">
        <v>1282834.4600000002</v>
      </c>
      <c r="K24" s="159">
        <v>1223227.8200000003</v>
      </c>
      <c r="L24" s="373">
        <v>1517861.1799999995</v>
      </c>
      <c r="M24" s="373">
        <v>1891582.0999999994</v>
      </c>
      <c r="N24" s="373">
        <v>1783600.3899999997</v>
      </c>
      <c r="O24" s="373">
        <v>1722264.71</v>
      </c>
      <c r="P24" s="373">
        <v>1671469.55</v>
      </c>
      <c r="Q24" s="373">
        <v>1247965.6299999997</v>
      </c>
      <c r="R24" s="373">
        <v>2009599.2599999998</v>
      </c>
      <c r="S24" s="371">
        <f t="shared" si="6"/>
        <v>17386915.609999999</v>
      </c>
      <c r="T24" s="372">
        <f t="shared" si="5"/>
        <v>0.21279476642518722</v>
      </c>
    </row>
    <row r="25" spans="1:23">
      <c r="A25" s="145">
        <v>714</v>
      </c>
      <c r="B25" s="566" t="str">
        <f>+VLOOKUP($A25,Master!$D$30:$G$226,4,FALSE)</f>
        <v>Naknade</v>
      </c>
      <c r="C25" s="567"/>
      <c r="D25" s="567"/>
      <c r="E25" s="567"/>
      <c r="F25" s="567"/>
      <c r="G25" s="159">
        <v>4273770.1400000006</v>
      </c>
      <c r="H25" s="159">
        <v>3496530.7999999993</v>
      </c>
      <c r="I25" s="159">
        <v>4383671.12</v>
      </c>
      <c r="J25" s="159">
        <v>7314217.71</v>
      </c>
      <c r="K25" s="159">
        <v>4743652.4699999988</v>
      </c>
      <c r="L25" s="373">
        <v>7205854.8600000013</v>
      </c>
      <c r="M25" s="373">
        <v>6884049.870000002</v>
      </c>
      <c r="N25" s="373">
        <v>6686850.2999999989</v>
      </c>
      <c r="O25" s="373">
        <v>7408352.6699999981</v>
      </c>
      <c r="P25" s="373">
        <v>7790053.589999998</v>
      </c>
      <c r="Q25" s="373">
        <v>5619437.5200000014</v>
      </c>
      <c r="R25" s="373">
        <v>10024472.729999999</v>
      </c>
      <c r="S25" s="371">
        <f t="shared" si="6"/>
        <v>75830913.780000001</v>
      </c>
      <c r="T25" s="372">
        <f t="shared" si="5"/>
        <v>0.92807844401929618</v>
      </c>
    </row>
    <row r="26" spans="1:23">
      <c r="A26" s="145">
        <v>715</v>
      </c>
      <c r="B26" s="566" t="str">
        <f>+VLOOKUP($A26,Master!$D$30:$G$226,4,FALSE)</f>
        <v>Ostali prihodi</v>
      </c>
      <c r="C26" s="567"/>
      <c r="D26" s="567"/>
      <c r="E26" s="567"/>
      <c r="F26" s="567"/>
      <c r="G26" s="159">
        <v>2283977.9999999995</v>
      </c>
      <c r="H26" s="159">
        <v>2933436.6100000003</v>
      </c>
      <c r="I26" s="159">
        <v>2889208.7199999988</v>
      </c>
      <c r="J26" s="159">
        <v>8456369.5600000005</v>
      </c>
      <c r="K26" s="159">
        <v>3091410.9300000006</v>
      </c>
      <c r="L26" s="373">
        <v>4106763.8600000008</v>
      </c>
      <c r="M26" s="373">
        <v>7202667.7500000075</v>
      </c>
      <c r="N26" s="373">
        <v>3894652.8400000031</v>
      </c>
      <c r="O26" s="373">
        <v>4915237.8300000019</v>
      </c>
      <c r="P26" s="373">
        <v>3930003.92</v>
      </c>
      <c r="Q26" s="373">
        <v>2629441.8499999982</v>
      </c>
      <c r="R26" s="373">
        <v>7816771.7100000028</v>
      </c>
      <c r="S26" s="371">
        <f t="shared" si="6"/>
        <v>54149943.580000013</v>
      </c>
      <c r="T26" s="372">
        <f t="shared" si="5"/>
        <v>0.66272965570821962</v>
      </c>
    </row>
    <row r="27" spans="1:23">
      <c r="A27" s="145">
        <v>73</v>
      </c>
      <c r="B27" s="566" t="str">
        <f>+VLOOKUP($A27,Master!$D$30:$G$226,4,FALSE)</f>
        <v>Primici od otplate kredita i sredstva prenesena iz prethodne godine</v>
      </c>
      <c r="C27" s="567"/>
      <c r="D27" s="567"/>
      <c r="E27" s="567"/>
      <c r="F27" s="567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373">
        <v>0</v>
      </c>
      <c r="M27" s="373">
        <v>0</v>
      </c>
      <c r="N27" s="373">
        <v>0</v>
      </c>
      <c r="O27" s="373">
        <v>0</v>
      </c>
      <c r="P27" s="373">
        <v>0</v>
      </c>
      <c r="Q27" s="373">
        <v>0</v>
      </c>
      <c r="R27" s="373">
        <v>0</v>
      </c>
      <c r="S27" s="371">
        <f t="shared" si="6"/>
        <v>0</v>
      </c>
      <c r="T27" s="372">
        <f t="shared" si="5"/>
        <v>0</v>
      </c>
    </row>
    <row r="28" spans="1:23">
      <c r="A28" s="145">
        <v>74</v>
      </c>
      <c r="B28" s="566" t="str">
        <f>+VLOOKUP($A28,Master!$D$30:$G$226,4,FALSE)</f>
        <v>Donacije i transferi</v>
      </c>
      <c r="C28" s="567"/>
      <c r="D28" s="567"/>
      <c r="E28" s="567"/>
      <c r="F28" s="567"/>
      <c r="G28" s="159">
        <v>0</v>
      </c>
      <c r="H28" s="159">
        <v>852853.6100000001</v>
      </c>
      <c r="I28" s="159">
        <v>2017857.4600000002</v>
      </c>
      <c r="J28" s="159">
        <v>598180.56000000006</v>
      </c>
      <c r="K28" s="159">
        <v>723470.78999999992</v>
      </c>
      <c r="L28" s="373">
        <v>1048268.9699999996</v>
      </c>
      <c r="M28" s="373">
        <v>3634151.87</v>
      </c>
      <c r="N28" s="373">
        <v>2350373.59</v>
      </c>
      <c r="O28" s="373">
        <v>1661616.11</v>
      </c>
      <c r="P28" s="373">
        <v>4237701.2600000007</v>
      </c>
      <c r="Q28" s="373">
        <v>813779.33</v>
      </c>
      <c r="R28" s="373">
        <v>49365462.99000001</v>
      </c>
      <c r="S28" s="371">
        <f t="shared" si="6"/>
        <v>67303716.540000007</v>
      </c>
      <c r="T28" s="374">
        <f t="shared" si="5"/>
        <v>0.82371588854087219</v>
      </c>
    </row>
    <row r="29" spans="1:23">
      <c r="A29" s="145">
        <v>4</v>
      </c>
      <c r="B29" s="570" t="str">
        <f>+VLOOKUP($A29,Master!$D$30:$G$226,4,FALSE)</f>
        <v>Izdaci budžeta</v>
      </c>
      <c r="C29" s="571"/>
      <c r="D29" s="571"/>
      <c r="E29" s="571"/>
      <c r="F29" s="571"/>
      <c r="G29" s="146">
        <f>+G30+G40+G46+SUM(G47:G51)</f>
        <v>154384467.93999997</v>
      </c>
      <c r="H29" s="146">
        <f t="shared" ref="H29:L29" si="8">+H30+H40+H46+SUM(H47:H51)</f>
        <v>212724806.34</v>
      </c>
      <c r="I29" s="146">
        <f t="shared" si="8"/>
        <v>278442296.42000008</v>
      </c>
      <c r="J29" s="146">
        <f t="shared" si="8"/>
        <v>284195602.64000005</v>
      </c>
      <c r="K29" s="146">
        <f t="shared" si="8"/>
        <v>235978627.33999997</v>
      </c>
      <c r="L29" s="146">
        <f t="shared" si="8"/>
        <v>266916067.00000006</v>
      </c>
      <c r="M29" s="146">
        <f t="shared" ref="M29:R29" si="9">+M30+M40+M46+SUM(M47:M51)</f>
        <v>242145403.41000003</v>
      </c>
      <c r="N29" s="146">
        <f t="shared" si="9"/>
        <v>235284682.63000003</v>
      </c>
      <c r="O29" s="146">
        <f t="shared" si="9"/>
        <v>276373435.84000003</v>
      </c>
      <c r="P29" s="146">
        <f t="shared" si="9"/>
        <v>277689228.81</v>
      </c>
      <c r="Q29" s="146">
        <f t="shared" si="9"/>
        <v>252371545.54000005</v>
      </c>
      <c r="R29" s="146">
        <f t="shared" si="9"/>
        <v>470830506.7900002</v>
      </c>
      <c r="S29" s="375">
        <f t="shared" si="6"/>
        <v>3187336670.7000008</v>
      </c>
      <c r="T29" s="376">
        <f t="shared" si="5"/>
        <v>39.009136385866462</v>
      </c>
    </row>
    <row r="30" spans="1:23">
      <c r="A30" s="145">
        <v>41</v>
      </c>
      <c r="B30" s="574" t="str">
        <f>+VLOOKUP($A30,Master!$D$30:$G$226,4,FALSE)</f>
        <v>Tekući izdaci</v>
      </c>
      <c r="C30" s="575"/>
      <c r="D30" s="575"/>
      <c r="E30" s="575"/>
      <c r="F30" s="575"/>
      <c r="G30" s="168">
        <f t="shared" ref="G30" si="10">+SUM(G31:G39)</f>
        <v>62038273.419999987</v>
      </c>
      <c r="H30" s="168">
        <f t="shared" ref="H30:L30" si="11">+SUM(H31:H39)</f>
        <v>75163429.62000002</v>
      </c>
      <c r="I30" s="168">
        <f t="shared" si="11"/>
        <v>110883687.26000002</v>
      </c>
      <c r="J30" s="168">
        <f t="shared" si="11"/>
        <v>122329120.79000005</v>
      </c>
      <c r="K30" s="168">
        <f t="shared" si="11"/>
        <v>91165433.919999972</v>
      </c>
      <c r="L30" s="168">
        <f t="shared" si="11"/>
        <v>96366604.280000001</v>
      </c>
      <c r="M30" s="168">
        <f t="shared" ref="M30:R30" si="12">+SUM(M31:M39)</f>
        <v>91779106.039999992</v>
      </c>
      <c r="N30" s="168">
        <f t="shared" si="12"/>
        <v>83314312.950000018</v>
      </c>
      <c r="O30" s="168">
        <f t="shared" si="12"/>
        <v>103523108.14000005</v>
      </c>
      <c r="P30" s="168">
        <f t="shared" si="12"/>
        <v>111366194.99999997</v>
      </c>
      <c r="Q30" s="168">
        <f t="shared" si="12"/>
        <v>97639398.920000017</v>
      </c>
      <c r="R30" s="169">
        <f t="shared" si="12"/>
        <v>204248967.02000016</v>
      </c>
      <c r="S30" s="377">
        <f t="shared" si="6"/>
        <v>1249817637.3600004</v>
      </c>
      <c r="T30" s="369">
        <f t="shared" si="5"/>
        <v>15.296252548849901</v>
      </c>
      <c r="U30" s="355"/>
    </row>
    <row r="31" spans="1:23">
      <c r="A31" s="145">
        <v>411</v>
      </c>
      <c r="B31" s="562" t="str">
        <f>+VLOOKUP($A31,Master!$D$30:$G$226,4,FALSE)</f>
        <v>Bruto zarade i doprinosi na teret poslodavca</v>
      </c>
      <c r="C31" s="563"/>
      <c r="D31" s="563"/>
      <c r="E31" s="563"/>
      <c r="F31" s="563"/>
      <c r="G31" s="153">
        <v>55835995.219999984</v>
      </c>
      <c r="H31" s="153">
        <v>57528909.890000023</v>
      </c>
      <c r="I31" s="153">
        <v>56257117.530000016</v>
      </c>
      <c r="J31" s="153">
        <v>57954305.050000034</v>
      </c>
      <c r="K31" s="153">
        <v>57928887.86999999</v>
      </c>
      <c r="L31" s="153">
        <v>57840380.260000005</v>
      </c>
      <c r="M31" s="153">
        <v>56112194.409999989</v>
      </c>
      <c r="N31" s="153">
        <v>55952683.13000001</v>
      </c>
      <c r="O31" s="153">
        <v>55640667.270000018</v>
      </c>
      <c r="P31" s="153">
        <v>58246792.709999979</v>
      </c>
      <c r="Q31" s="153">
        <v>57741199.120000012</v>
      </c>
      <c r="R31" s="153">
        <v>60027360.579999991</v>
      </c>
      <c r="S31" s="270">
        <f t="shared" si="6"/>
        <v>687066493.04000008</v>
      </c>
      <c r="T31" s="329">
        <f t="shared" si="5"/>
        <v>8.4088608459645791</v>
      </c>
      <c r="U31" s="355"/>
    </row>
    <row r="32" spans="1:23">
      <c r="A32" s="145">
        <v>412</v>
      </c>
      <c r="B32" s="562" t="str">
        <f>+VLOOKUP($A32,Master!$D$30:$G$226,4,FALSE)</f>
        <v>Ostala lična primanja</v>
      </c>
      <c r="C32" s="563"/>
      <c r="D32" s="563"/>
      <c r="E32" s="563"/>
      <c r="F32" s="563"/>
      <c r="G32" s="153">
        <v>31766.52</v>
      </c>
      <c r="H32" s="153">
        <v>1841646.8000000014</v>
      </c>
      <c r="I32" s="153">
        <v>1857108.36</v>
      </c>
      <c r="J32" s="153">
        <v>2510841.5400000005</v>
      </c>
      <c r="K32" s="153">
        <v>1590999.8599999996</v>
      </c>
      <c r="L32" s="153">
        <v>2655768.8299999996</v>
      </c>
      <c r="M32" s="153">
        <v>1630670.8</v>
      </c>
      <c r="N32" s="153">
        <v>2785504.1199999996</v>
      </c>
      <c r="O32" s="153">
        <v>1964043.6899999995</v>
      </c>
      <c r="P32" s="153">
        <v>2921427.399999999</v>
      </c>
      <c r="Q32" s="153">
        <v>2198245.4900000002</v>
      </c>
      <c r="R32" s="153">
        <v>5617411.1200000001</v>
      </c>
      <c r="S32" s="270">
        <f t="shared" si="6"/>
        <v>27605434.530000005</v>
      </c>
      <c r="T32" s="329">
        <f t="shared" si="5"/>
        <v>0.33785704863596272</v>
      </c>
      <c r="U32" s="355"/>
    </row>
    <row r="33" spans="1:23">
      <c r="A33" s="145">
        <v>413</v>
      </c>
      <c r="B33" s="562" t="str">
        <f>+VLOOKUP($A33,Master!$D$30:$G$226,4,FALSE)</f>
        <v>Rashodi za materijal</v>
      </c>
      <c r="C33" s="563"/>
      <c r="D33" s="563"/>
      <c r="E33" s="563"/>
      <c r="F33" s="563"/>
      <c r="G33" s="153">
        <v>39625.339999999997</v>
      </c>
      <c r="H33" s="153">
        <v>1478154.2600000002</v>
      </c>
      <c r="I33" s="153">
        <v>4579901.88</v>
      </c>
      <c r="J33" s="153">
        <v>3857734.5599999991</v>
      </c>
      <c r="K33" s="153">
        <v>2638841.88</v>
      </c>
      <c r="L33" s="153">
        <v>2829493.7000000007</v>
      </c>
      <c r="M33" s="153">
        <v>3099861.88</v>
      </c>
      <c r="N33" s="153">
        <v>3587437.8300000005</v>
      </c>
      <c r="O33" s="153">
        <v>5571109.4100000001</v>
      </c>
      <c r="P33" s="153">
        <v>2787354.7800000003</v>
      </c>
      <c r="Q33" s="153">
        <v>5419439.0699999984</v>
      </c>
      <c r="R33" s="153">
        <v>10052003.110000003</v>
      </c>
      <c r="S33" s="270">
        <f t="shared" si="6"/>
        <v>45940957.700000003</v>
      </c>
      <c r="T33" s="329">
        <f t="shared" si="5"/>
        <v>0.56226162146311287</v>
      </c>
      <c r="U33" s="355"/>
    </row>
    <row r="34" spans="1:23" s="267" customFormat="1">
      <c r="A34" s="272">
        <v>414</v>
      </c>
      <c r="B34" s="600" t="str">
        <f>+VLOOKUP($A34,Master!$D$30:$G$226,4,FALSE)</f>
        <v>Rashodi za usluge</v>
      </c>
      <c r="C34" s="601"/>
      <c r="D34" s="601"/>
      <c r="E34" s="601"/>
      <c r="F34" s="601"/>
      <c r="G34" s="153">
        <v>1240942.3700000001</v>
      </c>
      <c r="H34" s="153">
        <v>3160477.2499999995</v>
      </c>
      <c r="I34" s="153">
        <v>5711640.4100000029</v>
      </c>
      <c r="J34" s="153">
        <v>8322105.0099999998</v>
      </c>
      <c r="K34" s="153">
        <v>6656467.5300000003</v>
      </c>
      <c r="L34" s="153">
        <v>7471155.870000001</v>
      </c>
      <c r="M34" s="153">
        <v>7213430.5299999984</v>
      </c>
      <c r="N34" s="153">
        <v>5717007.4299999997</v>
      </c>
      <c r="O34" s="153">
        <v>8387093.3100000015</v>
      </c>
      <c r="P34" s="153">
        <v>9110727.4900000002</v>
      </c>
      <c r="Q34" s="153">
        <v>8034131.2500000019</v>
      </c>
      <c r="R34" s="153">
        <v>30196133.889999993</v>
      </c>
      <c r="S34" s="270">
        <f t="shared" si="6"/>
        <v>101221312.34</v>
      </c>
      <c r="T34" s="329">
        <f t="shared" si="5"/>
        <v>1.2388261379869445</v>
      </c>
      <c r="U34" s="355"/>
    </row>
    <row r="35" spans="1:23">
      <c r="A35" s="145">
        <v>415</v>
      </c>
      <c r="B35" s="562" t="str">
        <f>+VLOOKUP($A35,Master!$D$30:$G$226,4,FALSE)</f>
        <v>Rashodi za tekuće održavanje</v>
      </c>
      <c r="C35" s="563"/>
      <c r="D35" s="563"/>
      <c r="E35" s="563"/>
      <c r="F35" s="563"/>
      <c r="G35" s="153">
        <v>1721.01</v>
      </c>
      <c r="H35" s="153">
        <v>948846.46</v>
      </c>
      <c r="I35" s="153">
        <v>3232733.72</v>
      </c>
      <c r="J35" s="153">
        <v>2562409.9899999998</v>
      </c>
      <c r="K35" s="153">
        <v>2312536.4700000002</v>
      </c>
      <c r="L35" s="153">
        <v>3212158.6600000011</v>
      </c>
      <c r="M35" s="153">
        <v>2613689.4799999995</v>
      </c>
      <c r="N35" s="153">
        <v>2769148.25</v>
      </c>
      <c r="O35" s="153">
        <v>1833197.8899999997</v>
      </c>
      <c r="P35" s="153">
        <v>3421058.6799999997</v>
      </c>
      <c r="Q35" s="153">
        <v>3136635.4699999997</v>
      </c>
      <c r="R35" s="153">
        <v>9461668.7199999988</v>
      </c>
      <c r="S35" s="270">
        <f t="shared" si="6"/>
        <v>35505804.799999997</v>
      </c>
      <c r="T35" s="329">
        <f t="shared" si="5"/>
        <v>0.43454800199345373</v>
      </c>
      <c r="U35" s="355"/>
    </row>
    <row r="36" spans="1:23">
      <c r="A36" s="145">
        <v>416</v>
      </c>
      <c r="B36" s="562" t="str">
        <f>+VLOOKUP($A36,Master!$D$30:$G$226,4,FALSE)</f>
        <v>Kamate</v>
      </c>
      <c r="C36" s="563"/>
      <c r="D36" s="563"/>
      <c r="E36" s="563"/>
      <c r="F36" s="563"/>
      <c r="G36" s="153">
        <v>3788619.5500000003</v>
      </c>
      <c r="H36" s="153">
        <v>3320549.1300000004</v>
      </c>
      <c r="I36" s="153">
        <v>24471807.800000001</v>
      </c>
      <c r="J36" s="153">
        <v>33272514.919999998</v>
      </c>
      <c r="K36" s="153">
        <v>10340576.270000001</v>
      </c>
      <c r="L36" s="153">
        <v>5428174.1699999999</v>
      </c>
      <c r="M36" s="153">
        <v>4924646.7800000012</v>
      </c>
      <c r="N36" s="153">
        <v>2716052.29</v>
      </c>
      <c r="O36" s="153">
        <v>23271613.460000005</v>
      </c>
      <c r="P36" s="153">
        <v>15439495.569999998</v>
      </c>
      <c r="Q36" s="153">
        <v>7923419.0800000001</v>
      </c>
      <c r="R36" s="153">
        <v>26197934.950000003</v>
      </c>
      <c r="S36" s="270">
        <f t="shared" si="6"/>
        <v>161095403.97000003</v>
      </c>
      <c r="T36" s="329">
        <f t="shared" si="5"/>
        <v>1.9716124256248886</v>
      </c>
      <c r="U36" s="355"/>
    </row>
    <row r="37" spans="1:23">
      <c r="A37" s="145">
        <v>417</v>
      </c>
      <c r="B37" s="562" t="str">
        <f>+VLOOKUP($A37,Master!$D$30:$G$226,4,FALSE)</f>
        <v>Renta</v>
      </c>
      <c r="C37" s="563"/>
      <c r="D37" s="563"/>
      <c r="E37" s="563"/>
      <c r="F37" s="563"/>
      <c r="G37" s="153">
        <v>17739.240000000002</v>
      </c>
      <c r="H37" s="153">
        <v>658860.81000000006</v>
      </c>
      <c r="I37" s="153">
        <v>1423590.1199999999</v>
      </c>
      <c r="J37" s="153">
        <v>1025959.76</v>
      </c>
      <c r="K37" s="153">
        <v>804880.38999999978</v>
      </c>
      <c r="L37" s="153">
        <v>1421600.72</v>
      </c>
      <c r="M37" s="153">
        <v>1142444.04</v>
      </c>
      <c r="N37" s="153">
        <v>749974.72999999975</v>
      </c>
      <c r="O37" s="153">
        <v>1351493.9</v>
      </c>
      <c r="P37" s="153">
        <v>1130022.7699999998</v>
      </c>
      <c r="Q37" s="153">
        <v>1212903.5299999998</v>
      </c>
      <c r="R37" s="153">
        <v>3980738.1699999981</v>
      </c>
      <c r="S37" s="270">
        <f t="shared" si="6"/>
        <v>14920208.179999996</v>
      </c>
      <c r="T37" s="329">
        <f t="shared" si="5"/>
        <v>0.18260525822373086</v>
      </c>
      <c r="U37" s="355"/>
    </row>
    <row r="38" spans="1:23">
      <c r="A38" s="145">
        <v>418</v>
      </c>
      <c r="B38" s="562" t="str">
        <f>+VLOOKUP($A38,Master!$D$30:$G$226,4,FALSE)</f>
        <v>Subvencije</v>
      </c>
      <c r="C38" s="563"/>
      <c r="D38" s="563"/>
      <c r="E38" s="563"/>
      <c r="F38" s="563"/>
      <c r="G38" s="153">
        <v>651862.92999999993</v>
      </c>
      <c r="H38" s="153">
        <v>4133251.8900000015</v>
      </c>
      <c r="I38" s="153">
        <v>6084455.6399999969</v>
      </c>
      <c r="J38" s="153">
        <v>6925339.3099999949</v>
      </c>
      <c r="K38" s="153">
        <v>4645561.2299999967</v>
      </c>
      <c r="L38" s="153">
        <v>5186790.0599999968</v>
      </c>
      <c r="M38" s="153">
        <v>6248831.4699999932</v>
      </c>
      <c r="N38" s="153">
        <v>4290997.3299999945</v>
      </c>
      <c r="O38" s="153">
        <v>1662216.29</v>
      </c>
      <c r="P38" s="153">
        <v>9523418.4199999999</v>
      </c>
      <c r="Q38" s="153">
        <v>7111415.4200000009</v>
      </c>
      <c r="R38" s="153">
        <v>34674373.590000153</v>
      </c>
      <c r="S38" s="270">
        <f t="shared" si="6"/>
        <v>91138513.580000132</v>
      </c>
      <c r="T38" s="329">
        <f t="shared" si="5"/>
        <v>1.1154249059816357</v>
      </c>
      <c r="U38" s="355"/>
    </row>
    <row r="39" spans="1:23">
      <c r="A39" s="145">
        <v>419</v>
      </c>
      <c r="B39" s="562" t="str">
        <f>+VLOOKUP($A39,Master!$D$30:$G$226,4,FALSE)</f>
        <v>Ostali izdaci</v>
      </c>
      <c r="C39" s="563"/>
      <c r="D39" s="563"/>
      <c r="E39" s="563"/>
      <c r="F39" s="563"/>
      <c r="G39" s="153">
        <v>430001.24</v>
      </c>
      <c r="H39" s="153">
        <v>2092733.1299999992</v>
      </c>
      <c r="I39" s="153">
        <v>7265331.7999999998</v>
      </c>
      <c r="J39" s="153">
        <v>5897910.6499999994</v>
      </c>
      <c r="K39" s="153">
        <v>4246682.419999999</v>
      </c>
      <c r="L39" s="153">
        <v>10321082.009999998</v>
      </c>
      <c r="M39" s="153">
        <v>8793336.6499999966</v>
      </c>
      <c r="N39" s="153">
        <v>4745507.8400000017</v>
      </c>
      <c r="O39" s="153">
        <v>3841672.92</v>
      </c>
      <c r="P39" s="153">
        <v>8785897.1799999997</v>
      </c>
      <c r="Q39" s="153">
        <v>4862010.4899999993</v>
      </c>
      <c r="R39" s="153">
        <v>24041342.890000004</v>
      </c>
      <c r="S39" s="270">
        <f t="shared" si="6"/>
        <v>85323509.219999999</v>
      </c>
      <c r="T39" s="329">
        <f t="shared" si="5"/>
        <v>1.0442563029755918</v>
      </c>
      <c r="U39" s="355"/>
    </row>
    <row r="40" spans="1:23">
      <c r="A40" s="145">
        <v>42</v>
      </c>
      <c r="B40" s="576" t="str">
        <f>+VLOOKUP($A40,Master!$D$30:$G$226,4,FALSE)</f>
        <v>Transferi za socijalnu zaštitu</v>
      </c>
      <c r="C40" s="577"/>
      <c r="D40" s="577"/>
      <c r="E40" s="577"/>
      <c r="F40" s="577"/>
      <c r="G40" s="174">
        <f>+SUM(G41:G45)</f>
        <v>82167964.539999992</v>
      </c>
      <c r="H40" s="174">
        <f t="shared" ref="H40:L40" si="13">+SUM(H41:H45)</f>
        <v>94348979.949999958</v>
      </c>
      <c r="I40" s="174">
        <f t="shared" si="13"/>
        <v>92698392.190000013</v>
      </c>
      <c r="J40" s="174">
        <f t="shared" si="13"/>
        <v>90293045.510000005</v>
      </c>
      <c r="K40" s="174">
        <f t="shared" si="13"/>
        <v>90665419.499999985</v>
      </c>
      <c r="L40" s="174">
        <f t="shared" si="13"/>
        <v>93385424.450000018</v>
      </c>
      <c r="M40" s="174">
        <f t="shared" ref="M40:R40" si="14">+SUM(M41:M45)</f>
        <v>92683231.180000022</v>
      </c>
      <c r="N40" s="174">
        <f t="shared" si="14"/>
        <v>94391978.5</v>
      </c>
      <c r="O40" s="174">
        <f t="shared" si="14"/>
        <v>93154567.469999999</v>
      </c>
      <c r="P40" s="174">
        <f t="shared" si="14"/>
        <v>96402993.629999995</v>
      </c>
      <c r="Q40" s="174">
        <f t="shared" si="14"/>
        <v>91523023.299999997</v>
      </c>
      <c r="R40" s="174">
        <f t="shared" si="14"/>
        <v>95483682.730000019</v>
      </c>
      <c r="S40" s="378">
        <f t="shared" si="6"/>
        <v>1107198702.95</v>
      </c>
      <c r="T40" s="379">
        <f t="shared" si="5"/>
        <v>13.550769708976318</v>
      </c>
      <c r="U40" s="355"/>
    </row>
    <row r="41" spans="1:23">
      <c r="A41" s="145">
        <v>421</v>
      </c>
      <c r="B41" s="562" t="str">
        <f>+VLOOKUP($A41,Master!$D$30:$G$226,4,FALSE)</f>
        <v>Prava iz oblasti socijalne zaštite</v>
      </c>
      <c r="C41" s="563"/>
      <c r="D41" s="563"/>
      <c r="E41" s="563"/>
      <c r="F41" s="563"/>
      <c r="G41" s="153">
        <v>19199401.200000003</v>
      </c>
      <c r="H41" s="153">
        <v>22395140.600000005</v>
      </c>
      <c r="I41" s="153">
        <v>21236015.860000007</v>
      </c>
      <c r="J41" s="153">
        <v>19874612.219999999</v>
      </c>
      <c r="K41" s="153">
        <v>19544794.68</v>
      </c>
      <c r="L41" s="153">
        <v>20328527.629999995</v>
      </c>
      <c r="M41" s="153">
        <v>20317695.200000003</v>
      </c>
      <c r="N41" s="153">
        <v>21306570.510000002</v>
      </c>
      <c r="O41" s="153">
        <v>19728465.5</v>
      </c>
      <c r="P41" s="153">
        <v>22440561.82</v>
      </c>
      <c r="Q41" s="153">
        <v>17940953.509999998</v>
      </c>
      <c r="R41" s="153">
        <v>16694332.57</v>
      </c>
      <c r="S41" s="270">
        <f t="shared" si="6"/>
        <v>241007071.30000001</v>
      </c>
      <c r="T41" s="329">
        <f t="shared" si="5"/>
        <v>2.9496343454157912</v>
      </c>
      <c r="U41" s="355"/>
    </row>
    <row r="42" spans="1:23">
      <c r="A42" s="145">
        <v>422</v>
      </c>
      <c r="B42" s="562" t="str">
        <f>+VLOOKUP($A42,Master!$D$30:$G$226,4,FALSE)</f>
        <v>Sredstva za tehnološke viškove</v>
      </c>
      <c r="C42" s="563"/>
      <c r="D42" s="563"/>
      <c r="E42" s="563"/>
      <c r="F42" s="563"/>
      <c r="G42" s="153">
        <v>37260</v>
      </c>
      <c r="H42" s="153">
        <v>2145915.9300000002</v>
      </c>
      <c r="I42" s="153">
        <v>2167887.46</v>
      </c>
      <c r="J42" s="153">
        <v>2142786.8400000003</v>
      </c>
      <c r="K42" s="153">
        <v>2091283.2200000002</v>
      </c>
      <c r="L42" s="153">
        <v>2092533.03</v>
      </c>
      <c r="M42" s="153">
        <v>2074198.53</v>
      </c>
      <c r="N42" s="153">
        <v>2056772.54</v>
      </c>
      <c r="O42" s="153">
        <v>2096311.3499999999</v>
      </c>
      <c r="P42" s="153">
        <v>2028607.22</v>
      </c>
      <c r="Q42" s="153">
        <v>2035555.39</v>
      </c>
      <c r="R42" s="153">
        <v>4695000.3600000003</v>
      </c>
      <c r="S42" s="270">
        <f t="shared" si="6"/>
        <v>25664111.870000001</v>
      </c>
      <c r="T42" s="329">
        <f t="shared" si="5"/>
        <v>0.31409761302030759</v>
      </c>
      <c r="U42" s="355"/>
    </row>
    <row r="43" spans="1:23">
      <c r="A43" s="145">
        <v>423</v>
      </c>
      <c r="B43" s="562" t="str">
        <f>+VLOOKUP($A43,Master!$D$30:$G$226,4,FALSE)</f>
        <v>Prava iz oblasti penzijskog i invalidskog osiguranja</v>
      </c>
      <c r="C43" s="563"/>
      <c r="D43" s="563"/>
      <c r="E43" s="563"/>
      <c r="F43" s="563"/>
      <c r="G43" s="153">
        <v>62931303.339999996</v>
      </c>
      <c r="H43" s="153">
        <v>65497529.849999964</v>
      </c>
      <c r="I43" s="153">
        <v>65458140.900000006</v>
      </c>
      <c r="J43" s="153">
        <v>65623487.379999995</v>
      </c>
      <c r="K43" s="153">
        <v>65646943.669999987</v>
      </c>
      <c r="L43" s="153">
        <v>66986411.460000023</v>
      </c>
      <c r="M43" s="153">
        <v>66789126.960000023</v>
      </c>
      <c r="N43" s="153">
        <v>66911161.070000008</v>
      </c>
      <c r="O43" s="153">
        <v>67160706.24000001</v>
      </c>
      <c r="P43" s="153">
        <v>67815727.029999986</v>
      </c>
      <c r="Q43" s="153">
        <v>67918600.040000007</v>
      </c>
      <c r="R43" s="153">
        <v>67958080.970000014</v>
      </c>
      <c r="S43" s="270">
        <f t="shared" si="6"/>
        <v>796697218.91000009</v>
      </c>
      <c r="T43" s="329">
        <f t="shared" si="5"/>
        <v>9.7506080096255623</v>
      </c>
      <c r="U43" s="355"/>
    </row>
    <row r="44" spans="1:23">
      <c r="A44" s="145">
        <v>424</v>
      </c>
      <c r="B44" s="562" t="str">
        <f>+VLOOKUP($A44,Master!$D$30:$G$226,4,FALSE)</f>
        <v>Ostala prava iz oblasti zdravstvene zaštite</v>
      </c>
      <c r="C44" s="563"/>
      <c r="D44" s="563"/>
      <c r="E44" s="563"/>
      <c r="F44" s="563"/>
      <c r="G44" s="153">
        <v>0</v>
      </c>
      <c r="H44" s="153">
        <v>2943314.7199999988</v>
      </c>
      <c r="I44" s="153">
        <v>1822777.6000000003</v>
      </c>
      <c r="J44" s="153">
        <v>1453855.4</v>
      </c>
      <c r="K44" s="153">
        <v>1873268.4400000002</v>
      </c>
      <c r="L44" s="153">
        <v>2658340.87</v>
      </c>
      <c r="M44" s="153">
        <v>2206882.3800000004</v>
      </c>
      <c r="N44" s="153">
        <v>2543110.1900000004</v>
      </c>
      <c r="O44" s="153">
        <v>2544955.6000000006</v>
      </c>
      <c r="P44" s="153">
        <v>2451167.8299999996</v>
      </c>
      <c r="Q44" s="153">
        <v>2785028.7300000004</v>
      </c>
      <c r="R44" s="153">
        <v>3704496.62</v>
      </c>
      <c r="S44" s="270">
        <f t="shared" si="6"/>
        <v>26987198.380000003</v>
      </c>
      <c r="T44" s="329">
        <f t="shared" si="5"/>
        <v>0.3302905877359516</v>
      </c>
      <c r="U44" s="355"/>
    </row>
    <row r="45" spans="1:23" s="267" customFormat="1">
      <c r="A45" s="272">
        <v>425</v>
      </c>
      <c r="B45" s="602" t="str">
        <f>+VLOOKUP($A45,Master!$D$30:$G$226,4,FALSE)</f>
        <v>Ostala prava iz zdravstvenog osiguranja</v>
      </c>
      <c r="C45" s="603"/>
      <c r="D45" s="603"/>
      <c r="E45" s="603"/>
      <c r="F45" s="603"/>
      <c r="G45" s="153">
        <v>0</v>
      </c>
      <c r="H45" s="153">
        <v>1367078.8500000006</v>
      </c>
      <c r="I45" s="153">
        <v>2013570.37</v>
      </c>
      <c r="J45" s="153">
        <v>1198303.67</v>
      </c>
      <c r="K45" s="153">
        <v>1509129.49</v>
      </c>
      <c r="L45" s="153">
        <v>1319611.4600000004</v>
      </c>
      <c r="M45" s="153">
        <v>1295328.1100000001</v>
      </c>
      <c r="N45" s="153">
        <v>1574364.1899999997</v>
      </c>
      <c r="O45" s="153">
        <v>1624128.7800000005</v>
      </c>
      <c r="P45" s="153">
        <v>1666929.73</v>
      </c>
      <c r="Q45" s="153">
        <v>842885.63</v>
      </c>
      <c r="R45" s="153">
        <v>2431772.2100000014</v>
      </c>
      <c r="S45" s="270">
        <f t="shared" si="6"/>
        <v>16843102.490000006</v>
      </c>
      <c r="T45" s="329">
        <f t="shared" si="5"/>
        <v>0.20613915317870693</v>
      </c>
      <c r="U45" s="355"/>
    </row>
    <row r="46" spans="1:23">
      <c r="A46" s="145">
        <v>43</v>
      </c>
      <c r="B46" s="580" t="str">
        <f>+VLOOKUP($A46,Master!$D$30:$G$226,4,FALSE)</f>
        <v>Transferi institucijama, pojedincima, nevladinom i javnom sektoru</v>
      </c>
      <c r="C46" s="581"/>
      <c r="D46" s="581"/>
      <c r="E46" s="581"/>
      <c r="F46" s="581"/>
      <c r="G46" s="159">
        <v>4939745.53</v>
      </c>
      <c r="H46" s="159">
        <v>29102083.800000001</v>
      </c>
      <c r="I46" s="159">
        <v>48341233.350000009</v>
      </c>
      <c r="J46" s="159">
        <v>36127442.350000001</v>
      </c>
      <c r="K46" s="159">
        <v>42171680.430000007</v>
      </c>
      <c r="L46" s="159">
        <v>42250978.359999999</v>
      </c>
      <c r="M46" s="159">
        <v>33069963.509999994</v>
      </c>
      <c r="N46" s="159">
        <v>32290263.91</v>
      </c>
      <c r="O46" s="159">
        <v>40423255.329999998</v>
      </c>
      <c r="P46" s="159">
        <v>41495277.580000006</v>
      </c>
      <c r="Q46" s="159">
        <v>35794173.170000002</v>
      </c>
      <c r="R46" s="159">
        <v>77290458.280000001</v>
      </c>
      <c r="S46" s="371">
        <f t="shared" si="6"/>
        <v>463296555.60000002</v>
      </c>
      <c r="T46" s="372">
        <f t="shared" si="5"/>
        <v>5.6701881199557835</v>
      </c>
      <c r="U46" s="355"/>
    </row>
    <row r="47" spans="1:23">
      <c r="A47" s="145">
        <v>44</v>
      </c>
      <c r="B47" s="580" t="str">
        <f>+VLOOKUP($A47,Master!$D$30:$G$226,4,FALSE)</f>
        <v>Kapitalni izdaci</v>
      </c>
      <c r="C47" s="581"/>
      <c r="D47" s="581"/>
      <c r="E47" s="581"/>
      <c r="F47" s="581"/>
      <c r="G47" s="159">
        <v>125800.66000000002</v>
      </c>
      <c r="H47" s="159">
        <v>11702685.83</v>
      </c>
      <c r="I47" s="159">
        <v>20234398.23</v>
      </c>
      <c r="J47" s="159">
        <v>33561366.210000001</v>
      </c>
      <c r="K47" s="159">
        <v>10208587.779999999</v>
      </c>
      <c r="L47" s="159">
        <v>33418874.420000009</v>
      </c>
      <c r="M47" s="159">
        <v>21083178.75</v>
      </c>
      <c r="N47" s="159">
        <v>24548210.75</v>
      </c>
      <c r="O47" s="159">
        <v>32840220.689999998</v>
      </c>
      <c r="P47" s="159">
        <v>26333388.120000005</v>
      </c>
      <c r="Q47" s="159">
        <v>25832123.640000001</v>
      </c>
      <c r="R47" s="159">
        <v>89256664.530000001</v>
      </c>
      <c r="S47" s="371">
        <f t="shared" si="6"/>
        <v>329145499.61000001</v>
      </c>
      <c r="T47" s="372">
        <f t="shared" si="5"/>
        <v>4.0283418451245074</v>
      </c>
      <c r="U47" s="355"/>
      <c r="V47" s="172"/>
      <c r="W47" s="172"/>
    </row>
    <row r="48" spans="1:23">
      <c r="A48" s="145">
        <v>451</v>
      </c>
      <c r="B48" s="604" t="str">
        <f>+VLOOKUP($A48,Master!$D$30:$G$226,4,FALSE)</f>
        <v>Pozajmice i krediti</v>
      </c>
      <c r="C48" s="605"/>
      <c r="D48" s="605"/>
      <c r="E48" s="605"/>
      <c r="F48" s="605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270">
        <f t="shared" si="6"/>
        <v>0</v>
      </c>
      <c r="T48" s="329">
        <f t="shared" si="5"/>
        <v>0</v>
      </c>
      <c r="U48" s="355"/>
    </row>
    <row r="49" spans="1:21" s="267" customFormat="1">
      <c r="A49" s="272">
        <v>47</v>
      </c>
      <c r="B49" s="606" t="str">
        <f>+VLOOKUP($A49,Master!$D$30:$G$226,4,FALSE)</f>
        <v>Rezerve</v>
      </c>
      <c r="C49" s="607"/>
      <c r="D49" s="607"/>
      <c r="E49" s="607"/>
      <c r="F49" s="607"/>
      <c r="G49" s="153">
        <v>0</v>
      </c>
      <c r="H49" s="153">
        <v>209850</v>
      </c>
      <c r="I49" s="153">
        <v>4097639.84</v>
      </c>
      <c r="J49" s="153">
        <v>60894.409999999996</v>
      </c>
      <c r="K49" s="153">
        <v>22681.05</v>
      </c>
      <c r="L49" s="153">
        <v>196045.28999999995</v>
      </c>
      <c r="M49" s="153">
        <v>28857.670000000002</v>
      </c>
      <c r="N49" s="153">
        <v>2000</v>
      </c>
      <c r="O49" s="153">
        <v>53111.65</v>
      </c>
      <c r="P49" s="153">
        <v>22666.7</v>
      </c>
      <c r="Q49" s="153">
        <v>263081.59999999998</v>
      </c>
      <c r="R49" s="153">
        <v>2397969.0699999998</v>
      </c>
      <c r="S49" s="270">
        <f t="shared" si="6"/>
        <v>7354797.2799999993</v>
      </c>
      <c r="T49" s="329">
        <f t="shared" si="5"/>
        <v>9.0013801435952459E-2</v>
      </c>
      <c r="U49" s="355"/>
    </row>
    <row r="50" spans="1:21">
      <c r="A50" s="145">
        <v>462</v>
      </c>
      <c r="B50" s="578" t="str">
        <f>+VLOOKUP($A50,Master!$D$30:$G$226,4,FALSE)</f>
        <v>Otplata garancija</v>
      </c>
      <c r="C50" s="579"/>
      <c r="D50" s="579"/>
      <c r="E50" s="579"/>
      <c r="F50" s="579"/>
      <c r="G50" s="153">
        <v>4062322.96</v>
      </c>
      <c r="H50" s="153">
        <v>0</v>
      </c>
      <c r="I50" s="153">
        <v>0</v>
      </c>
      <c r="J50" s="153">
        <v>0</v>
      </c>
      <c r="K50" s="153">
        <v>0</v>
      </c>
      <c r="L50" s="153">
        <v>0</v>
      </c>
      <c r="M50" s="153">
        <v>0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6"/>
        <v>4062322.96</v>
      </c>
      <c r="T50" s="329">
        <f t="shared" si="5"/>
        <v>4.9717907696043354E-2</v>
      </c>
      <c r="U50" s="355"/>
    </row>
    <row r="51" spans="1:21">
      <c r="A51" s="136">
        <v>4630</v>
      </c>
      <c r="B51" s="608" t="str">
        <f>+VLOOKUP($A51,Master!$D$30:$G$226,4,TRUE)</f>
        <v>Otplata obaveza iz prethodnog perioda</v>
      </c>
      <c r="C51" s="609"/>
      <c r="D51" s="609"/>
      <c r="E51" s="609"/>
      <c r="F51" s="609"/>
      <c r="G51" s="335">
        <v>1050360.8299999998</v>
      </c>
      <c r="H51" s="335">
        <v>2197777.1399999997</v>
      </c>
      <c r="I51" s="335">
        <v>2186945.5499999998</v>
      </c>
      <c r="J51" s="335">
        <v>1823733.37</v>
      </c>
      <c r="K51" s="335">
        <v>1744824.6599999997</v>
      </c>
      <c r="L51" s="335">
        <v>1298140.1999999997</v>
      </c>
      <c r="M51" s="335">
        <v>3501066.26</v>
      </c>
      <c r="N51" s="335">
        <v>737916.52000000014</v>
      </c>
      <c r="O51" s="335">
        <v>6379172.5600000015</v>
      </c>
      <c r="P51" s="335">
        <v>2068707.780000001</v>
      </c>
      <c r="Q51" s="335">
        <v>1319744.9099999995</v>
      </c>
      <c r="R51" s="335">
        <v>2152765.16</v>
      </c>
      <c r="S51" s="290">
        <f t="shared" si="6"/>
        <v>26461154.940000001</v>
      </c>
      <c r="T51" s="337">
        <f t="shared" si="5"/>
        <v>0.32385245382795008</v>
      </c>
      <c r="U51" s="355"/>
    </row>
    <row r="52" spans="1:21">
      <c r="A52" s="128">
        <v>1005</v>
      </c>
      <c r="B52" s="610" t="str">
        <f>+VLOOKUP($A52,Master!$D$30:$G$228,4,FALSE)</f>
        <v>Neto povećanje obaveza</v>
      </c>
      <c r="C52" s="611"/>
      <c r="D52" s="611"/>
      <c r="E52" s="611"/>
      <c r="F52" s="611"/>
      <c r="G52" s="183">
        <v>0</v>
      </c>
      <c r="H52" s="183">
        <v>0</v>
      </c>
      <c r="I52" s="183">
        <v>0</v>
      </c>
      <c r="J52" s="183">
        <v>0</v>
      </c>
      <c r="K52" s="183">
        <v>0</v>
      </c>
      <c r="L52" s="183">
        <v>0</v>
      </c>
      <c r="M52" s="183">
        <v>0</v>
      </c>
      <c r="N52" s="183">
        <v>0</v>
      </c>
      <c r="O52" s="183">
        <v>0</v>
      </c>
      <c r="P52" s="183">
        <v>0</v>
      </c>
      <c r="Q52" s="183">
        <v>0</v>
      </c>
      <c r="R52" s="356">
        <v>0</v>
      </c>
      <c r="S52" s="292">
        <f t="shared" si="6"/>
        <v>0</v>
      </c>
      <c r="T52" s="338">
        <f t="shared" si="5"/>
        <v>0</v>
      </c>
    </row>
    <row r="53" spans="1:21">
      <c r="A53" s="136">
        <v>1000</v>
      </c>
      <c r="B53" s="596" t="str">
        <f>+VLOOKUP($A53,Master!$D$30:$G$226,4,FALSE)</f>
        <v>Suficit / deficit</v>
      </c>
      <c r="C53" s="597"/>
      <c r="D53" s="597"/>
      <c r="E53" s="597"/>
      <c r="F53" s="597"/>
      <c r="G53" s="146">
        <f t="shared" ref="G53:R53" si="15">+G10-G29</f>
        <v>2365454.1400000155</v>
      </c>
      <c r="H53" s="146">
        <f t="shared" si="15"/>
        <v>-34377741.619999975</v>
      </c>
      <c r="I53" s="146">
        <f t="shared" si="15"/>
        <v>-33092990.410000026</v>
      </c>
      <c r="J53" s="146">
        <f t="shared" si="15"/>
        <v>32918764.539999962</v>
      </c>
      <c r="K53" s="146">
        <f t="shared" si="15"/>
        <v>-36446728.930000007</v>
      </c>
      <c r="L53" s="146">
        <f t="shared" si="15"/>
        <v>-41014060.710000068</v>
      </c>
      <c r="M53" s="146">
        <f t="shared" si="15"/>
        <v>14650675.859999985</v>
      </c>
      <c r="N53" s="146">
        <f t="shared" si="15"/>
        <v>24744273.399999976</v>
      </c>
      <c r="O53" s="146">
        <f t="shared" si="15"/>
        <v>-14490745.960000098</v>
      </c>
      <c r="P53" s="146">
        <f t="shared" si="15"/>
        <v>-31760167.920000046</v>
      </c>
      <c r="Q53" s="146">
        <f t="shared" si="15"/>
        <v>-56252575.890000045</v>
      </c>
      <c r="R53" s="146">
        <f t="shared" si="15"/>
        <v>-140924365.59000021</v>
      </c>
      <c r="S53" s="380">
        <f>SUM(G53:R53)</f>
        <v>-313680209.09000051</v>
      </c>
      <c r="T53" s="381">
        <f t="shared" si="5"/>
        <v>-3.839065439940359</v>
      </c>
    </row>
    <row r="54" spans="1:21">
      <c r="A54" s="136">
        <v>1001</v>
      </c>
      <c r="B54" s="598" t="str">
        <f>+VLOOKUP($A54,Master!$D$30:$G$226,4,FALSE)</f>
        <v>Primarni suficit/deficit</v>
      </c>
      <c r="C54" s="599"/>
      <c r="D54" s="599"/>
      <c r="E54" s="599"/>
      <c r="F54" s="599"/>
      <c r="G54" s="190">
        <f t="shared" ref="G54:R54" si="16">+G53+G36</f>
        <v>6154073.6900000162</v>
      </c>
      <c r="H54" s="190">
        <f t="shared" si="16"/>
        <v>-31057192.489999976</v>
      </c>
      <c r="I54" s="190">
        <f t="shared" si="16"/>
        <v>-8621182.6100000255</v>
      </c>
      <c r="J54" s="190">
        <f t="shared" si="16"/>
        <v>66191279.459999964</v>
      </c>
      <c r="K54" s="190">
        <f t="shared" si="16"/>
        <v>-26106152.660000004</v>
      </c>
      <c r="L54" s="190">
        <f t="shared" si="16"/>
        <v>-35585886.540000066</v>
      </c>
      <c r="M54" s="190">
        <f t="shared" si="16"/>
        <v>19575322.639999986</v>
      </c>
      <c r="N54" s="190">
        <f t="shared" si="16"/>
        <v>27460325.689999975</v>
      </c>
      <c r="O54" s="190">
        <f t="shared" si="16"/>
        <v>8780867.4999999069</v>
      </c>
      <c r="P54" s="190">
        <f t="shared" si="16"/>
        <v>-16320672.350000048</v>
      </c>
      <c r="Q54" s="190">
        <f t="shared" si="16"/>
        <v>-48329156.810000047</v>
      </c>
      <c r="R54" s="190">
        <f t="shared" si="16"/>
        <v>-114726430.64000021</v>
      </c>
      <c r="S54" s="380">
        <f t="shared" si="6"/>
        <v>-152584805.12000054</v>
      </c>
      <c r="T54" s="381">
        <f t="shared" si="5"/>
        <v>-1.8674530143154715</v>
      </c>
    </row>
    <row r="55" spans="1:21">
      <c r="A55" s="136">
        <v>46</v>
      </c>
      <c r="B55" s="612" t="str">
        <f>+VLOOKUP($A55,Master!$D$30:$G$226,4,FALSE)</f>
        <v>Otplata dugova</v>
      </c>
      <c r="C55" s="613"/>
      <c r="D55" s="613"/>
      <c r="E55" s="613"/>
      <c r="F55" s="613"/>
      <c r="G55" s="174">
        <f t="shared" ref="G55" si="17">+SUM(G56:G57)</f>
        <v>34620662.689999998</v>
      </c>
      <c r="H55" s="174">
        <f t="shared" ref="H55:L55" si="18">+SUM(H56:H57)</f>
        <v>8280354.3399999989</v>
      </c>
      <c r="I55" s="174">
        <f t="shared" si="18"/>
        <v>35822753.07</v>
      </c>
      <c r="J55" s="159">
        <f t="shared" si="18"/>
        <v>507364176.06000006</v>
      </c>
      <c r="K55" s="174">
        <f t="shared" si="18"/>
        <v>49335423.139999993</v>
      </c>
      <c r="L55" s="174">
        <f t="shared" si="18"/>
        <v>38233496.119999997</v>
      </c>
      <c r="M55" s="174">
        <f t="shared" ref="M55:R55" si="19">+SUM(M56:M57)</f>
        <v>34467856.200000003</v>
      </c>
      <c r="N55" s="174">
        <f t="shared" si="19"/>
        <v>7549624.8600000003</v>
      </c>
      <c r="O55" s="174">
        <f t="shared" si="19"/>
        <v>26105146.839999996</v>
      </c>
      <c r="P55" s="174">
        <f t="shared" si="19"/>
        <v>7069854.0099999998</v>
      </c>
      <c r="Q55" s="174">
        <f t="shared" si="19"/>
        <v>24725000.399999995</v>
      </c>
      <c r="R55" s="174">
        <f t="shared" si="19"/>
        <v>30219638.550000001</v>
      </c>
      <c r="S55" s="382">
        <f t="shared" si="6"/>
        <v>803793986.28000009</v>
      </c>
      <c r="T55" s="383">
        <f t="shared" si="5"/>
        <v>9.8374638378096311</v>
      </c>
    </row>
    <row r="56" spans="1:21">
      <c r="A56" s="136">
        <v>4611</v>
      </c>
      <c r="B56" s="594" t="str">
        <f>+VLOOKUP($A56,Master!$D$30:$G$226,4,FALSE)</f>
        <v>Otplata hartija od vrijednosti i kredita rezidentima</v>
      </c>
      <c r="C56" s="595"/>
      <c r="D56" s="595"/>
      <c r="E56" s="595"/>
      <c r="F56" s="595"/>
      <c r="G56" s="176">
        <v>1984895.29</v>
      </c>
      <c r="H56" s="176">
        <v>1705490.1300000001</v>
      </c>
      <c r="I56" s="176">
        <v>4420486.6500000004</v>
      </c>
      <c r="J56" s="176">
        <v>2049822.23</v>
      </c>
      <c r="K56" s="176">
        <v>2795674.89</v>
      </c>
      <c r="L56" s="176">
        <v>15431758.25</v>
      </c>
      <c r="M56" s="176">
        <v>1723907.95</v>
      </c>
      <c r="N56" s="176">
        <v>1755694.74</v>
      </c>
      <c r="O56" s="176">
        <v>4555783.9000000004</v>
      </c>
      <c r="P56" s="176">
        <v>1755147.06</v>
      </c>
      <c r="Q56" s="176">
        <v>2864397.9</v>
      </c>
      <c r="R56" s="176">
        <v>15776242.57</v>
      </c>
      <c r="S56" s="298">
        <f t="shared" si="6"/>
        <v>56819301.560000002</v>
      </c>
      <c r="T56" s="342">
        <f t="shared" si="5"/>
        <v>0.69539936093946897</v>
      </c>
    </row>
    <row r="57" spans="1:21">
      <c r="A57" s="136">
        <v>4612</v>
      </c>
      <c r="B57" s="582" t="str">
        <f>+VLOOKUP($A57,Master!$D$30:$G$226,4,FALSE)</f>
        <v>Otplata hartija od vrijednosti i kredita nerezidentima</v>
      </c>
      <c r="C57" s="583"/>
      <c r="D57" s="583"/>
      <c r="E57" s="583"/>
      <c r="F57" s="583"/>
      <c r="G57" s="176">
        <v>32635767.399999999</v>
      </c>
      <c r="H57" s="176">
        <v>6574864.209999999</v>
      </c>
      <c r="I57" s="176">
        <v>31402266.420000002</v>
      </c>
      <c r="J57" s="176">
        <v>505314353.83000004</v>
      </c>
      <c r="K57" s="176">
        <v>46539748.249999993</v>
      </c>
      <c r="L57" s="176">
        <v>22801737.869999997</v>
      </c>
      <c r="M57" s="176">
        <v>32743948.25</v>
      </c>
      <c r="N57" s="176">
        <v>5793930.1200000001</v>
      </c>
      <c r="O57" s="176">
        <v>21549362.939999994</v>
      </c>
      <c r="P57" s="176">
        <v>5314706.95</v>
      </c>
      <c r="Q57" s="176">
        <v>21860602.499999996</v>
      </c>
      <c r="R57" s="176">
        <v>14443395.98</v>
      </c>
      <c r="S57" s="298">
        <f t="shared" si="6"/>
        <v>746974684.72000003</v>
      </c>
      <c r="T57" s="342">
        <f t="shared" si="5"/>
        <v>9.1420644768701607</v>
      </c>
    </row>
    <row r="58" spans="1:21">
      <c r="A58" s="136">
        <v>4418</v>
      </c>
      <c r="B58" s="572" t="str">
        <f>+VLOOKUP($A58,Master!$D$30:$G$226,4,FALSE)</f>
        <v>Izdaci za kupovinu hartija od vrijednosti</v>
      </c>
      <c r="C58" s="573"/>
      <c r="D58" s="573"/>
      <c r="E58" s="573"/>
      <c r="F58" s="573"/>
      <c r="G58" s="300">
        <v>0</v>
      </c>
      <c r="H58" s="300">
        <v>0</v>
      </c>
      <c r="I58" s="300">
        <v>1042170.92</v>
      </c>
      <c r="J58" s="300">
        <v>0</v>
      </c>
      <c r="K58" s="300">
        <v>0</v>
      </c>
      <c r="L58" s="300">
        <v>360695.5</v>
      </c>
      <c r="M58" s="300">
        <v>82691.12</v>
      </c>
      <c r="N58" s="300">
        <v>0</v>
      </c>
      <c r="O58" s="300">
        <v>0</v>
      </c>
      <c r="P58" s="300">
        <v>0</v>
      </c>
      <c r="Q58" s="300">
        <v>0</v>
      </c>
      <c r="R58" s="300">
        <v>47.3</v>
      </c>
      <c r="S58" s="382">
        <f>SUM(G58:R58)</f>
        <v>1485604.84</v>
      </c>
      <c r="T58" s="384">
        <f t="shared" si="5"/>
        <v>1.818200203065963E-2</v>
      </c>
    </row>
    <row r="59" spans="1:21">
      <c r="A59" s="145">
        <v>451</v>
      </c>
      <c r="B59" s="572" t="str">
        <f>+VLOOKUP($A59,Master!$D$30:$G$226,4,FALSE)</f>
        <v>Pozajmice i krediti</v>
      </c>
      <c r="C59" s="573"/>
      <c r="D59" s="573"/>
      <c r="E59" s="573"/>
      <c r="F59" s="573"/>
      <c r="G59" s="153">
        <v>0</v>
      </c>
      <c r="H59" s="153">
        <v>1478222</v>
      </c>
      <c r="I59" s="153">
        <v>1456725.62</v>
      </c>
      <c r="J59" s="153">
        <v>792552.3</v>
      </c>
      <c r="K59" s="153">
        <v>768533.87</v>
      </c>
      <c r="L59" s="153">
        <v>776984.56</v>
      </c>
      <c r="M59" s="153">
        <v>287960.95</v>
      </c>
      <c r="N59" s="153">
        <v>11164.5</v>
      </c>
      <c r="O59" s="153">
        <v>1103772.82</v>
      </c>
      <c r="P59" s="153">
        <v>1401425.2</v>
      </c>
      <c r="Q59" s="153">
        <v>280526.68</v>
      </c>
      <c r="R59" s="300">
        <v>630938.89</v>
      </c>
      <c r="S59" s="382">
        <f>SUM(G59:R59)</f>
        <v>8988807.3900000006</v>
      </c>
      <c r="T59" s="384">
        <f t="shared" si="5"/>
        <v>0.11001210403850617</v>
      </c>
    </row>
    <row r="60" spans="1:21">
      <c r="A60" s="136">
        <v>1002</v>
      </c>
      <c r="B60" s="592" t="str">
        <f>+VLOOKUP($A60,Master!$D$30:$G$226,4,FALSE)</f>
        <v>Nedostajuća sredstva</v>
      </c>
      <c r="C60" s="593"/>
      <c r="D60" s="593"/>
      <c r="E60" s="593"/>
      <c r="F60" s="593"/>
      <c r="G60" s="197">
        <f>+G53-G55-G58-G59</f>
        <v>-32255208.549999982</v>
      </c>
      <c r="H60" s="197">
        <f t="shared" ref="H60:S60" si="20">+H53-H55-H58-H59</f>
        <v>-44136317.959999971</v>
      </c>
      <c r="I60" s="197">
        <f t="shared" si="20"/>
        <v>-71414640.020000026</v>
      </c>
      <c r="J60" s="197">
        <f t="shared" si="20"/>
        <v>-475237963.82000011</v>
      </c>
      <c r="K60" s="197">
        <f t="shared" si="20"/>
        <v>-86550685.939999998</v>
      </c>
      <c r="L60" s="197">
        <f t="shared" si="20"/>
        <v>-80385236.890000075</v>
      </c>
      <c r="M60" s="197">
        <f t="shared" si="20"/>
        <v>-20187832.410000019</v>
      </c>
      <c r="N60" s="197">
        <f t="shared" si="20"/>
        <v>17183484.039999977</v>
      </c>
      <c r="O60" s="197">
        <f t="shared" si="20"/>
        <v>-41699665.620000094</v>
      </c>
      <c r="P60" s="197">
        <f t="shared" si="20"/>
        <v>-40231447.130000047</v>
      </c>
      <c r="Q60" s="197">
        <f t="shared" si="20"/>
        <v>-81258102.970000044</v>
      </c>
      <c r="R60" s="197">
        <f t="shared" si="20"/>
        <v>-171774990.33000022</v>
      </c>
      <c r="S60" s="382">
        <f t="shared" si="20"/>
        <v>-1127948607.6000006</v>
      </c>
      <c r="T60" s="385">
        <f t="shared" si="5"/>
        <v>-13.804723383819157</v>
      </c>
    </row>
    <row r="61" spans="1:21">
      <c r="A61" s="136">
        <v>1003</v>
      </c>
      <c r="B61" s="570" t="str">
        <f>+VLOOKUP($A61,Master!$D$30:$G$226,4,FALSE)</f>
        <v>Finansiranje</v>
      </c>
      <c r="C61" s="571"/>
      <c r="D61" s="571"/>
      <c r="E61" s="571"/>
      <c r="F61" s="571"/>
      <c r="G61" s="146">
        <f>+SUM(G62:G66)</f>
        <v>32255208.549999982</v>
      </c>
      <c r="H61" s="146">
        <f t="shared" ref="H61:L61" si="21">+SUM(H62:H66)</f>
        <v>44136317.959999971</v>
      </c>
      <c r="I61" s="146">
        <f t="shared" si="21"/>
        <v>71414640.020000026</v>
      </c>
      <c r="J61" s="146">
        <f t="shared" si="21"/>
        <v>475237963.82000011</v>
      </c>
      <c r="K61" s="146">
        <f t="shared" si="21"/>
        <v>86550685.939999998</v>
      </c>
      <c r="L61" s="146">
        <f t="shared" si="21"/>
        <v>80385236.890000075</v>
      </c>
      <c r="M61" s="146">
        <f t="shared" ref="M61:R61" si="22">+SUM(M62:M66)</f>
        <v>20187832.410000019</v>
      </c>
      <c r="N61" s="146">
        <f t="shared" si="22"/>
        <v>-17183484.039999977</v>
      </c>
      <c r="O61" s="146">
        <f t="shared" si="22"/>
        <v>41699665.620000094</v>
      </c>
      <c r="P61" s="146">
        <f t="shared" si="22"/>
        <v>40231447.130000047</v>
      </c>
      <c r="Q61" s="146">
        <f t="shared" si="22"/>
        <v>81258102.970000044</v>
      </c>
      <c r="R61" s="146">
        <f t="shared" si="22"/>
        <v>171774990.33000022</v>
      </c>
      <c r="S61" s="386">
        <f t="shared" si="6"/>
        <v>1127948607.6000006</v>
      </c>
      <c r="T61" s="387">
        <f t="shared" si="5"/>
        <v>13.804723383819157</v>
      </c>
    </row>
    <row r="62" spans="1:21">
      <c r="A62" s="136">
        <v>7511</v>
      </c>
      <c r="B62" s="594" t="str">
        <f>+VLOOKUP($A62,Master!$D$30:$G$226,4,FALSE)</f>
        <v>Pozajmice i krediti od domaćih izvora</v>
      </c>
      <c r="C62" s="595"/>
      <c r="D62" s="595"/>
      <c r="E62" s="595"/>
      <c r="F62" s="595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6127675</v>
      </c>
      <c r="M62" s="346">
        <v>0</v>
      </c>
      <c r="N62" s="176">
        <v>0</v>
      </c>
      <c r="O62" s="176">
        <v>0</v>
      </c>
      <c r="P62" s="176">
        <v>0</v>
      </c>
      <c r="Q62" s="176">
        <v>0</v>
      </c>
      <c r="R62" s="176">
        <v>49867022</v>
      </c>
      <c r="S62" s="298">
        <f t="shared" si="6"/>
        <v>55994697</v>
      </c>
      <c r="T62" s="342">
        <f t="shared" si="5"/>
        <v>0.68530720091095743</v>
      </c>
    </row>
    <row r="63" spans="1:21">
      <c r="A63" s="136">
        <v>7512</v>
      </c>
      <c r="B63" s="582" t="str">
        <f>+VLOOKUP($A63,Master!$D$30:$G$226,4,FALSE)</f>
        <v>Pozajmice i krediti od inostranih izvora</v>
      </c>
      <c r="C63" s="583"/>
      <c r="D63" s="583"/>
      <c r="E63" s="583"/>
      <c r="F63" s="583"/>
      <c r="G63" s="176">
        <v>1824723.8699999999</v>
      </c>
      <c r="H63" s="176">
        <v>12400327.83</v>
      </c>
      <c r="I63" s="176">
        <v>3541669.7800000003</v>
      </c>
      <c r="J63" s="176">
        <v>875107403.84000003</v>
      </c>
      <c r="K63" s="176">
        <v>13247476.579999998</v>
      </c>
      <c r="L63" s="176">
        <v>17223432.43</v>
      </c>
      <c r="M63" s="346">
        <v>2262202.15</v>
      </c>
      <c r="N63" s="176">
        <v>5098569.58</v>
      </c>
      <c r="O63" s="176">
        <v>11385734.539999999</v>
      </c>
      <c r="P63" s="176">
        <v>8898787.9399999995</v>
      </c>
      <c r="Q63" s="176">
        <v>7017571.3999999994</v>
      </c>
      <c r="R63" s="176">
        <v>455783810.64000005</v>
      </c>
      <c r="S63" s="298">
        <f t="shared" si="6"/>
        <v>1413791710.5800002</v>
      </c>
      <c r="T63" s="342">
        <f t="shared" si="5"/>
        <v>17.303096395872885</v>
      </c>
    </row>
    <row r="64" spans="1:21">
      <c r="A64" s="136">
        <v>72</v>
      </c>
      <c r="B64" s="582" t="str">
        <f>+VLOOKUP($A64,Master!$D$30:$G$226,4,FALSE)</f>
        <v>Primici od prodaje imovine</v>
      </c>
      <c r="C64" s="583"/>
      <c r="D64" s="583"/>
      <c r="E64" s="583"/>
      <c r="F64" s="583"/>
      <c r="G64" s="176">
        <v>106186.26999999999</v>
      </c>
      <c r="H64" s="176">
        <v>433611.13</v>
      </c>
      <c r="I64" s="176">
        <v>56765.9</v>
      </c>
      <c r="J64" s="176">
        <v>120196.97999999998</v>
      </c>
      <c r="K64" s="176">
        <v>111116.87999999996</v>
      </c>
      <c r="L64" s="176">
        <v>96396.750000000015</v>
      </c>
      <c r="M64" s="346">
        <v>164141.29999999999</v>
      </c>
      <c r="N64" s="176">
        <v>213815.58</v>
      </c>
      <c r="O64" s="176">
        <v>103884.06</v>
      </c>
      <c r="P64" s="176">
        <v>186399.44000000003</v>
      </c>
      <c r="Q64" s="176">
        <v>3374180.95</v>
      </c>
      <c r="R64" s="176">
        <v>5201509.790000001</v>
      </c>
      <c r="S64" s="298">
        <f t="shared" si="6"/>
        <v>10168205.030000001</v>
      </c>
      <c r="T64" s="342">
        <f t="shared" si="5"/>
        <v>0.12444650119989074</v>
      </c>
    </row>
    <row r="65" spans="1:20">
      <c r="A65" s="136">
        <v>73</v>
      </c>
      <c r="B65" s="566" t="s">
        <v>20</v>
      </c>
      <c r="C65" s="567"/>
      <c r="D65" s="567"/>
      <c r="E65" s="567"/>
      <c r="F65" s="567"/>
      <c r="G65" s="159">
        <v>2934144.88</v>
      </c>
      <c r="H65" s="159">
        <v>678005.91</v>
      </c>
      <c r="I65" s="159">
        <v>623345.78999999992</v>
      </c>
      <c r="J65" s="159">
        <v>1934833.07</v>
      </c>
      <c r="K65" s="159">
        <v>870162.63</v>
      </c>
      <c r="L65" s="159">
        <v>2464198.9700000002</v>
      </c>
      <c r="M65" s="159">
        <v>3116777.48</v>
      </c>
      <c r="N65" s="159">
        <v>1161441.7</v>
      </c>
      <c r="O65" s="159">
        <v>577156.09</v>
      </c>
      <c r="P65" s="159">
        <v>2238256.6500000004</v>
      </c>
      <c r="Q65" s="159">
        <v>704735.70000000007</v>
      </c>
      <c r="R65" s="159">
        <v>3281400.6599999997</v>
      </c>
      <c r="S65" s="284">
        <f t="shared" si="6"/>
        <v>20584459.530000001</v>
      </c>
      <c r="T65" s="330">
        <f t="shared" si="5"/>
        <v>0.25192882716677945</v>
      </c>
    </row>
    <row r="66" spans="1:20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27390153.529999983</v>
      </c>
      <c r="H66" s="204">
        <f t="shared" ref="H66:L66" si="23">-H60-SUM(H62:H65)</f>
        <v>30624373.08999997</v>
      </c>
      <c r="I66" s="204">
        <f t="shared" si="23"/>
        <v>67192858.550000027</v>
      </c>
      <c r="J66" s="204">
        <f t="shared" si="23"/>
        <v>-401924470.06999999</v>
      </c>
      <c r="K66" s="204">
        <f t="shared" si="23"/>
        <v>72321929.849999994</v>
      </c>
      <c r="L66" s="204">
        <f t="shared" si="23"/>
        <v>54473533.740000077</v>
      </c>
      <c r="M66" s="204">
        <f t="shared" ref="M66:S66" si="24">-M60-SUM(M62:M65)</f>
        <v>14644711.480000019</v>
      </c>
      <c r="N66" s="204">
        <f t="shared" si="24"/>
        <v>-23657310.899999976</v>
      </c>
      <c r="O66" s="204">
        <f t="shared" si="24"/>
        <v>29632890.930000097</v>
      </c>
      <c r="P66" s="204">
        <f t="shared" si="24"/>
        <v>28908003.100000046</v>
      </c>
      <c r="Q66" s="204">
        <f t="shared" si="24"/>
        <v>70161614.920000046</v>
      </c>
      <c r="R66" s="204">
        <f t="shared" si="24"/>
        <v>-342358752.75999987</v>
      </c>
      <c r="S66" s="307">
        <f t="shared" si="24"/>
        <v>-372590464.53999949</v>
      </c>
      <c r="T66" s="347">
        <f t="shared" si="5"/>
        <v>-4.5600555413313586</v>
      </c>
    </row>
    <row r="67" spans="1:20">
      <c r="R67" s="207"/>
    </row>
    <row r="68" spans="1:20">
      <c r="F68" s="173"/>
      <c r="G68" s="173"/>
      <c r="H68" s="173"/>
    </row>
    <row r="69" spans="1:20" hidden="1">
      <c r="G69" s="17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172"/>
    </row>
    <row r="81" spans="1:25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5">
      <c r="G82" s="210" t="str">
        <f t="shared" ref="G82:R82" si="25">+CONCATENATE(G6,"p")</f>
        <v>2025-01p</v>
      </c>
      <c r="H82" s="210" t="str">
        <f t="shared" si="25"/>
        <v>2025-02p</v>
      </c>
      <c r="I82" s="210" t="str">
        <f t="shared" si="25"/>
        <v>2025-03p</v>
      </c>
      <c r="J82" s="210" t="str">
        <f t="shared" si="25"/>
        <v>2025-04p</v>
      </c>
      <c r="K82" s="210" t="str">
        <f t="shared" si="25"/>
        <v>2025-05p</v>
      </c>
      <c r="L82" s="210" t="str">
        <f t="shared" si="25"/>
        <v>2025-06p</v>
      </c>
      <c r="M82" s="210" t="str">
        <f t="shared" si="25"/>
        <v>2025-07p</v>
      </c>
      <c r="N82" s="210" t="str">
        <f t="shared" si="25"/>
        <v>2025-08p</v>
      </c>
      <c r="O82" s="210" t="str">
        <f t="shared" si="25"/>
        <v>2025-09p</v>
      </c>
      <c r="P82" s="210" t="str">
        <f t="shared" si="25"/>
        <v>2025-10p</v>
      </c>
      <c r="Q82" s="210" t="str">
        <f t="shared" si="25"/>
        <v>2025-11p</v>
      </c>
      <c r="R82" s="210" t="str">
        <f t="shared" si="25"/>
        <v>2025-12p</v>
      </c>
    </row>
    <row r="83" spans="1:25" ht="15.75" customHeight="1">
      <c r="B83" s="637" t="str">
        <f>+Master!G253</f>
        <v>Plan ostvarenja budžeta</v>
      </c>
      <c r="C83" s="638"/>
      <c r="D83" s="638"/>
      <c r="E83" s="638"/>
      <c r="F83" s="638"/>
      <c r="G83" s="614">
        <v>2025</v>
      </c>
      <c r="H83" s="615"/>
      <c r="I83" s="615"/>
      <c r="J83" s="615"/>
      <c r="K83" s="615"/>
      <c r="L83" s="615"/>
      <c r="M83" s="615"/>
      <c r="N83" s="615"/>
      <c r="O83" s="615"/>
      <c r="P83" s="615"/>
      <c r="Q83" s="615"/>
      <c r="R83" s="616"/>
      <c r="S83" s="211" t="str">
        <f>+S7</f>
        <v>BDP</v>
      </c>
      <c r="T83" s="140">
        <f>+T7</f>
        <v>8170744000</v>
      </c>
    </row>
    <row r="84" spans="1:25" ht="15.75" customHeight="1">
      <c r="B84" s="639"/>
      <c r="C84" s="640"/>
      <c r="D84" s="640"/>
      <c r="E84" s="640"/>
      <c r="F84" s="641"/>
      <c r="G84" s="179" t="str">
        <f t="shared" ref="G84:R84" si="26">+G8</f>
        <v>Januar</v>
      </c>
      <c r="H84" s="179" t="str">
        <f t="shared" si="26"/>
        <v>Februar</v>
      </c>
      <c r="I84" s="179" t="str">
        <f t="shared" si="26"/>
        <v>Mart</v>
      </c>
      <c r="J84" s="179" t="str">
        <f t="shared" si="26"/>
        <v>April</v>
      </c>
      <c r="K84" s="179" t="str">
        <f t="shared" si="26"/>
        <v>Maj</v>
      </c>
      <c r="L84" s="179" t="str">
        <f t="shared" si="26"/>
        <v>Jun</v>
      </c>
      <c r="M84" s="179" t="str">
        <f t="shared" si="26"/>
        <v>Jul</v>
      </c>
      <c r="N84" s="179" t="str">
        <f t="shared" si="26"/>
        <v>Avgust</v>
      </c>
      <c r="O84" s="179" t="str">
        <f t="shared" si="26"/>
        <v>Septembar</v>
      </c>
      <c r="P84" s="179" t="str">
        <f t="shared" si="26"/>
        <v>Oktobar</v>
      </c>
      <c r="Q84" s="179" t="str">
        <f t="shared" si="26"/>
        <v>Novembar</v>
      </c>
      <c r="R84" s="179" t="str">
        <f t="shared" si="26"/>
        <v>Decembar</v>
      </c>
      <c r="S84" s="614" t="str">
        <f>+Master!G247</f>
        <v>Jan - Dec</v>
      </c>
      <c r="T84" s="616">
        <f>+T8</f>
        <v>0</v>
      </c>
    </row>
    <row r="85" spans="1:25">
      <c r="B85" s="642"/>
      <c r="C85" s="643"/>
      <c r="D85" s="643"/>
      <c r="E85" s="643"/>
      <c r="F85" s="644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5">
      <c r="A86" s="216" t="str">
        <f t="shared" ref="A86:A134" si="27">+CONCATENATE(A10,"p")</f>
        <v>7p</v>
      </c>
      <c r="B86" s="617" t="str">
        <f>+VLOOKUP(LEFT($A86,LEN(A86)-1)*1,Master!$D$30:$G$226,4,FALSE)</f>
        <v>Prihodi budžeta</v>
      </c>
      <c r="C86" s="618"/>
      <c r="D86" s="618"/>
      <c r="E86" s="618"/>
      <c r="F86" s="618"/>
      <c r="G86" s="388">
        <v>156165361.56999999</v>
      </c>
      <c r="H86" s="388">
        <v>186465774.61270201</v>
      </c>
      <c r="I86" s="388">
        <v>250781153.760775</v>
      </c>
      <c r="J86" s="388">
        <v>317134934.20959002</v>
      </c>
      <c r="K86" s="388">
        <v>208696974.08136401</v>
      </c>
      <c r="L86" s="388">
        <v>240317685.16175699</v>
      </c>
      <c r="M86" s="388">
        <v>244303914.761448</v>
      </c>
      <c r="N86" s="388">
        <v>262837561.07319599</v>
      </c>
      <c r="O86" s="388">
        <v>253424978.75666401</v>
      </c>
      <c r="P86" s="388">
        <v>262167779.346048</v>
      </c>
      <c r="Q86" s="388">
        <v>240706635.16073</v>
      </c>
      <c r="R86" s="388">
        <v>263070247.585704</v>
      </c>
      <c r="S86" s="389">
        <f>+SUM(G86:R86)</f>
        <v>2886073000.0799799</v>
      </c>
      <c r="T86" s="390">
        <f>+S86/$T$83*100</f>
        <v>35.3220343224556</v>
      </c>
      <c r="U86" s="161"/>
    </row>
    <row r="87" spans="1:25">
      <c r="A87" s="216" t="str">
        <f t="shared" si="27"/>
        <v>711p</v>
      </c>
      <c r="B87" s="619" t="str">
        <f>+VLOOKUP(LEFT($A87,LEN(A87)-1)*1,Master!$D$30:$G$226,4,FALSE)</f>
        <v>Porezi</v>
      </c>
      <c r="C87" s="620"/>
      <c r="D87" s="620"/>
      <c r="E87" s="620"/>
      <c r="F87" s="620"/>
      <c r="G87" s="391">
        <v>132702629.51000001</v>
      </c>
      <c r="H87" s="391">
        <v>136856183.48622799</v>
      </c>
      <c r="I87" s="391">
        <v>201920347.833249</v>
      </c>
      <c r="J87" s="391">
        <v>247314832.202236</v>
      </c>
      <c r="K87" s="391">
        <v>158762845.03563499</v>
      </c>
      <c r="L87" s="391">
        <v>187364739.47822201</v>
      </c>
      <c r="M87" s="391">
        <v>189417204.71386501</v>
      </c>
      <c r="N87" s="391">
        <v>203488085.79363501</v>
      </c>
      <c r="O87" s="391">
        <v>197774192.28095701</v>
      </c>
      <c r="P87" s="391">
        <v>184622585.63486299</v>
      </c>
      <c r="Q87" s="391">
        <v>164727688.03347</v>
      </c>
      <c r="R87" s="392">
        <v>178627675.42838201</v>
      </c>
      <c r="S87" s="393">
        <f t="shared" ref="S87:S142" si="28">+SUM(G87:R87)</f>
        <v>2183579009.4307399</v>
      </c>
      <c r="T87" s="369">
        <f t="shared" ref="T87:T142" si="29">+S87/$T$83*100</f>
        <v>26.724359610712799</v>
      </c>
      <c r="U87" s="161"/>
    </row>
    <row r="88" spans="1:25">
      <c r="A88" s="216" t="str">
        <f t="shared" si="27"/>
        <v>7111p</v>
      </c>
      <c r="B88" s="621" t="str">
        <f>+VLOOKUP(LEFT($A88,LEN(A88)-1)*1,Master!$D$30:$G$229,4,FALSE)</f>
        <v>Porez na dohodak fizičkih lica</v>
      </c>
      <c r="C88" s="622"/>
      <c r="D88" s="622"/>
      <c r="E88" s="622"/>
      <c r="F88" s="622"/>
      <c r="G88" s="225">
        <v>3030555.43</v>
      </c>
      <c r="H88" s="225">
        <v>8130802.1975367703</v>
      </c>
      <c r="I88" s="225">
        <v>8923400.7130561098</v>
      </c>
      <c r="J88" s="225">
        <v>10055739.886730701</v>
      </c>
      <c r="K88" s="225">
        <v>8682295.2116861809</v>
      </c>
      <c r="L88" s="225">
        <v>8631219.9475545604</v>
      </c>
      <c r="M88" s="225">
        <v>8191795.9500511903</v>
      </c>
      <c r="N88" s="225">
        <v>9611353.9295238107</v>
      </c>
      <c r="O88" s="225">
        <v>9089054.5196827408</v>
      </c>
      <c r="P88" s="225">
        <v>9766273.4549816195</v>
      </c>
      <c r="Q88" s="225">
        <v>9540892.3657547906</v>
      </c>
      <c r="R88" s="225">
        <v>14670110.187131001</v>
      </c>
      <c r="S88" s="312">
        <f t="shared" si="28"/>
        <v>108323493.793689</v>
      </c>
      <c r="T88" s="329">
        <f t="shared" si="29"/>
        <v>1.3257482279910999</v>
      </c>
      <c r="U88" s="161"/>
    </row>
    <row r="89" spans="1:25">
      <c r="A89" s="216" t="str">
        <f t="shared" si="27"/>
        <v>7112p</v>
      </c>
      <c r="B89" s="621" t="str">
        <f>+VLOOKUP(LEFT($A89,LEN(A89)-1)*1,Master!$D$30:$G$229,4,FALSE)</f>
        <v>Porez na dobit pravnih lica</v>
      </c>
      <c r="C89" s="622"/>
      <c r="D89" s="622"/>
      <c r="E89" s="622"/>
      <c r="F89" s="622"/>
      <c r="G89" s="225">
        <v>4758743.22</v>
      </c>
      <c r="H89" s="225">
        <v>4914823.2626296896</v>
      </c>
      <c r="I89" s="225">
        <v>72553471.511286497</v>
      </c>
      <c r="J89" s="225">
        <v>106836454.224443</v>
      </c>
      <c r="K89" s="225">
        <v>3872785.1409548498</v>
      </c>
      <c r="L89" s="225">
        <v>5448872.57776991</v>
      </c>
      <c r="M89" s="225">
        <v>3374680.5796844298</v>
      </c>
      <c r="N89" s="225">
        <v>3232098.1048411201</v>
      </c>
      <c r="O89" s="225">
        <v>3724755.3693248699</v>
      </c>
      <c r="P89" s="225">
        <v>2722374.4844172499</v>
      </c>
      <c r="Q89" s="225">
        <v>3855532.0109211099</v>
      </c>
      <c r="R89" s="225">
        <v>4568258.7547133705</v>
      </c>
      <c r="S89" s="312">
        <f t="shared" si="28"/>
        <v>219862849.24098599</v>
      </c>
      <c r="T89" s="329">
        <f t="shared" si="29"/>
        <v>2.6908547035739399</v>
      </c>
      <c r="U89" s="161"/>
    </row>
    <row r="90" spans="1:25">
      <c r="A90" s="216" t="str">
        <f t="shared" si="27"/>
        <v>7113p</v>
      </c>
      <c r="B90" s="621" t="str">
        <f>+VLOOKUP(LEFT($A90,LEN(A90)-1)*1,Master!$D$30:$G$229,4,FALSE)</f>
        <v>Porez na promet nepokretnosti</v>
      </c>
      <c r="C90" s="622"/>
      <c r="D90" s="622"/>
      <c r="E90" s="622"/>
      <c r="F90" s="622"/>
      <c r="G90" s="225">
        <v>0</v>
      </c>
      <c r="H90" s="225">
        <v>0</v>
      </c>
      <c r="I90" s="225">
        <v>0</v>
      </c>
      <c r="J90" s="225">
        <v>0</v>
      </c>
      <c r="K90" s="225">
        <v>0</v>
      </c>
      <c r="L90" s="225">
        <v>0</v>
      </c>
      <c r="M90" s="225">
        <v>0</v>
      </c>
      <c r="N90" s="225">
        <v>0</v>
      </c>
      <c r="O90" s="225">
        <v>0</v>
      </c>
      <c r="P90" s="225">
        <v>0</v>
      </c>
      <c r="Q90" s="225">
        <v>0</v>
      </c>
      <c r="R90" s="225">
        <v>0</v>
      </c>
      <c r="S90" s="312">
        <f t="shared" si="28"/>
        <v>0</v>
      </c>
      <c r="T90" s="329">
        <f t="shared" si="29"/>
        <v>0</v>
      </c>
      <c r="U90" s="161"/>
    </row>
    <row r="91" spans="1:25">
      <c r="A91" s="216" t="str">
        <f t="shared" si="27"/>
        <v>7114p</v>
      </c>
      <c r="B91" s="621" t="str">
        <f>+VLOOKUP(LEFT($A91,LEN(A91)-1)*1,Master!$D$30:$G$229,4,FALSE)</f>
        <v>Porez na dodatu vrijednost</v>
      </c>
      <c r="C91" s="622"/>
      <c r="D91" s="622"/>
      <c r="E91" s="622"/>
      <c r="F91" s="622"/>
      <c r="G91" s="225">
        <v>96606704.819999993</v>
      </c>
      <c r="H91" s="225">
        <v>94686429.308249295</v>
      </c>
      <c r="I91" s="225">
        <v>90983845.650216505</v>
      </c>
      <c r="J91" s="225">
        <v>95799152.256747007</v>
      </c>
      <c r="K91" s="225">
        <v>107408755.740854</v>
      </c>
      <c r="L91" s="225">
        <v>126280000.176911</v>
      </c>
      <c r="M91" s="225">
        <v>128361539.072551</v>
      </c>
      <c r="N91" s="225">
        <v>136238759.85345101</v>
      </c>
      <c r="O91" s="225">
        <v>134912099.00068101</v>
      </c>
      <c r="P91" s="225">
        <v>125537123.651255</v>
      </c>
      <c r="Q91" s="225">
        <v>115227526.402597</v>
      </c>
      <c r="R91" s="225">
        <v>120551064.06232101</v>
      </c>
      <c r="S91" s="312">
        <f t="shared" si="28"/>
        <v>1372592999.9958301</v>
      </c>
      <c r="T91" s="329">
        <f t="shared" si="29"/>
        <v>16.798874129403998</v>
      </c>
      <c r="U91" s="161"/>
    </row>
    <row r="92" spans="1:25">
      <c r="A92" s="216" t="str">
        <f t="shared" si="27"/>
        <v>7115p</v>
      </c>
      <c r="B92" s="621" t="str">
        <f>+VLOOKUP(LEFT($A92,LEN(A92)-1)*1,Master!$D$30:$G$229,4,FALSE)</f>
        <v>Akcize</v>
      </c>
      <c r="C92" s="622"/>
      <c r="D92" s="622"/>
      <c r="E92" s="622"/>
      <c r="F92" s="622"/>
      <c r="G92" s="225">
        <v>23651764.850000001</v>
      </c>
      <c r="H92" s="225">
        <v>24000000</v>
      </c>
      <c r="I92" s="225">
        <v>23000000</v>
      </c>
      <c r="J92" s="225">
        <v>28000000</v>
      </c>
      <c r="K92" s="225">
        <v>32000000</v>
      </c>
      <c r="L92" s="225">
        <v>40000000</v>
      </c>
      <c r="M92" s="225">
        <v>42000000</v>
      </c>
      <c r="N92" s="225">
        <v>47000000</v>
      </c>
      <c r="O92" s="225">
        <v>43000000</v>
      </c>
      <c r="P92" s="225">
        <v>40000000</v>
      </c>
      <c r="Q92" s="225">
        <v>29000000</v>
      </c>
      <c r="R92" s="225">
        <v>31848235.149999999</v>
      </c>
      <c r="S92" s="312">
        <f t="shared" si="28"/>
        <v>403500000</v>
      </c>
      <c r="T92" s="329">
        <f t="shared" si="29"/>
        <v>4.93835077931704</v>
      </c>
      <c r="U92" s="161"/>
      <c r="W92" s="224"/>
      <c r="X92" s="224"/>
      <c r="Y92" s="224"/>
    </row>
    <row r="93" spans="1:25">
      <c r="A93" s="216" t="str">
        <f t="shared" si="27"/>
        <v>7116p</v>
      </c>
      <c r="B93" s="621" t="str">
        <f>+VLOOKUP(LEFT($A93,LEN(A93)-1)*1,Master!$D$30:$G$229,4,FALSE)</f>
        <v>Porez na međunarodnu trgovinu i transakcije</v>
      </c>
      <c r="C93" s="622"/>
      <c r="D93" s="622"/>
      <c r="E93" s="622"/>
      <c r="F93" s="622"/>
      <c r="G93" s="225">
        <v>3527264.2</v>
      </c>
      <c r="H93" s="225">
        <v>3959801.9366202699</v>
      </c>
      <c r="I93" s="225">
        <v>5206630.30061498</v>
      </c>
      <c r="J93" s="225">
        <v>5016507.9766131397</v>
      </c>
      <c r="K93" s="225">
        <v>5327778.4089018898</v>
      </c>
      <c r="L93" s="225">
        <v>5791471.9092387902</v>
      </c>
      <c r="M93" s="225">
        <v>6106528.2444638098</v>
      </c>
      <c r="N93" s="225">
        <v>6198763.4373714104</v>
      </c>
      <c r="O93" s="225">
        <v>5739734.4372862196</v>
      </c>
      <c r="P93" s="225">
        <v>5367439.8597435197</v>
      </c>
      <c r="Q93" s="225">
        <v>5883786.05959199</v>
      </c>
      <c r="R93" s="225">
        <v>5867281.8477213196</v>
      </c>
      <c r="S93" s="312">
        <f t="shared" si="28"/>
        <v>63992988.618167304</v>
      </c>
      <c r="T93" s="329">
        <f t="shared" si="29"/>
        <v>0.78319659284597998</v>
      </c>
      <c r="U93" s="161"/>
    </row>
    <row r="94" spans="1:25">
      <c r="A94" s="216" t="str">
        <f t="shared" si="27"/>
        <v>7118p</v>
      </c>
      <c r="B94" s="621" t="str">
        <f>+VLOOKUP(LEFT($A94,LEN(A94)-1)*1,Master!$D$30:$G$229,4,FALSE)</f>
        <v>Ostali državni porezi</v>
      </c>
      <c r="C94" s="622"/>
      <c r="D94" s="622"/>
      <c r="E94" s="622"/>
      <c r="F94" s="622"/>
      <c r="G94" s="225">
        <v>1127596.99</v>
      </c>
      <c r="H94" s="225">
        <v>1164326.78119238</v>
      </c>
      <c r="I94" s="225">
        <v>1252999.65807448</v>
      </c>
      <c r="J94" s="225">
        <v>1606977.85770232</v>
      </c>
      <c r="K94" s="225">
        <v>1471230.53323842</v>
      </c>
      <c r="L94" s="225">
        <v>1213174.8667478601</v>
      </c>
      <c r="M94" s="225">
        <v>1382660.8671149099</v>
      </c>
      <c r="N94" s="225">
        <v>1207110.4684480799</v>
      </c>
      <c r="O94" s="225">
        <v>1308548.95398181</v>
      </c>
      <c r="P94" s="225">
        <v>1229374.18446604</v>
      </c>
      <c r="Q94" s="225">
        <v>1219951.1946051</v>
      </c>
      <c r="R94" s="225">
        <v>1122725.4264954799</v>
      </c>
      <c r="S94" s="312">
        <f t="shared" si="28"/>
        <v>15306677.7820669</v>
      </c>
      <c r="T94" s="329">
        <f t="shared" si="29"/>
        <v>0.18733517758073001</v>
      </c>
      <c r="U94" s="161"/>
    </row>
    <row r="95" spans="1:25">
      <c r="A95" s="216" t="str">
        <f t="shared" si="27"/>
        <v>712p</v>
      </c>
      <c r="B95" s="623" t="str">
        <f>+VLOOKUP(LEFT($A95,LEN(A95)-1)*1,Master!$D$30:$G$229,4,FALSE)</f>
        <v>Doprinosi</v>
      </c>
      <c r="C95" s="624"/>
      <c r="D95" s="624"/>
      <c r="E95" s="624"/>
      <c r="F95" s="624"/>
      <c r="G95" s="394">
        <v>16612975.689999999</v>
      </c>
      <c r="H95" s="394">
        <v>37852524.4218468</v>
      </c>
      <c r="I95" s="395">
        <v>37594151.372717299</v>
      </c>
      <c r="J95" s="394">
        <v>36350588.706063598</v>
      </c>
      <c r="K95" s="394">
        <v>36620384.100977503</v>
      </c>
      <c r="L95" s="394">
        <v>37745306.491635203</v>
      </c>
      <c r="M95" s="394">
        <v>38491145.098489299</v>
      </c>
      <c r="N95" s="394">
        <v>37029246.606001899</v>
      </c>
      <c r="O95" s="394">
        <v>34518386.848862998</v>
      </c>
      <c r="P95" s="394">
        <v>34451717.199254297</v>
      </c>
      <c r="Q95" s="394">
        <v>34831552.4051046</v>
      </c>
      <c r="R95" s="396">
        <v>66953342.926230103</v>
      </c>
      <c r="S95" s="397">
        <f t="shared" si="28"/>
        <v>449051321.86718398</v>
      </c>
      <c r="T95" s="372">
        <f t="shared" si="29"/>
        <v>5.4958437305976497</v>
      </c>
      <c r="U95" s="161"/>
    </row>
    <row r="96" spans="1:25">
      <c r="A96" s="216" t="str">
        <f t="shared" si="27"/>
        <v>7121p</v>
      </c>
      <c r="B96" s="621" t="str">
        <f>+VLOOKUP(LEFT($A96,LEN(A96)-1)*1,Master!$D$30:$G$229,4,FALSE)</f>
        <v>Doprinosi za penzijsko i invalidsko osiguranje</v>
      </c>
      <c r="C96" s="622"/>
      <c r="D96" s="622"/>
      <c r="E96" s="622"/>
      <c r="F96" s="622"/>
      <c r="G96" s="225">
        <v>14262452.49</v>
      </c>
      <c r="H96" s="225">
        <v>33693463.497614197</v>
      </c>
      <c r="I96" s="225">
        <v>33632306.939369902</v>
      </c>
      <c r="J96" s="225">
        <v>32550005.135860398</v>
      </c>
      <c r="K96" s="225">
        <v>32911672.021327201</v>
      </c>
      <c r="L96" s="225">
        <v>33551536.6065332</v>
      </c>
      <c r="M96" s="225">
        <v>34400667.245599397</v>
      </c>
      <c r="N96" s="225">
        <v>32533685.049054399</v>
      </c>
      <c r="O96" s="225">
        <v>30697939.923086599</v>
      </c>
      <c r="P96" s="225">
        <v>30021604.530378401</v>
      </c>
      <c r="Q96" s="225">
        <v>30769763.735109299</v>
      </c>
      <c r="R96" s="225">
        <v>58313830.167468198</v>
      </c>
      <c r="S96" s="312">
        <f t="shared" si="28"/>
        <v>397338927.34140098</v>
      </c>
      <c r="T96" s="329">
        <f t="shared" si="29"/>
        <v>4.86294671992417</v>
      </c>
      <c r="U96" s="161"/>
      <c r="V96" s="172"/>
    </row>
    <row r="97" spans="1:22">
      <c r="A97" s="216" t="str">
        <f t="shared" si="27"/>
        <v>7122p</v>
      </c>
      <c r="B97" s="621" t="str">
        <f>+VLOOKUP(LEFT($A97,LEN(A97)-1)*1,Master!$D$30:$G$229,4,FALSE)</f>
        <v>Doprinosi za zdravstveno osiguranje</v>
      </c>
      <c r="C97" s="622"/>
      <c r="D97" s="622"/>
      <c r="E97" s="622"/>
      <c r="F97" s="622"/>
      <c r="G97" s="225">
        <v>314658.88</v>
      </c>
      <c r="H97" s="225">
        <v>500023.86869410798</v>
      </c>
      <c r="I97" s="225">
        <v>500023.86869410798</v>
      </c>
      <c r="J97" s="225">
        <v>500023.86869410798</v>
      </c>
      <c r="K97" s="225">
        <v>585102.43738821603</v>
      </c>
      <c r="L97" s="225">
        <v>500023.86869410798</v>
      </c>
      <c r="M97" s="225">
        <v>500023.86869410798</v>
      </c>
      <c r="N97" s="225">
        <v>500023.86869410798</v>
      </c>
      <c r="O97" s="225">
        <v>500023.86869410798</v>
      </c>
      <c r="P97" s="225">
        <v>500023.86869410798</v>
      </c>
      <c r="Q97" s="225">
        <v>500023.86869410798</v>
      </c>
      <c r="R97" s="225">
        <v>600023.86869410798</v>
      </c>
      <c r="S97" s="312">
        <f t="shared" si="28"/>
        <v>6000000.0043292996</v>
      </c>
      <c r="T97" s="329">
        <f t="shared" si="29"/>
        <v>7.3432725395989606E-2</v>
      </c>
      <c r="U97" s="161"/>
    </row>
    <row r="98" spans="1:22">
      <c r="A98" s="216" t="str">
        <f t="shared" si="27"/>
        <v>7123p</v>
      </c>
      <c r="B98" s="621" t="str">
        <f>+VLOOKUP(LEFT($A98,LEN(A98)-1)*1,Master!$D$30:$G$229,4,FALSE)</f>
        <v>Doprinosi za osiguranje od nezaposlenosti</v>
      </c>
      <c r="C98" s="622"/>
      <c r="D98" s="622"/>
      <c r="E98" s="622"/>
      <c r="F98" s="622"/>
      <c r="G98" s="225">
        <v>1216722.56</v>
      </c>
      <c r="H98" s="225">
        <v>1942795.8693115499</v>
      </c>
      <c r="I98" s="225">
        <v>1806831.79590472</v>
      </c>
      <c r="J98" s="225">
        <v>1856869.21673124</v>
      </c>
      <c r="K98" s="225">
        <v>1646859.62373312</v>
      </c>
      <c r="L98" s="225">
        <v>2083724.3671199901</v>
      </c>
      <c r="M98" s="225">
        <v>1921208.7370643199</v>
      </c>
      <c r="N98" s="225">
        <v>2372970.9052161402</v>
      </c>
      <c r="O98" s="225">
        <v>2112789.1518694102</v>
      </c>
      <c r="P98" s="225">
        <v>2212922.8121626</v>
      </c>
      <c r="Q98" s="225">
        <v>2098566.58908949</v>
      </c>
      <c r="R98" s="225">
        <v>4727738.3755188603</v>
      </c>
      <c r="S98" s="312">
        <f t="shared" si="28"/>
        <v>26000000.003721401</v>
      </c>
      <c r="T98" s="329">
        <f t="shared" si="29"/>
        <v>0.31820847653189799</v>
      </c>
      <c r="U98" s="161"/>
    </row>
    <row r="99" spans="1:22">
      <c r="A99" s="216" t="str">
        <f t="shared" si="27"/>
        <v>7124p</v>
      </c>
      <c r="B99" s="621" t="str">
        <f>+VLOOKUP(LEFT($A99,LEN(A99)-1)*1,Master!$D$30:$G$229,4,FALSE)</f>
        <v>Ostali doprinosi</v>
      </c>
      <c r="C99" s="622"/>
      <c r="D99" s="622"/>
      <c r="E99" s="622"/>
      <c r="F99" s="622"/>
      <c r="G99" s="225">
        <v>819141.76</v>
      </c>
      <c r="H99" s="225">
        <v>1716241.18622691</v>
      </c>
      <c r="I99" s="225">
        <v>1654988.76874861</v>
      </c>
      <c r="J99" s="225">
        <v>1443690.4847778301</v>
      </c>
      <c r="K99" s="225">
        <v>1476750.0185289499</v>
      </c>
      <c r="L99" s="225">
        <v>1610021.64928793</v>
      </c>
      <c r="M99" s="225">
        <v>1669245.2471314899</v>
      </c>
      <c r="N99" s="225">
        <v>1622566.7830372499</v>
      </c>
      <c r="O99" s="225">
        <v>1207633.9052129099</v>
      </c>
      <c r="P99" s="225">
        <v>1717165.98801916</v>
      </c>
      <c r="Q99" s="225">
        <v>1463198.21221174</v>
      </c>
      <c r="R99" s="225">
        <v>3311750.51454901</v>
      </c>
      <c r="S99" s="312">
        <f t="shared" si="28"/>
        <v>19712394.517731801</v>
      </c>
      <c r="T99" s="329">
        <f t="shared" si="29"/>
        <v>0.24125580874558999</v>
      </c>
      <c r="U99" s="161"/>
    </row>
    <row r="100" spans="1:22">
      <c r="A100" s="216" t="str">
        <f t="shared" si="27"/>
        <v>713p</v>
      </c>
      <c r="B100" s="623" t="str">
        <f>+VLOOKUP(LEFT($A100,LEN(A100)-1)*1,Master!$D$30:$G$229,4,FALSE)</f>
        <v>Takse</v>
      </c>
      <c r="C100" s="624"/>
      <c r="D100" s="624"/>
      <c r="E100" s="624"/>
      <c r="F100" s="624"/>
      <c r="G100" s="398">
        <v>856323.95</v>
      </c>
      <c r="H100" s="398">
        <v>1153807.8904724901</v>
      </c>
      <c r="I100" s="398">
        <v>1218734.5012238999</v>
      </c>
      <c r="J100" s="398">
        <v>1399310.6778442699</v>
      </c>
      <c r="K100" s="398">
        <v>1175790.5158724301</v>
      </c>
      <c r="L100" s="398">
        <v>1413926.22984466</v>
      </c>
      <c r="M100" s="398">
        <v>2048665.8884103701</v>
      </c>
      <c r="N100" s="398">
        <v>2261701.9443485602</v>
      </c>
      <c r="O100" s="398">
        <v>1898315.1704538499</v>
      </c>
      <c r="P100" s="398">
        <v>1445137.66497835</v>
      </c>
      <c r="Q100" s="398">
        <v>1242868.4327648799</v>
      </c>
      <c r="R100" s="398">
        <v>1675386.1561825499</v>
      </c>
      <c r="S100" s="397">
        <f t="shared" si="28"/>
        <v>17789969.0223963</v>
      </c>
      <c r="T100" s="372">
        <f t="shared" si="29"/>
        <v>0.217727651513697</v>
      </c>
      <c r="U100" s="161"/>
    </row>
    <row r="101" spans="1:22">
      <c r="A101" s="216" t="str">
        <f t="shared" si="27"/>
        <v>714p</v>
      </c>
      <c r="B101" s="623" t="str">
        <f>+VLOOKUP(LEFT($A101,LEN(A101)-1)*1,Master!$D$30:$G$229,4,FALSE)</f>
        <v>Naknade</v>
      </c>
      <c r="C101" s="624"/>
      <c r="D101" s="624"/>
      <c r="E101" s="624"/>
      <c r="F101" s="624"/>
      <c r="G101" s="398">
        <v>4273770.1399999997</v>
      </c>
      <c r="H101" s="398">
        <v>5219057.8914465299</v>
      </c>
      <c r="I101" s="398">
        <v>5747442.1481512403</v>
      </c>
      <c r="J101" s="398">
        <v>5467405.0671003498</v>
      </c>
      <c r="K101" s="398">
        <v>5526576.2795401895</v>
      </c>
      <c r="L101" s="398">
        <v>6855033.0871420903</v>
      </c>
      <c r="M101" s="398">
        <v>7217262.9527941998</v>
      </c>
      <c r="N101" s="398">
        <v>7038788.2697914001</v>
      </c>
      <c r="O101" s="398">
        <v>7556507.1075738501</v>
      </c>
      <c r="P101" s="398">
        <v>6100843.3902709596</v>
      </c>
      <c r="Q101" s="398">
        <v>6257172.1199051002</v>
      </c>
      <c r="R101" s="398">
        <v>6923249.0767233605</v>
      </c>
      <c r="S101" s="397">
        <f t="shared" si="28"/>
        <v>74183107.530439302</v>
      </c>
      <c r="T101" s="372">
        <f t="shared" si="29"/>
        <v>0.90791129339554999</v>
      </c>
      <c r="U101" s="161"/>
    </row>
    <row r="102" spans="1:22">
      <c r="A102" s="216" t="str">
        <f t="shared" si="27"/>
        <v>715p</v>
      </c>
      <c r="B102" s="623" t="str">
        <f>+VLOOKUP(LEFT($A102,LEN(A102)-1)*1,Master!$D$30:$G$229,4,FALSE)</f>
        <v>Ostali prihodi</v>
      </c>
      <c r="C102" s="624"/>
      <c r="D102" s="624"/>
      <c r="E102" s="624"/>
      <c r="F102" s="624"/>
      <c r="G102" s="398">
        <v>1719662.28</v>
      </c>
      <c r="H102" s="398">
        <v>2384200.9227072499</v>
      </c>
      <c r="I102" s="398">
        <v>2300477.9054344199</v>
      </c>
      <c r="J102" s="398">
        <v>2449088.1585677098</v>
      </c>
      <c r="K102" s="398">
        <v>2957668.7515613502</v>
      </c>
      <c r="L102" s="398">
        <v>2784970.4771360401</v>
      </c>
      <c r="M102" s="398">
        <v>3425926.7101111701</v>
      </c>
      <c r="N102" s="398">
        <v>8616029.0616411306</v>
      </c>
      <c r="O102" s="398">
        <v>7023867.9510392603</v>
      </c>
      <c r="P102" s="398">
        <v>7393786.0589036699</v>
      </c>
      <c r="Q102" s="398">
        <v>5493644.7717075897</v>
      </c>
      <c r="R102" s="398">
        <v>5720269.1804076396</v>
      </c>
      <c r="S102" s="397">
        <f t="shared" si="28"/>
        <v>52269592.229217201</v>
      </c>
      <c r="T102" s="372">
        <f t="shared" si="29"/>
        <v>0.639716434993157</v>
      </c>
      <c r="U102" s="161"/>
    </row>
    <row r="103" spans="1:22">
      <c r="A103" s="216" t="str">
        <f t="shared" si="27"/>
        <v>73p</v>
      </c>
      <c r="B103" s="623" t="str">
        <f>+VLOOKUP(LEFT($A103,LEN(A103)-1)*1,Master!$D$30:$G$229,4,FALSE)</f>
        <v>Primici od otplate kredita i sredstva prenesena iz prethodne godine</v>
      </c>
      <c r="C103" s="624"/>
      <c r="D103" s="624"/>
      <c r="E103" s="624"/>
      <c r="F103" s="624"/>
      <c r="G103" s="398">
        <v>0</v>
      </c>
      <c r="H103" s="398">
        <v>0</v>
      </c>
      <c r="I103" s="398">
        <v>0</v>
      </c>
      <c r="J103" s="398">
        <v>0</v>
      </c>
      <c r="K103" s="398">
        <v>0</v>
      </c>
      <c r="L103" s="398">
        <v>0</v>
      </c>
      <c r="M103" s="398">
        <v>0</v>
      </c>
      <c r="N103" s="398">
        <v>0</v>
      </c>
      <c r="O103" s="398">
        <v>0</v>
      </c>
      <c r="P103" s="398">
        <v>0</v>
      </c>
      <c r="Q103" s="398">
        <v>0</v>
      </c>
      <c r="R103" s="398">
        <v>0</v>
      </c>
      <c r="S103" s="397">
        <f t="shared" si="28"/>
        <v>0</v>
      </c>
      <c r="T103" s="372">
        <f t="shared" si="29"/>
        <v>0</v>
      </c>
      <c r="U103" s="161"/>
      <c r="V103" s="172"/>
    </row>
    <row r="104" spans="1:22">
      <c r="A104" s="216" t="str">
        <f t="shared" si="27"/>
        <v>74p</v>
      </c>
      <c r="B104" s="625" t="str">
        <f>+VLOOKUP(LEFT($A104,LEN(A104)-1)*1,Master!$D$30:$G$229,4,FALSE)</f>
        <v>Donacije i transferi</v>
      </c>
      <c r="C104" s="626"/>
      <c r="D104" s="626"/>
      <c r="E104" s="626"/>
      <c r="F104" s="626"/>
      <c r="G104" s="398">
        <v>0</v>
      </c>
      <c r="H104" s="398">
        <v>3000000</v>
      </c>
      <c r="I104" s="398">
        <v>2000000</v>
      </c>
      <c r="J104" s="398">
        <v>24153709.397777699</v>
      </c>
      <c r="K104" s="398">
        <v>3653709.39777778</v>
      </c>
      <c r="L104" s="398">
        <v>4153709.39777778</v>
      </c>
      <c r="M104" s="398">
        <v>3703709.39777778</v>
      </c>
      <c r="N104" s="398">
        <v>4403709.39777778</v>
      </c>
      <c r="O104" s="398">
        <v>4653709.39777778</v>
      </c>
      <c r="P104" s="398">
        <v>28153709.3977778</v>
      </c>
      <c r="Q104" s="398">
        <v>28153709.3977778</v>
      </c>
      <c r="R104" s="398">
        <v>3170324.8177777799</v>
      </c>
      <c r="S104" s="399">
        <f t="shared" si="28"/>
        <v>109200000</v>
      </c>
      <c r="T104" s="374">
        <f t="shared" si="29"/>
        <v>1.3364756012426799</v>
      </c>
      <c r="U104" s="161"/>
    </row>
    <row r="105" spans="1:22">
      <c r="A105" s="216" t="str">
        <f t="shared" si="27"/>
        <v>4p</v>
      </c>
      <c r="B105" s="617" t="str">
        <f>+VLOOKUP(LEFT($A105,LEN(A105)-1)*1,Master!$D$30:$G$229,4,FALSE)</f>
        <v>Izdaci budžeta</v>
      </c>
      <c r="C105" s="618"/>
      <c r="D105" s="618"/>
      <c r="E105" s="618"/>
      <c r="F105" s="618"/>
      <c r="G105" s="400">
        <f t="shared" ref="G105:R105" si="30">+G106+G116+G122+SUM(G123:G127)</f>
        <v>191850501.09999999</v>
      </c>
      <c r="H105" s="400">
        <f t="shared" si="30"/>
        <v>207927797.50999999</v>
      </c>
      <c r="I105" s="400">
        <f t="shared" si="30"/>
        <v>277008731.77999997</v>
      </c>
      <c r="J105" s="400">
        <f t="shared" si="30"/>
        <v>271880428.35000002</v>
      </c>
      <c r="K105" s="400">
        <f t="shared" si="30"/>
        <v>256531461.27000001</v>
      </c>
      <c r="L105" s="400">
        <f t="shared" si="30"/>
        <v>246434339.25</v>
      </c>
      <c r="M105" s="400">
        <f t="shared" si="30"/>
        <v>266915229.65000001</v>
      </c>
      <c r="N105" s="400">
        <f t="shared" si="30"/>
        <v>316160063.56999999</v>
      </c>
      <c r="O105" s="400">
        <f t="shared" si="30"/>
        <v>271901203.69999999</v>
      </c>
      <c r="P105" s="400">
        <f t="shared" si="30"/>
        <v>285828121.29000002</v>
      </c>
      <c r="Q105" s="400">
        <f t="shared" si="30"/>
        <v>286419476.33999997</v>
      </c>
      <c r="R105" s="400">
        <f t="shared" si="30"/>
        <v>285364087.87</v>
      </c>
      <c r="S105" s="401">
        <f t="shared" si="28"/>
        <v>3164221441.6799998</v>
      </c>
      <c r="T105" s="402">
        <f t="shared" si="29"/>
        <v>38.726234008555402</v>
      </c>
      <c r="U105" s="161"/>
    </row>
    <row r="106" spans="1:22">
      <c r="A106" s="216" t="str">
        <f t="shared" si="27"/>
        <v>41p</v>
      </c>
      <c r="B106" s="627" t="str">
        <f>+VLOOKUP(LEFT($A106,LEN(A106)-1)*1,Master!$D$30:$G$229,4,FALSE)</f>
        <v>Tekući izdaci</v>
      </c>
      <c r="C106" s="628"/>
      <c r="D106" s="628"/>
      <c r="E106" s="628"/>
      <c r="F106" s="628"/>
      <c r="G106" s="403">
        <f t="shared" ref="G106" si="31">+SUM(G107:G115)</f>
        <v>73899012.900000006</v>
      </c>
      <c r="H106" s="403">
        <f t="shared" ref="H106:R106" si="32">+SUM(H107:H115)</f>
        <v>76519007.040000007</v>
      </c>
      <c r="I106" s="403">
        <f t="shared" si="32"/>
        <v>113798834.45999999</v>
      </c>
      <c r="J106" s="403">
        <f t="shared" si="32"/>
        <v>121182353.83</v>
      </c>
      <c r="K106" s="403">
        <f t="shared" si="32"/>
        <v>98021414.909999996</v>
      </c>
      <c r="L106" s="403">
        <f t="shared" si="32"/>
        <v>98591845.980000004</v>
      </c>
      <c r="M106" s="403">
        <f t="shared" si="32"/>
        <v>91078475.689999998</v>
      </c>
      <c r="N106" s="403">
        <f t="shared" si="32"/>
        <v>128306150.56</v>
      </c>
      <c r="O106" s="403">
        <f t="shared" si="32"/>
        <v>109940184.04000001</v>
      </c>
      <c r="P106" s="403">
        <f t="shared" si="32"/>
        <v>123887194.72</v>
      </c>
      <c r="Q106" s="403">
        <f t="shared" si="32"/>
        <v>123145561.94</v>
      </c>
      <c r="R106" s="404">
        <f t="shared" si="32"/>
        <v>103445277.06999999</v>
      </c>
      <c r="S106" s="393">
        <f t="shared" si="28"/>
        <v>1261815313.1400001</v>
      </c>
      <c r="T106" s="369">
        <f t="shared" si="29"/>
        <v>15.4430895539011</v>
      </c>
      <c r="U106" s="161"/>
      <c r="V106" s="173"/>
    </row>
    <row r="107" spans="1:22">
      <c r="A107" s="216" t="str">
        <f t="shared" si="27"/>
        <v>411p</v>
      </c>
      <c r="B107" s="621" t="str">
        <f>+VLOOKUP(LEFT($A107,LEN(A107)-1)*1,Master!$D$30:$G$229,4,FALSE)</f>
        <v>Bruto zarade i doprinosi na teret poslodavca</v>
      </c>
      <c r="C107" s="622"/>
      <c r="D107" s="622"/>
      <c r="E107" s="622"/>
      <c r="F107" s="622"/>
      <c r="G107" s="225">
        <v>54740563.130000003</v>
      </c>
      <c r="H107" s="225">
        <v>58682980.979999997</v>
      </c>
      <c r="I107" s="225">
        <v>56764031.079999998</v>
      </c>
      <c r="J107" s="225">
        <v>57444656.57</v>
      </c>
      <c r="K107" s="225">
        <v>57919124.770000003</v>
      </c>
      <c r="L107" s="225">
        <v>57898328.380000003</v>
      </c>
      <c r="M107" s="225">
        <v>56113640.890000001</v>
      </c>
      <c r="N107" s="225">
        <v>67404412.189999998</v>
      </c>
      <c r="O107" s="225">
        <v>57198032.289999999</v>
      </c>
      <c r="P107" s="225">
        <v>71633621.799999997</v>
      </c>
      <c r="Q107" s="225">
        <v>70481093.040000007</v>
      </c>
      <c r="R107" s="225">
        <v>48093301.420000002</v>
      </c>
      <c r="S107" s="312">
        <f t="shared" si="28"/>
        <v>714373786.53999996</v>
      </c>
      <c r="T107" s="329">
        <f t="shared" si="29"/>
        <v>8.7430690098723005</v>
      </c>
      <c r="U107" s="161"/>
    </row>
    <row r="108" spans="1:22">
      <c r="A108" s="216" t="str">
        <f t="shared" si="27"/>
        <v>412p</v>
      </c>
      <c r="B108" s="621" t="str">
        <f>+VLOOKUP(LEFT($A108,LEN(A108)-1)*1,Master!$D$30:$G$229,4,FALSE)</f>
        <v>Ostala lična primanja</v>
      </c>
      <c r="C108" s="622"/>
      <c r="D108" s="622"/>
      <c r="E108" s="622"/>
      <c r="F108" s="622"/>
      <c r="G108" s="225">
        <v>1310785.99</v>
      </c>
      <c r="H108" s="225">
        <v>1349281.21</v>
      </c>
      <c r="I108" s="225">
        <v>1992150.09</v>
      </c>
      <c r="J108" s="225">
        <v>2081222.35</v>
      </c>
      <c r="K108" s="225">
        <v>2134029.5099999998</v>
      </c>
      <c r="L108" s="225">
        <v>2114169.59</v>
      </c>
      <c r="M108" s="225">
        <v>2190687.6</v>
      </c>
      <c r="N108" s="225">
        <v>3267790.17</v>
      </c>
      <c r="O108" s="225">
        <v>2502701.11</v>
      </c>
      <c r="P108" s="225">
        <v>2600813.65</v>
      </c>
      <c r="Q108" s="225">
        <v>2577314.4900000002</v>
      </c>
      <c r="R108" s="225">
        <v>2409220.79</v>
      </c>
      <c r="S108" s="312">
        <f t="shared" si="28"/>
        <v>26530166.550000001</v>
      </c>
      <c r="T108" s="329">
        <f t="shared" si="29"/>
        <v>0.32469707226171801</v>
      </c>
      <c r="U108" s="161"/>
    </row>
    <row r="109" spans="1:22">
      <c r="A109" s="216" t="str">
        <f t="shared" si="27"/>
        <v>413p</v>
      </c>
      <c r="B109" s="621" t="str">
        <f>+VLOOKUP(LEFT($A109,LEN(A109)-1)*1,Master!$D$30:$G$229,4,FALSE)</f>
        <v>Rashodi za materijal</v>
      </c>
      <c r="C109" s="622"/>
      <c r="D109" s="622"/>
      <c r="E109" s="622"/>
      <c r="F109" s="622"/>
      <c r="G109" s="225">
        <v>1513718.3</v>
      </c>
      <c r="H109" s="225">
        <v>1797627.15</v>
      </c>
      <c r="I109" s="225">
        <v>4827844.37</v>
      </c>
      <c r="J109" s="225">
        <v>4553517.62</v>
      </c>
      <c r="K109" s="225">
        <v>3783604.23</v>
      </c>
      <c r="L109" s="225">
        <v>3300641.68</v>
      </c>
      <c r="M109" s="225">
        <v>3702728.75</v>
      </c>
      <c r="N109" s="225">
        <v>7623708.0300000003</v>
      </c>
      <c r="O109" s="225">
        <v>4652342.33</v>
      </c>
      <c r="P109" s="225">
        <v>4654790.72</v>
      </c>
      <c r="Q109" s="225">
        <v>5055380.1100000003</v>
      </c>
      <c r="R109" s="225">
        <v>5146580.28</v>
      </c>
      <c r="S109" s="312">
        <f t="shared" si="28"/>
        <v>50612483.57</v>
      </c>
      <c r="T109" s="329">
        <f t="shared" si="29"/>
        <v>0.61943543415385405</v>
      </c>
      <c r="U109" s="161"/>
    </row>
    <row r="110" spans="1:22">
      <c r="A110" s="216" t="str">
        <f t="shared" si="27"/>
        <v>414p</v>
      </c>
      <c r="B110" s="621" t="str">
        <f>+VLOOKUP(LEFT($A110,LEN(A110)-1)*1,Master!$D$30:$G$229,4,FALSE)</f>
        <v>Rashodi za usluge</v>
      </c>
      <c r="C110" s="622"/>
      <c r="D110" s="622"/>
      <c r="E110" s="622"/>
      <c r="F110" s="622"/>
      <c r="G110" s="225">
        <v>3056018.65</v>
      </c>
      <c r="H110" s="225">
        <v>2625955.91</v>
      </c>
      <c r="I110" s="225">
        <v>9527791.25</v>
      </c>
      <c r="J110" s="225">
        <v>8092225.6699999999</v>
      </c>
      <c r="K110" s="225">
        <v>5872326.96</v>
      </c>
      <c r="L110" s="225">
        <v>8880916.2100000009</v>
      </c>
      <c r="M110" s="225">
        <v>7488395.9199999999</v>
      </c>
      <c r="N110" s="225">
        <v>10619318.449999999</v>
      </c>
      <c r="O110" s="225">
        <v>9806600.1099999994</v>
      </c>
      <c r="P110" s="225">
        <v>9700594.1500000004</v>
      </c>
      <c r="Q110" s="225">
        <v>9755744.0999999996</v>
      </c>
      <c r="R110" s="225">
        <v>13071654.640000001</v>
      </c>
      <c r="S110" s="312">
        <f t="shared" si="28"/>
        <v>98497542.019999996</v>
      </c>
      <c r="T110" s="329">
        <f t="shared" si="29"/>
        <v>1.2054904916859499</v>
      </c>
      <c r="U110" s="161"/>
    </row>
    <row r="111" spans="1:22">
      <c r="A111" s="216" t="str">
        <f t="shared" si="27"/>
        <v>415p</v>
      </c>
      <c r="B111" s="621" t="str">
        <f>+VLOOKUP(LEFT($A111,LEN(A111)-1)*1,Master!$D$30:$G$229,4,FALSE)</f>
        <v>Rashodi za tekuće održavanje</v>
      </c>
      <c r="C111" s="622"/>
      <c r="D111" s="622"/>
      <c r="E111" s="622"/>
      <c r="F111" s="622"/>
      <c r="G111" s="225">
        <v>2125329.88</v>
      </c>
      <c r="H111" s="225">
        <v>1894844.41</v>
      </c>
      <c r="I111" s="225">
        <v>1539250.36</v>
      </c>
      <c r="J111" s="225">
        <v>2443414.79</v>
      </c>
      <c r="K111" s="225">
        <v>3185703.97</v>
      </c>
      <c r="L111" s="225">
        <v>2941751.48</v>
      </c>
      <c r="M111" s="225">
        <v>3000937.6</v>
      </c>
      <c r="N111" s="225">
        <v>4897068.71</v>
      </c>
      <c r="O111" s="225">
        <v>4694097.96</v>
      </c>
      <c r="P111" s="225">
        <v>4674452.66</v>
      </c>
      <c r="Q111" s="225">
        <v>4714537.42</v>
      </c>
      <c r="R111" s="225">
        <v>4723052.07</v>
      </c>
      <c r="S111" s="312">
        <f t="shared" si="28"/>
        <v>40834441.310000002</v>
      </c>
      <c r="T111" s="329">
        <f t="shared" si="29"/>
        <v>0.49976405220871001</v>
      </c>
      <c r="U111" s="161"/>
    </row>
    <row r="112" spans="1:22">
      <c r="A112" s="216" t="str">
        <f t="shared" si="27"/>
        <v>416p</v>
      </c>
      <c r="B112" s="621" t="str">
        <f>+VLOOKUP(LEFT($A112,LEN(A112)-1)*1,Master!$D$30:$G$229,4,FALSE)</f>
        <v>Kamate</v>
      </c>
      <c r="C112" s="622"/>
      <c r="D112" s="622"/>
      <c r="E112" s="622"/>
      <c r="F112" s="622"/>
      <c r="G112" s="225">
        <v>3791323.42</v>
      </c>
      <c r="H112" s="225">
        <v>3323278.74</v>
      </c>
      <c r="I112" s="225">
        <v>24437291.91</v>
      </c>
      <c r="J112" s="225">
        <v>33305080.140000001</v>
      </c>
      <c r="K112" s="225">
        <v>10217951.199999999</v>
      </c>
      <c r="L112" s="225">
        <v>5629662.4400000004</v>
      </c>
      <c r="M112" s="225">
        <v>4848196.18</v>
      </c>
      <c r="N112" s="225">
        <v>14492145.560000001</v>
      </c>
      <c r="O112" s="225">
        <v>14492145.560000001</v>
      </c>
      <c r="P112" s="225">
        <v>14492145.560000001</v>
      </c>
      <c r="Q112" s="225">
        <v>14492145.560000001</v>
      </c>
      <c r="R112" s="225">
        <v>14490645.720000001</v>
      </c>
      <c r="S112" s="312">
        <f t="shared" si="28"/>
        <v>158012011.99000001</v>
      </c>
      <c r="T112" s="329">
        <f t="shared" si="29"/>
        <v>1.93387544622619</v>
      </c>
      <c r="U112" s="161"/>
    </row>
    <row r="113" spans="1:21">
      <c r="A113" s="216" t="str">
        <f t="shared" si="27"/>
        <v>417p</v>
      </c>
      <c r="B113" s="621" t="str">
        <f>+VLOOKUP(LEFT($A113,LEN(A113)-1)*1,Master!$D$30:$G$229,4,FALSE)</f>
        <v>Renta</v>
      </c>
      <c r="C113" s="622"/>
      <c r="D113" s="622"/>
      <c r="E113" s="622"/>
      <c r="F113" s="622"/>
      <c r="G113" s="225">
        <v>1029107.97</v>
      </c>
      <c r="H113" s="225">
        <v>1022679.61</v>
      </c>
      <c r="I113" s="225">
        <v>1093120.02</v>
      </c>
      <c r="J113" s="225">
        <v>1106490.6200000001</v>
      </c>
      <c r="K113" s="225">
        <v>1044686.16</v>
      </c>
      <c r="L113" s="225">
        <v>1058107.29</v>
      </c>
      <c r="M113" s="225">
        <v>1025082.56</v>
      </c>
      <c r="N113" s="225">
        <v>1361970.2</v>
      </c>
      <c r="O113" s="225">
        <v>1326158.49</v>
      </c>
      <c r="P113" s="225">
        <v>1138981.29</v>
      </c>
      <c r="Q113" s="225">
        <v>1110150.22</v>
      </c>
      <c r="R113" s="225">
        <v>1031644.1</v>
      </c>
      <c r="S113" s="312">
        <f t="shared" si="28"/>
        <v>13348178.529999999</v>
      </c>
      <c r="T113" s="329">
        <f t="shared" si="29"/>
        <v>0.16336552130381299</v>
      </c>
      <c r="U113" s="161"/>
    </row>
    <row r="114" spans="1:21">
      <c r="A114" s="216" t="str">
        <f t="shared" si="27"/>
        <v>418p</v>
      </c>
      <c r="B114" s="621" t="str">
        <f>+VLOOKUP(LEFT($A114,LEN(A114)-1)*1,Master!$D$30:$G$229,4,FALSE)</f>
        <v>Subvencije</v>
      </c>
      <c r="C114" s="622"/>
      <c r="D114" s="622"/>
      <c r="E114" s="622"/>
      <c r="F114" s="622"/>
      <c r="G114" s="225">
        <v>3923337.52</v>
      </c>
      <c r="H114" s="225">
        <v>2411250</v>
      </c>
      <c r="I114" s="225">
        <v>5901966.2800000003</v>
      </c>
      <c r="J114" s="225">
        <v>5865018.6399999997</v>
      </c>
      <c r="K114" s="225">
        <v>6219007.0999999996</v>
      </c>
      <c r="L114" s="225">
        <v>5525954.71</v>
      </c>
      <c r="M114" s="225">
        <v>5355770.79</v>
      </c>
      <c r="N114" s="225">
        <v>8596998.2300000004</v>
      </c>
      <c r="O114" s="225">
        <v>6721963.5599999996</v>
      </c>
      <c r="P114" s="225">
        <v>6721963.5599999996</v>
      </c>
      <c r="Q114" s="225">
        <v>6721963.5599999996</v>
      </c>
      <c r="R114" s="225">
        <v>6721963.5800000001</v>
      </c>
      <c r="S114" s="312">
        <f t="shared" si="28"/>
        <v>70687157.530000001</v>
      </c>
      <c r="T114" s="329">
        <f t="shared" si="29"/>
        <v>0.865125104029694</v>
      </c>
      <c r="U114" s="161"/>
    </row>
    <row r="115" spans="1:21">
      <c r="A115" s="216" t="str">
        <f t="shared" si="27"/>
        <v>419p</v>
      </c>
      <c r="B115" s="621" t="str">
        <f>+VLOOKUP(LEFT($A115,LEN(A115)-1)*1,Master!$D$30:$G$229,4,FALSE)</f>
        <v>Ostali izdaci</v>
      </c>
      <c r="C115" s="622"/>
      <c r="D115" s="622"/>
      <c r="E115" s="622"/>
      <c r="F115" s="622"/>
      <c r="G115" s="225">
        <v>2408828.04</v>
      </c>
      <c r="H115" s="225">
        <v>3411109.03</v>
      </c>
      <c r="I115" s="225">
        <v>7715389.0999999996</v>
      </c>
      <c r="J115" s="225">
        <v>6290727.4299999997</v>
      </c>
      <c r="K115" s="225">
        <v>7644981.0099999998</v>
      </c>
      <c r="L115" s="225">
        <v>11242314.199999999</v>
      </c>
      <c r="M115" s="225">
        <v>7353035.4000000004</v>
      </c>
      <c r="N115" s="225">
        <v>10042739.02</v>
      </c>
      <c r="O115" s="225">
        <v>8546142.6300000008</v>
      </c>
      <c r="P115" s="225">
        <v>8269831.3300000001</v>
      </c>
      <c r="Q115" s="225">
        <v>8237233.4400000004</v>
      </c>
      <c r="R115" s="225">
        <v>7757214.4699999997</v>
      </c>
      <c r="S115" s="312">
        <f t="shared" si="28"/>
        <v>88919545.099999994</v>
      </c>
      <c r="T115" s="329">
        <f t="shared" si="29"/>
        <v>1.08826742215886</v>
      </c>
      <c r="U115" s="161"/>
    </row>
    <row r="116" spans="1:21">
      <c r="A116" s="216" t="str">
        <f t="shared" si="27"/>
        <v>42p</v>
      </c>
      <c r="B116" s="649" t="str">
        <f>+VLOOKUP(LEFT($A116,LEN(A116)-1)*1,Master!$D$30:$G$229,4,FALSE)</f>
        <v>Transferi za socijalnu zaštitu</v>
      </c>
      <c r="C116" s="650"/>
      <c r="D116" s="650"/>
      <c r="E116" s="650"/>
      <c r="F116" s="650"/>
      <c r="G116" s="405">
        <f t="shared" ref="G116:R116" si="33">+SUM(G117:G121)</f>
        <v>86392001.530000001</v>
      </c>
      <c r="H116" s="405">
        <f t="shared" si="33"/>
        <v>93735058.950000003</v>
      </c>
      <c r="I116" s="405">
        <f t="shared" si="33"/>
        <v>92633322.390000001</v>
      </c>
      <c r="J116" s="405">
        <f t="shared" si="33"/>
        <v>90975550.370000005</v>
      </c>
      <c r="K116" s="405">
        <f t="shared" si="33"/>
        <v>90385627.5</v>
      </c>
      <c r="L116" s="405">
        <f t="shared" si="33"/>
        <v>93674809.959999993</v>
      </c>
      <c r="M116" s="405">
        <f t="shared" si="33"/>
        <v>93162509.829999998</v>
      </c>
      <c r="N116" s="405">
        <f t="shared" si="33"/>
        <v>95987426.799999997</v>
      </c>
      <c r="O116" s="405">
        <f t="shared" si="33"/>
        <v>81019219.200000003</v>
      </c>
      <c r="P116" s="405">
        <f t="shared" si="33"/>
        <v>85339625.640000001</v>
      </c>
      <c r="Q116" s="405">
        <f t="shared" si="33"/>
        <v>85314680.129999995</v>
      </c>
      <c r="R116" s="405">
        <f t="shared" si="33"/>
        <v>77037176.379999995</v>
      </c>
      <c r="S116" s="397">
        <f t="shared" si="28"/>
        <v>1065657008.6799999</v>
      </c>
      <c r="T116" s="372">
        <f t="shared" si="29"/>
        <v>13.042349738041001</v>
      </c>
      <c r="U116" s="161"/>
    </row>
    <row r="117" spans="1:21">
      <c r="A117" s="216" t="str">
        <f t="shared" si="27"/>
        <v>421p</v>
      </c>
      <c r="B117" s="621" t="str">
        <f>+VLOOKUP(LEFT($A117,LEN(A117)-1)*1,Master!$D$30:$G$229,4,FALSE)</f>
        <v>Prava iz oblasti socijalne zaštite</v>
      </c>
      <c r="C117" s="622"/>
      <c r="D117" s="622"/>
      <c r="E117" s="622"/>
      <c r="F117" s="622"/>
      <c r="G117" s="153">
        <v>19200151.199999999</v>
      </c>
      <c r="H117" s="153">
        <v>22395857.719999999</v>
      </c>
      <c r="I117" s="153">
        <v>21236495.859999999</v>
      </c>
      <c r="J117" s="153">
        <v>19875975.960000001</v>
      </c>
      <c r="K117" s="153">
        <v>19561222.140000001</v>
      </c>
      <c r="L117" s="153">
        <v>20310976.43</v>
      </c>
      <c r="M117" s="153">
        <v>20317695.199999999</v>
      </c>
      <c r="N117" s="153">
        <v>22053719.829999998</v>
      </c>
      <c r="O117" s="153">
        <v>15726325.109999999</v>
      </c>
      <c r="P117" s="153">
        <v>15726325.109999999</v>
      </c>
      <c r="Q117" s="153">
        <v>15701379.6</v>
      </c>
      <c r="R117" s="153">
        <v>9423875.8399999999</v>
      </c>
      <c r="S117" s="312">
        <f t="shared" si="28"/>
        <v>221530000</v>
      </c>
      <c r="T117" s="329">
        <f t="shared" si="29"/>
        <v>2.7112586075392899</v>
      </c>
      <c r="U117" s="161"/>
    </row>
    <row r="118" spans="1:21">
      <c r="A118" s="216" t="str">
        <f t="shared" si="27"/>
        <v>422p</v>
      </c>
      <c r="B118" s="621" t="str">
        <f>+VLOOKUP(LEFT($A118,LEN(A118)-1)*1,Master!$D$30:$G$229,4,FALSE)</f>
        <v>Sredstva za tehnološke viškove</v>
      </c>
      <c r="C118" s="622"/>
      <c r="D118" s="622"/>
      <c r="E118" s="622"/>
      <c r="F118" s="622"/>
      <c r="G118" s="153">
        <v>2213718.63</v>
      </c>
      <c r="H118" s="153">
        <v>2165427.89</v>
      </c>
      <c r="I118" s="153">
        <v>2163156.12</v>
      </c>
      <c r="J118" s="153">
        <v>2158505.1</v>
      </c>
      <c r="K118" s="153">
        <v>2057419.81</v>
      </c>
      <c r="L118" s="153">
        <v>2084407.98</v>
      </c>
      <c r="M118" s="153">
        <v>2096069.39</v>
      </c>
      <c r="N118" s="153">
        <v>2344604.0299999998</v>
      </c>
      <c r="O118" s="153">
        <v>2344604.0299999998</v>
      </c>
      <c r="P118" s="153">
        <v>2344604.0299999998</v>
      </c>
      <c r="Q118" s="153">
        <v>2344604.0299999998</v>
      </c>
      <c r="R118" s="153">
        <v>344604</v>
      </c>
      <c r="S118" s="312">
        <f t="shared" si="28"/>
        <v>24661725.039999999</v>
      </c>
      <c r="T118" s="329">
        <f t="shared" si="29"/>
        <v>0.301829613557835</v>
      </c>
      <c r="U118" s="161"/>
    </row>
    <row r="119" spans="1:21">
      <c r="A119" s="216" t="str">
        <f t="shared" si="27"/>
        <v>423p</v>
      </c>
      <c r="B119" s="621" t="str">
        <f>+VLOOKUP(LEFT($A119,LEN(A119)-1)*1,Master!$D$30:$G$229,4,FALSE)</f>
        <v>Prava iz oblasti penzijskog i invalidskog osiguranja</v>
      </c>
      <c r="C119" s="622"/>
      <c r="D119" s="622"/>
      <c r="E119" s="622"/>
      <c r="F119" s="622"/>
      <c r="G119" s="153">
        <v>63002630.409999996</v>
      </c>
      <c r="H119" s="153">
        <v>65519895.829999998</v>
      </c>
      <c r="I119" s="153">
        <v>65511585.649999999</v>
      </c>
      <c r="J119" s="153">
        <v>65613396.359999999</v>
      </c>
      <c r="K119" s="153">
        <v>65712452.990000002</v>
      </c>
      <c r="L119" s="153">
        <v>66973578.530000001</v>
      </c>
      <c r="M119" s="153">
        <v>66835126.729999997</v>
      </c>
      <c r="N119" s="153">
        <v>67927729.870000005</v>
      </c>
      <c r="O119" s="153">
        <v>59286916.990000002</v>
      </c>
      <c r="P119" s="153">
        <v>63607323.43</v>
      </c>
      <c r="Q119" s="153">
        <v>63607323.43</v>
      </c>
      <c r="R119" s="153">
        <v>63607323.420000002</v>
      </c>
      <c r="S119" s="312">
        <f t="shared" si="28"/>
        <v>777205283.63999999</v>
      </c>
      <c r="T119" s="329">
        <f t="shared" si="29"/>
        <v>9.5120503547779691</v>
      </c>
      <c r="U119" s="161"/>
    </row>
    <row r="120" spans="1:21">
      <c r="A120" s="216" t="str">
        <f t="shared" si="27"/>
        <v>424p</v>
      </c>
      <c r="B120" s="621" t="str">
        <f>+VLOOKUP(LEFT($A120,LEN(A120)-1)*1,Master!$D$30:$G$229,4,FALSE)</f>
        <v>Ostala prava iz oblasti zdravstvene zaštite</v>
      </c>
      <c r="C120" s="622"/>
      <c r="D120" s="622"/>
      <c r="E120" s="622"/>
      <c r="F120" s="622"/>
      <c r="G120" s="153">
        <v>1296116.4099999999</v>
      </c>
      <c r="H120" s="153">
        <v>2368371.2599999998</v>
      </c>
      <c r="I120" s="153">
        <v>1988435.53</v>
      </c>
      <c r="J120" s="153">
        <v>1904853.64</v>
      </c>
      <c r="K120" s="153">
        <v>1750586.83</v>
      </c>
      <c r="L120" s="153">
        <v>2838301.37</v>
      </c>
      <c r="M120" s="153">
        <v>2255237.94</v>
      </c>
      <c r="N120" s="153">
        <v>2231619.4</v>
      </c>
      <c r="O120" s="153">
        <v>2231619.4</v>
      </c>
      <c r="P120" s="153">
        <v>2231619.4</v>
      </c>
      <c r="Q120" s="153">
        <v>2231619.4</v>
      </c>
      <c r="R120" s="153">
        <v>2231619.42</v>
      </c>
      <c r="S120" s="312">
        <f t="shared" si="28"/>
        <v>25560000</v>
      </c>
      <c r="T120" s="329">
        <f t="shared" si="29"/>
        <v>0.31282340996119801</v>
      </c>
      <c r="U120" s="161"/>
    </row>
    <row r="121" spans="1:21">
      <c r="A121" s="216" t="str">
        <f t="shared" si="27"/>
        <v>425p</v>
      </c>
      <c r="B121" s="621" t="str">
        <f>+VLOOKUP(LEFT($A121,LEN(A121)-1)*1,Master!$D$30:$G$229,4,FALSE)</f>
        <v>Ostala prava iz zdravstvenog osiguranja</v>
      </c>
      <c r="C121" s="622"/>
      <c r="D121" s="622"/>
      <c r="E121" s="622"/>
      <c r="F121" s="622"/>
      <c r="G121" s="153">
        <v>679384.88</v>
      </c>
      <c r="H121" s="153">
        <v>1285506.25</v>
      </c>
      <c r="I121" s="153">
        <v>1733649.23</v>
      </c>
      <c r="J121" s="153">
        <v>1422819.31</v>
      </c>
      <c r="K121" s="153">
        <v>1303945.73</v>
      </c>
      <c r="L121" s="153">
        <v>1467545.65</v>
      </c>
      <c r="M121" s="153">
        <v>1658380.57</v>
      </c>
      <c r="N121" s="153">
        <v>1429753.67</v>
      </c>
      <c r="O121" s="153">
        <v>1429753.67</v>
      </c>
      <c r="P121" s="153">
        <v>1429753.67</v>
      </c>
      <c r="Q121" s="153">
        <v>1429753.67</v>
      </c>
      <c r="R121" s="153">
        <v>1429753.7</v>
      </c>
      <c r="S121" s="312">
        <f t="shared" si="28"/>
        <v>16700000</v>
      </c>
      <c r="T121" s="329">
        <f t="shared" si="29"/>
        <v>0.20438775220469499</v>
      </c>
      <c r="U121" s="161"/>
    </row>
    <row r="122" spans="1:21">
      <c r="A122" s="216" t="str">
        <f t="shared" si="27"/>
        <v>43p</v>
      </c>
      <c r="B122" s="629" t="str">
        <f>+VLOOKUP(LEFT($A122,LEN(A122)-1)*1,Master!$D$30:$G$229,4,FALSE)</f>
        <v>Transferi institucijama, pojedincima, nevladinom i javnom sektoru</v>
      </c>
      <c r="C122" s="630"/>
      <c r="D122" s="630"/>
      <c r="E122" s="630"/>
      <c r="F122" s="630"/>
      <c r="G122" s="398">
        <v>22312747.940000001</v>
      </c>
      <c r="H122" s="398">
        <v>25330454.93</v>
      </c>
      <c r="I122" s="398">
        <v>41879641.159999996</v>
      </c>
      <c r="J122" s="398">
        <v>37225153.310000002</v>
      </c>
      <c r="K122" s="398">
        <v>43353495.060000002</v>
      </c>
      <c r="L122" s="398">
        <v>37033961.009999998</v>
      </c>
      <c r="M122" s="398">
        <v>50964091.189999998</v>
      </c>
      <c r="N122" s="398">
        <v>46548353.630000003</v>
      </c>
      <c r="O122" s="398">
        <v>45860047.219999999</v>
      </c>
      <c r="P122" s="398">
        <v>42366884.090000004</v>
      </c>
      <c r="Q122" s="398">
        <v>38851862.539999999</v>
      </c>
      <c r="R122" s="398">
        <v>24159617.739999998</v>
      </c>
      <c r="S122" s="397">
        <f t="shared" si="28"/>
        <v>455886309.81999999</v>
      </c>
      <c r="T122" s="372">
        <f t="shared" si="29"/>
        <v>5.57949569610797</v>
      </c>
      <c r="U122" s="161"/>
    </row>
    <row r="123" spans="1:21">
      <c r="A123" s="216" t="str">
        <f t="shared" si="27"/>
        <v>44p</v>
      </c>
      <c r="B123" s="629" t="str">
        <f>+VLOOKUP(LEFT($A123,LEN(A123)-1)*1,Master!$D$30:$G$229,4,FALSE)</f>
        <v>Kapitalni izdaci</v>
      </c>
      <c r="C123" s="630"/>
      <c r="D123" s="630"/>
      <c r="E123" s="630"/>
      <c r="F123" s="630"/>
      <c r="G123" s="398">
        <v>3130331.09</v>
      </c>
      <c r="H123" s="398">
        <v>9035018.9499999993</v>
      </c>
      <c r="I123" s="398">
        <v>22771028</v>
      </c>
      <c r="J123" s="398">
        <v>20600392.41</v>
      </c>
      <c r="K123" s="398">
        <v>22919618.57</v>
      </c>
      <c r="L123" s="398">
        <v>14816455.689999999</v>
      </c>
      <c r="M123" s="398">
        <v>27754058.620000001</v>
      </c>
      <c r="N123" s="398">
        <v>43169262.219999999</v>
      </c>
      <c r="O123" s="398">
        <v>33287648.420000002</v>
      </c>
      <c r="P123" s="398">
        <v>30627538.579999998</v>
      </c>
      <c r="Q123" s="398">
        <v>35294592.409999996</v>
      </c>
      <c r="R123" s="398">
        <v>76097863.920000002</v>
      </c>
      <c r="S123" s="397">
        <f t="shared" si="28"/>
        <v>339503808.88</v>
      </c>
      <c r="T123" s="372">
        <f t="shared" si="29"/>
        <v>4.1551149917314696</v>
      </c>
      <c r="U123" s="161"/>
    </row>
    <row r="124" spans="1:21">
      <c r="A124" s="216" t="str">
        <f t="shared" si="27"/>
        <v>451p</v>
      </c>
      <c r="B124" s="631" t="str">
        <f>+VLOOKUP(LEFT($A124,LEN(A124)-1)*1,Master!$D$30:$G$229,4,FALSE)</f>
        <v>Pozajmice i krediti</v>
      </c>
      <c r="C124" s="632"/>
      <c r="D124" s="632"/>
      <c r="E124" s="632"/>
      <c r="F124" s="632"/>
      <c r="G124" s="153">
        <v>0</v>
      </c>
      <c r="H124" s="153">
        <v>0</v>
      </c>
      <c r="I124" s="153">
        <v>0</v>
      </c>
      <c r="J124" s="153">
        <v>0</v>
      </c>
      <c r="K124" s="153">
        <v>0</v>
      </c>
      <c r="L124" s="153">
        <v>0</v>
      </c>
      <c r="M124" s="153">
        <v>0</v>
      </c>
      <c r="N124" s="153">
        <v>0</v>
      </c>
      <c r="O124" s="153">
        <v>0</v>
      </c>
      <c r="P124" s="153">
        <v>0</v>
      </c>
      <c r="Q124" s="153">
        <v>0</v>
      </c>
      <c r="R124" s="153">
        <v>0</v>
      </c>
      <c r="S124" s="312">
        <f t="shared" si="28"/>
        <v>0</v>
      </c>
      <c r="T124" s="329">
        <f t="shared" si="29"/>
        <v>0</v>
      </c>
      <c r="U124" s="161"/>
    </row>
    <row r="125" spans="1:21">
      <c r="A125" s="216" t="str">
        <f t="shared" si="27"/>
        <v>47p</v>
      </c>
      <c r="B125" s="631" t="str">
        <f>+VLOOKUP(LEFT($A125,LEN(A125)-1)*1,Master!$D$30:$G$229,4,FALSE)</f>
        <v>Rezerve</v>
      </c>
      <c r="C125" s="632"/>
      <c r="D125" s="632"/>
      <c r="E125" s="632"/>
      <c r="F125" s="632"/>
      <c r="G125" s="225">
        <v>0</v>
      </c>
      <c r="H125" s="225">
        <v>1209850</v>
      </c>
      <c r="I125" s="225">
        <v>3097639.84</v>
      </c>
      <c r="J125" s="225">
        <v>60929.33</v>
      </c>
      <c r="K125" s="225">
        <v>23004.35</v>
      </c>
      <c r="L125" s="225">
        <v>203203.49</v>
      </c>
      <c r="M125" s="225">
        <v>24767.07</v>
      </c>
      <c r="N125" s="225">
        <v>1232013.7</v>
      </c>
      <c r="O125" s="225">
        <v>452013.7</v>
      </c>
      <c r="P125" s="225">
        <v>2452013.7000000002</v>
      </c>
      <c r="Q125" s="225">
        <v>2452013.7000000002</v>
      </c>
      <c r="R125" s="225">
        <v>2576498.7200000002</v>
      </c>
      <c r="S125" s="312">
        <f t="shared" si="28"/>
        <v>13783947.6</v>
      </c>
      <c r="T125" s="329">
        <f t="shared" si="29"/>
        <v>0.16869880637552701</v>
      </c>
      <c r="U125" s="161"/>
    </row>
    <row r="126" spans="1:21">
      <c r="A126" s="216" t="str">
        <f t="shared" si="27"/>
        <v>462p</v>
      </c>
      <c r="B126" s="631" t="str">
        <f>+VLOOKUP(LEFT($A126,LEN(A126)-1)*1,Master!$D$30:$G$229,4,FALSE)</f>
        <v>Otplata garancija</v>
      </c>
      <c r="C126" s="632"/>
      <c r="D126" s="632"/>
      <c r="E126" s="632"/>
      <c r="F126" s="632"/>
      <c r="G126" s="153">
        <v>4100000</v>
      </c>
      <c r="H126" s="153">
        <v>0</v>
      </c>
      <c r="I126" s="153">
        <v>0.4</v>
      </c>
      <c r="J126" s="153">
        <v>0.4</v>
      </c>
      <c r="K126" s="153">
        <v>0.4</v>
      </c>
      <c r="L126" s="153">
        <v>0.4</v>
      </c>
      <c r="M126" s="153">
        <v>0.4</v>
      </c>
      <c r="N126" s="153">
        <v>0.4</v>
      </c>
      <c r="O126" s="153">
        <v>0.4</v>
      </c>
      <c r="P126" s="153">
        <v>0.4</v>
      </c>
      <c r="Q126" s="153">
        <v>0.4</v>
      </c>
      <c r="R126" s="153">
        <v>0.4</v>
      </c>
      <c r="S126" s="312">
        <f t="shared" si="28"/>
        <v>4100004</v>
      </c>
      <c r="T126" s="329">
        <f t="shared" si="29"/>
        <v>5.01790779395365E-2</v>
      </c>
      <c r="U126" s="161"/>
    </row>
    <row r="127" spans="1:21">
      <c r="A127" s="247" t="str">
        <f t="shared" si="27"/>
        <v>4630p</v>
      </c>
      <c r="B127" s="631" t="str">
        <f>+VLOOKUP(LEFT($A127,LEN(A127)-1)*1,Master!$D$30:$G$229,4,FALSE)</f>
        <v>Otplata obaveza iz prethodnog perioda</v>
      </c>
      <c r="C127" s="632"/>
      <c r="D127" s="632"/>
      <c r="E127" s="632"/>
      <c r="F127" s="632"/>
      <c r="G127" s="253">
        <v>2016407.64</v>
      </c>
      <c r="H127" s="225">
        <v>2098407.64</v>
      </c>
      <c r="I127" s="225">
        <v>2828265.53</v>
      </c>
      <c r="J127" s="225">
        <v>1836048.7</v>
      </c>
      <c r="K127" s="225">
        <v>1828300.48</v>
      </c>
      <c r="L127" s="225">
        <v>2114062.7200000002</v>
      </c>
      <c r="M127" s="225">
        <v>3931326.85</v>
      </c>
      <c r="N127" s="225">
        <v>916856.26</v>
      </c>
      <c r="O127" s="225">
        <v>1342090.72</v>
      </c>
      <c r="P127" s="225">
        <v>1154864.1599999999</v>
      </c>
      <c r="Q127" s="225">
        <v>1360765.22</v>
      </c>
      <c r="R127" s="225">
        <v>2047653.64</v>
      </c>
      <c r="S127" s="317">
        <f t="shared" si="28"/>
        <v>23475049.559999999</v>
      </c>
      <c r="T127" s="342">
        <f t="shared" si="29"/>
        <v>0.28730614445881603</v>
      </c>
      <c r="U127" s="161"/>
    </row>
    <row r="128" spans="1:21">
      <c r="A128" s="216" t="str">
        <f t="shared" si="27"/>
        <v>1005p</v>
      </c>
      <c r="B128" s="631" t="str">
        <f>+VLOOKUP(LEFT($A128,LEN(A128)-1)*1,Master!$D$30:$G$229,4,FALSE)</f>
        <v>Neto povećanje obaveza</v>
      </c>
      <c r="C128" s="632"/>
      <c r="D128" s="632"/>
      <c r="E128" s="632"/>
      <c r="F128" s="632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29"/>
        <v>0</v>
      </c>
      <c r="U128" s="161"/>
    </row>
    <row r="129" spans="1:22">
      <c r="A129" s="247" t="str">
        <f t="shared" si="27"/>
        <v>1000p</v>
      </c>
      <c r="B129" s="645" t="str">
        <f>+VLOOKUP(LEFT($A129,LEN(A129)-1)*1,Master!$D$30:$G$226,4,FALSE)</f>
        <v>Suficit / deficit</v>
      </c>
      <c r="C129" s="646"/>
      <c r="D129" s="646"/>
      <c r="E129" s="646"/>
      <c r="F129" s="646"/>
      <c r="G129" s="388">
        <f t="shared" ref="G129:R129" si="34">+G86-G105</f>
        <v>-35685139.530000001</v>
      </c>
      <c r="H129" s="400">
        <f t="shared" si="34"/>
        <v>-21462022.8972985</v>
      </c>
      <c r="I129" s="388">
        <f t="shared" si="34"/>
        <v>-26227578.019224498</v>
      </c>
      <c r="J129" s="388">
        <f t="shared" si="34"/>
        <v>45254505.8595898</v>
      </c>
      <c r="K129" s="388">
        <f t="shared" si="34"/>
        <v>-47834487.188635498</v>
      </c>
      <c r="L129" s="388">
        <f t="shared" si="34"/>
        <v>-6116654.0882425597</v>
      </c>
      <c r="M129" s="388">
        <f t="shared" si="34"/>
        <v>-22611314.888551898</v>
      </c>
      <c r="N129" s="388">
        <f t="shared" si="34"/>
        <v>-53322502.496803798</v>
      </c>
      <c r="O129" s="388">
        <f t="shared" si="34"/>
        <v>-18476224.9433356</v>
      </c>
      <c r="P129" s="388">
        <f t="shared" si="34"/>
        <v>-23660341.943951499</v>
      </c>
      <c r="Q129" s="388">
        <f t="shared" si="34"/>
        <v>-45712841.179269999</v>
      </c>
      <c r="R129" s="388">
        <f t="shared" si="34"/>
        <v>-22293840.2842963</v>
      </c>
      <c r="S129" s="406">
        <f t="shared" si="28"/>
        <v>-278148441.600021</v>
      </c>
      <c r="T129" s="381">
        <f t="shared" si="29"/>
        <v>-3.40419968609983</v>
      </c>
      <c r="U129" s="161"/>
    </row>
    <row r="130" spans="1:22">
      <c r="A130" s="247" t="str">
        <f t="shared" si="27"/>
        <v>1001p</v>
      </c>
      <c r="B130" s="647" t="str">
        <f>+VLOOKUP(LEFT($A130,LEN(A130)-1)*1,Master!$D$30:$G$226,4,FALSE)</f>
        <v>Primarni suficit/deficit</v>
      </c>
      <c r="C130" s="648"/>
      <c r="D130" s="648"/>
      <c r="E130" s="648"/>
      <c r="F130" s="648"/>
      <c r="G130" s="407">
        <f>+G129+G112</f>
        <v>-31893816.109999999</v>
      </c>
      <c r="H130" s="407">
        <f t="shared" ref="H130:R130" si="35">+H129+H112</f>
        <v>-18138744.157298502</v>
      </c>
      <c r="I130" s="407">
        <f t="shared" si="35"/>
        <v>-1790286.1092244899</v>
      </c>
      <c r="J130" s="407">
        <f t="shared" si="35"/>
        <v>78559585.999589801</v>
      </c>
      <c r="K130" s="407">
        <f t="shared" si="35"/>
        <v>-37616535.988635503</v>
      </c>
      <c r="L130" s="407">
        <f t="shared" si="35"/>
        <v>-486991.64824256097</v>
      </c>
      <c r="M130" s="407">
        <f t="shared" si="35"/>
        <v>-17763118.708551899</v>
      </c>
      <c r="N130" s="407">
        <f t="shared" si="35"/>
        <v>-38830356.936803803</v>
      </c>
      <c r="O130" s="407">
        <f t="shared" si="35"/>
        <v>-3984079.3833355899</v>
      </c>
      <c r="P130" s="407">
        <f t="shared" si="35"/>
        <v>-9168196.3839515503</v>
      </c>
      <c r="Q130" s="407">
        <f t="shared" si="35"/>
        <v>-31220695.619270001</v>
      </c>
      <c r="R130" s="407">
        <f t="shared" si="35"/>
        <v>-7803194.5642963098</v>
      </c>
      <c r="S130" s="406">
        <f t="shared" si="28"/>
        <v>-120136429.61002</v>
      </c>
      <c r="T130" s="381">
        <f t="shared" si="29"/>
        <v>-1.47032423987363</v>
      </c>
      <c r="U130" s="161"/>
    </row>
    <row r="131" spans="1:22">
      <c r="A131" s="247" t="str">
        <f t="shared" si="27"/>
        <v>46p</v>
      </c>
      <c r="B131" s="649" t="str">
        <f>+VLOOKUP(LEFT($A131,LEN(A131)-1)*1,Master!$D$30:$G$226,4,FALSE)</f>
        <v>Otplata dugova</v>
      </c>
      <c r="C131" s="650"/>
      <c r="D131" s="650"/>
      <c r="E131" s="650"/>
      <c r="F131" s="650"/>
      <c r="G131" s="405">
        <v>34623384.329999998</v>
      </c>
      <c r="H131" s="405">
        <v>8283075.9800000004</v>
      </c>
      <c r="I131" s="405">
        <v>26500975.739999998</v>
      </c>
      <c r="J131" s="405">
        <v>516680510.11000001</v>
      </c>
      <c r="K131" s="405">
        <v>49356649.140000001</v>
      </c>
      <c r="L131" s="405">
        <v>31468035.539999999</v>
      </c>
      <c r="M131" s="408">
        <v>49327078.369999997</v>
      </c>
      <c r="N131" s="405">
        <v>27550149</v>
      </c>
      <c r="O131" s="405">
        <v>26364355.75</v>
      </c>
      <c r="P131" s="405">
        <v>15224048.300000001</v>
      </c>
      <c r="Q131" s="405">
        <v>8450028.0999999996</v>
      </c>
      <c r="R131" s="405">
        <v>27083355.399999999</v>
      </c>
      <c r="S131" s="409">
        <f t="shared" si="28"/>
        <v>820911645.75999999</v>
      </c>
      <c r="T131" s="383">
        <f t="shared" si="29"/>
        <v>10.0469632356613</v>
      </c>
      <c r="U131" s="161"/>
      <c r="V131" s="358"/>
    </row>
    <row r="132" spans="1:22">
      <c r="A132" s="247" t="str">
        <f t="shared" si="27"/>
        <v>4611p</v>
      </c>
      <c r="B132" s="635" t="str">
        <f>+VLOOKUP(LEFT($A132,LEN(A132)-1)*1,Master!$D$30:$G$226,4,FALSE)</f>
        <v>Otplata hartija od vrijednosti i kredita rezidentima</v>
      </c>
      <c r="C132" s="636"/>
      <c r="D132" s="636"/>
      <c r="E132" s="636"/>
      <c r="F132" s="636"/>
      <c r="G132" s="253">
        <v>1987616.93</v>
      </c>
      <c r="H132" s="253">
        <v>1708211.77</v>
      </c>
      <c r="I132" s="253">
        <v>4420663.5199999996</v>
      </c>
      <c r="J132" s="253">
        <v>2044202.08</v>
      </c>
      <c r="K132" s="253">
        <v>2816900.89</v>
      </c>
      <c r="L132" s="253">
        <v>15431758.25</v>
      </c>
      <c r="M132" s="352">
        <v>1723907.95</v>
      </c>
      <c r="N132" s="352">
        <v>1752462.1</v>
      </c>
      <c r="O132" s="352">
        <v>4555783.9000000004</v>
      </c>
      <c r="P132" s="352">
        <v>1747992.78</v>
      </c>
      <c r="Q132" s="352">
        <v>2865405.01</v>
      </c>
      <c r="R132" s="352">
        <v>15726739.58</v>
      </c>
      <c r="S132" s="317">
        <f t="shared" si="28"/>
        <v>56781644.759999998</v>
      </c>
      <c r="T132" s="342">
        <f t="shared" si="29"/>
        <v>0.69493848736418595</v>
      </c>
      <c r="U132" s="161"/>
    </row>
    <row r="133" spans="1:22">
      <c r="A133" s="247" t="str">
        <f t="shared" si="27"/>
        <v>4612p</v>
      </c>
      <c r="B133" s="631" t="str">
        <f>+VLOOKUP(LEFT($A133,LEN(A133)-1)*1,Master!$D$30:$G$226,4,FALSE)</f>
        <v>Otplata hartija od vrijednosti i kredita nerezidentima</v>
      </c>
      <c r="C133" s="632"/>
      <c r="D133" s="632"/>
      <c r="E133" s="632"/>
      <c r="F133" s="632"/>
      <c r="G133" s="253">
        <v>32635767.399999999</v>
      </c>
      <c r="H133" s="253">
        <v>6574864.21</v>
      </c>
      <c r="I133" s="253">
        <v>22080312.219999999</v>
      </c>
      <c r="J133" s="253">
        <v>514636308.02999997</v>
      </c>
      <c r="K133" s="253">
        <v>46539748.25</v>
      </c>
      <c r="L133" s="253">
        <v>16036277.289999999</v>
      </c>
      <c r="M133" s="352">
        <v>47603170.420000002</v>
      </c>
      <c r="N133" s="352">
        <v>25797686.899999999</v>
      </c>
      <c r="O133" s="352">
        <v>21808571.850000001</v>
      </c>
      <c r="P133" s="352">
        <v>13476055.52</v>
      </c>
      <c r="Q133" s="352">
        <v>5584623.0899999999</v>
      </c>
      <c r="R133" s="352">
        <v>11356615.82</v>
      </c>
      <c r="S133" s="317">
        <f t="shared" si="28"/>
        <v>764130001</v>
      </c>
      <c r="T133" s="342">
        <f t="shared" si="29"/>
        <v>9.3520247482971008</v>
      </c>
      <c r="U133" s="161"/>
    </row>
    <row r="134" spans="1:22">
      <c r="A134" s="247" t="str">
        <f t="shared" si="27"/>
        <v>4418p</v>
      </c>
      <c r="B134" s="617" t="str">
        <f>+VLOOKUP(LEFT($A134,LEN(A134)-1)*1,Master!$D$30:$G$226,4,FALSE)</f>
        <v>Izdaci za kupovinu hartija od vrijednosti</v>
      </c>
      <c r="C134" s="618"/>
      <c r="D134" s="618"/>
      <c r="E134" s="618"/>
      <c r="F134" s="618"/>
      <c r="G134" s="388">
        <v>0</v>
      </c>
      <c r="H134" s="388">
        <v>0</v>
      </c>
      <c r="I134" s="388">
        <v>3413000</v>
      </c>
      <c r="J134" s="388">
        <v>3413000</v>
      </c>
      <c r="K134" s="388">
        <v>3413000</v>
      </c>
      <c r="L134" s="388">
        <v>3413000</v>
      </c>
      <c r="M134" s="388">
        <v>3413000</v>
      </c>
      <c r="N134" s="388">
        <v>3427386.85</v>
      </c>
      <c r="O134" s="388">
        <v>3427386.85</v>
      </c>
      <c r="P134" s="388">
        <v>3427386.85</v>
      </c>
      <c r="Q134" s="388">
        <v>3427386.85</v>
      </c>
      <c r="R134" s="388">
        <v>3427386.84</v>
      </c>
      <c r="S134" s="406">
        <f t="shared" si="28"/>
        <v>34201934.240000002</v>
      </c>
      <c r="T134" s="381">
        <f t="shared" si="29"/>
        <v>0.41859020720756901</v>
      </c>
      <c r="U134" s="161"/>
      <c r="V134" s="358"/>
    </row>
    <row r="135" spans="1:22">
      <c r="A135" s="247" t="s">
        <v>21</v>
      </c>
      <c r="B135" s="617" t="s">
        <v>22</v>
      </c>
      <c r="C135" s="618"/>
      <c r="D135" s="618"/>
      <c r="E135" s="618"/>
      <c r="F135" s="618"/>
      <c r="G135" s="410">
        <v>0</v>
      </c>
      <c r="H135" s="410">
        <v>1500000</v>
      </c>
      <c r="I135" s="410">
        <v>780000</v>
      </c>
      <c r="J135" s="410">
        <v>780000</v>
      </c>
      <c r="K135" s="410">
        <v>660000</v>
      </c>
      <c r="L135" s="410">
        <v>660000</v>
      </c>
      <c r="M135" s="410">
        <v>0</v>
      </c>
      <c r="N135" s="410">
        <v>192001.6</v>
      </c>
      <c r="O135" s="410">
        <v>1056001.6000000001</v>
      </c>
      <c r="P135" s="410">
        <v>624001.6</v>
      </c>
      <c r="Q135" s="410">
        <v>624001.6</v>
      </c>
      <c r="R135" s="410">
        <v>624001.6</v>
      </c>
      <c r="S135" s="406">
        <f t="shared" si="28"/>
        <v>7500008</v>
      </c>
      <c r="T135" s="381">
        <f t="shared" si="29"/>
        <v>9.17910045890558E-2</v>
      </c>
      <c r="U135" s="161"/>
    </row>
    <row r="136" spans="1:22">
      <c r="A136" s="247" t="str">
        <f>+CONCATENATE(A60,"p")</f>
        <v>1002p</v>
      </c>
      <c r="B136" s="633" t="str">
        <f>+VLOOKUP(LEFT($A136,LEN(A136)-1)*1,Master!$D$30:$G$226,4,FALSE)</f>
        <v>Nedostajuća sredstva</v>
      </c>
      <c r="C136" s="634"/>
      <c r="D136" s="634"/>
      <c r="E136" s="634"/>
      <c r="F136" s="634"/>
      <c r="G136" s="411">
        <f>+G129-G131-G134-G135</f>
        <v>-70308523.859999999</v>
      </c>
      <c r="H136" s="411">
        <f t="shared" ref="H136:R136" si="36">+H129-H131-H134-H135</f>
        <v>-31245098.8772985</v>
      </c>
      <c r="I136" s="411">
        <f t="shared" si="36"/>
        <v>-56921553.759224497</v>
      </c>
      <c r="J136" s="411">
        <f t="shared" si="36"/>
        <v>-475619004.25041002</v>
      </c>
      <c r="K136" s="411">
        <f t="shared" si="36"/>
        <v>-101264136.32863601</v>
      </c>
      <c r="L136" s="411">
        <f t="shared" si="36"/>
        <v>-41657689.628242597</v>
      </c>
      <c r="M136" s="411">
        <f t="shared" si="36"/>
        <v>-75351393.258551896</v>
      </c>
      <c r="N136" s="411">
        <f t="shared" si="36"/>
        <v>-84492039.946803793</v>
      </c>
      <c r="O136" s="411">
        <f t="shared" si="36"/>
        <v>-49323969.143335603</v>
      </c>
      <c r="P136" s="411">
        <f t="shared" si="36"/>
        <v>-42935778.693951502</v>
      </c>
      <c r="Q136" s="411">
        <f t="shared" si="36"/>
        <v>-58214257.729269996</v>
      </c>
      <c r="R136" s="411">
        <f t="shared" si="36"/>
        <v>-53428584.1242963</v>
      </c>
      <c r="S136" s="412">
        <f t="shared" si="28"/>
        <v>-1140762029.6000199</v>
      </c>
      <c r="T136" s="385">
        <f t="shared" si="29"/>
        <v>-13.9615441335577</v>
      </c>
      <c r="U136" s="161"/>
    </row>
    <row r="137" spans="1:22">
      <c r="A137" s="247" t="str">
        <f>+CONCATENATE(A61,"p")</f>
        <v>1003p</v>
      </c>
      <c r="B137" s="617" t="str">
        <f>+VLOOKUP(LEFT($A137,LEN(A137)-1)*1,Master!$D$30:$G$226,4,FALSE)</f>
        <v>Finansiranje</v>
      </c>
      <c r="C137" s="618"/>
      <c r="D137" s="618"/>
      <c r="E137" s="618"/>
      <c r="F137" s="618"/>
      <c r="G137" s="388">
        <f t="shared" ref="G137" si="37">+SUM(G138:G142)</f>
        <v>70308523.859999999</v>
      </c>
      <c r="H137" s="388">
        <f t="shared" ref="H137:R137" si="38">+SUM(H138:H142)</f>
        <v>31245098.8772985</v>
      </c>
      <c r="I137" s="388">
        <f t="shared" si="38"/>
        <v>56921553.759224497</v>
      </c>
      <c r="J137" s="388">
        <f t="shared" si="38"/>
        <v>475619004.25041002</v>
      </c>
      <c r="K137" s="388">
        <f t="shared" si="38"/>
        <v>101264136.32863601</v>
      </c>
      <c r="L137" s="388">
        <f t="shared" si="38"/>
        <v>41657689.628242597</v>
      </c>
      <c r="M137" s="388">
        <f t="shared" si="38"/>
        <v>75351393.258551896</v>
      </c>
      <c r="N137" s="388">
        <f t="shared" si="38"/>
        <v>84492039.946803793</v>
      </c>
      <c r="O137" s="388">
        <f t="shared" si="38"/>
        <v>49323969.143335603</v>
      </c>
      <c r="P137" s="388">
        <f t="shared" si="38"/>
        <v>42935778.693951502</v>
      </c>
      <c r="Q137" s="388">
        <f t="shared" si="38"/>
        <v>58214257.729269996</v>
      </c>
      <c r="R137" s="388">
        <f t="shared" si="38"/>
        <v>53428584.1242963</v>
      </c>
      <c r="S137" s="413">
        <f t="shared" si="28"/>
        <v>1140762029.6000199</v>
      </c>
      <c r="T137" s="387">
        <f t="shared" si="29"/>
        <v>13.9615441335577</v>
      </c>
      <c r="U137" s="161"/>
    </row>
    <row r="138" spans="1:22">
      <c r="A138" s="247" t="str">
        <f>+CONCATENATE(A62,"p")</f>
        <v>7511p</v>
      </c>
      <c r="B138" s="635" t="str">
        <f>+VLOOKUP(LEFT($A138,LEN(A138)-1)*1,Master!$D$30:$G$226,4,FALSE)</f>
        <v>Pozajmice i krediti od domaćih izvora</v>
      </c>
      <c r="C138" s="636"/>
      <c r="D138" s="636"/>
      <c r="E138" s="636"/>
      <c r="F138" s="636"/>
      <c r="G138" s="253">
        <v>0</v>
      </c>
      <c r="H138" s="253">
        <v>0</v>
      </c>
      <c r="I138" s="253">
        <v>0</v>
      </c>
      <c r="J138" s="253">
        <v>50000000</v>
      </c>
      <c r="K138" s="253">
        <v>0</v>
      </c>
      <c r="L138" s="253">
        <v>0</v>
      </c>
      <c r="M138" s="253">
        <v>0</v>
      </c>
      <c r="N138" s="253">
        <v>0</v>
      </c>
      <c r="O138" s="253">
        <v>65000000</v>
      </c>
      <c r="P138" s="253">
        <v>0</v>
      </c>
      <c r="Q138" s="253">
        <v>0</v>
      </c>
      <c r="R138" s="253">
        <v>0</v>
      </c>
      <c r="S138" s="317">
        <f t="shared" si="28"/>
        <v>115000000</v>
      </c>
      <c r="T138" s="342">
        <f t="shared" si="29"/>
        <v>1.4074605690742501</v>
      </c>
      <c r="U138" s="161"/>
    </row>
    <row r="139" spans="1:22">
      <c r="A139" s="247" t="str">
        <f>+CONCATENATE(A63,"p")</f>
        <v>7512p</v>
      </c>
      <c r="B139" s="631" t="str">
        <f>+VLOOKUP(LEFT($A139,LEN(A139)-1)*1,Master!$D$30:$G$226,4,FALSE)</f>
        <v>Pozajmice i krediti od inostranih izvora</v>
      </c>
      <c r="C139" s="632"/>
      <c r="D139" s="632"/>
      <c r="E139" s="632"/>
      <c r="F139" s="632"/>
      <c r="G139" s="253">
        <v>0</v>
      </c>
      <c r="H139" s="253">
        <v>0</v>
      </c>
      <c r="I139" s="253">
        <v>700000000</v>
      </c>
      <c r="J139" s="253">
        <v>0</v>
      </c>
      <c r="K139" s="253">
        <v>0</v>
      </c>
      <c r="L139" s="253">
        <v>0</v>
      </c>
      <c r="M139" s="253">
        <v>0</v>
      </c>
      <c r="N139" s="253">
        <v>0</v>
      </c>
      <c r="O139" s="253">
        <v>70014118.590000004</v>
      </c>
      <c r="P139" s="253">
        <v>0</v>
      </c>
      <c r="Q139" s="253">
        <v>0</v>
      </c>
      <c r="R139" s="253">
        <v>0</v>
      </c>
      <c r="S139" s="317">
        <f t="shared" si="28"/>
        <v>770014118.59000003</v>
      </c>
      <c r="T139" s="342">
        <f t="shared" si="29"/>
        <v>9.4240392134424997</v>
      </c>
      <c r="U139" s="161"/>
    </row>
    <row r="140" spans="1:22">
      <c r="A140" s="247" t="str">
        <f>+CONCATENATE(A64,"p")</f>
        <v>72p</v>
      </c>
      <c r="B140" s="631" t="str">
        <f>+VLOOKUP(LEFT($A140,LEN(A140)-1)*1,Master!$D$30:$G$226,4,FALSE)</f>
        <v>Primici od prodaje imovine</v>
      </c>
      <c r="C140" s="632"/>
      <c r="D140" s="632"/>
      <c r="E140" s="632"/>
      <c r="F140" s="632"/>
      <c r="G140" s="253">
        <v>500000</v>
      </c>
      <c r="H140" s="253">
        <v>500000</v>
      </c>
      <c r="I140" s="253">
        <v>500000</v>
      </c>
      <c r="J140" s="253">
        <v>500000</v>
      </c>
      <c r="K140" s="253">
        <v>500000</v>
      </c>
      <c r="L140" s="253">
        <v>500000</v>
      </c>
      <c r="M140" s="253">
        <v>500000</v>
      </c>
      <c r="N140" s="253">
        <v>500000</v>
      </c>
      <c r="O140" s="253">
        <v>500000</v>
      </c>
      <c r="P140" s="253">
        <v>500000</v>
      </c>
      <c r="Q140" s="253">
        <v>500000</v>
      </c>
      <c r="R140" s="253">
        <v>500000</v>
      </c>
      <c r="S140" s="317">
        <f t="shared" si="28"/>
        <v>6000000</v>
      </c>
      <c r="T140" s="342">
        <f t="shared" si="29"/>
        <v>7.3432725343004296E-2</v>
      </c>
      <c r="U140" s="161"/>
    </row>
    <row r="141" spans="1:22">
      <c r="A141" s="247" t="s">
        <v>23</v>
      </c>
      <c r="B141" s="243" t="s">
        <v>20</v>
      </c>
      <c r="C141" s="244"/>
      <c r="D141" s="244"/>
      <c r="E141" s="244"/>
      <c r="F141" s="244"/>
      <c r="G141" s="253">
        <v>81522.336514710099</v>
      </c>
      <c r="H141" s="253">
        <v>445973.11311571102</v>
      </c>
      <c r="I141" s="253">
        <v>303147.50930105901</v>
      </c>
      <c r="J141" s="253">
        <v>411671.29191968899</v>
      </c>
      <c r="K141" s="253">
        <v>953218.81017704203</v>
      </c>
      <c r="L141" s="253">
        <v>1530930.59269586</v>
      </c>
      <c r="M141" s="253">
        <v>158719.86425742201</v>
      </c>
      <c r="N141" s="253">
        <v>1527452.96512826</v>
      </c>
      <c r="O141" s="253">
        <v>216436.809710011</v>
      </c>
      <c r="P141" s="253">
        <v>263186.689759926</v>
      </c>
      <c r="Q141" s="253">
        <v>1703592.47571623</v>
      </c>
      <c r="R141" s="253">
        <v>2152051.5417040801</v>
      </c>
      <c r="S141" s="317">
        <f t="shared" si="28"/>
        <v>9747904</v>
      </c>
      <c r="T141" s="342">
        <f t="shared" si="29"/>
        <v>0.11930252618366199</v>
      </c>
      <c r="U141" s="161"/>
    </row>
    <row r="142" spans="1:22">
      <c r="A142" s="247" t="str">
        <f t="shared" ref="A142" si="39">+CONCATENATE(A66,"p")</f>
        <v>1004p</v>
      </c>
      <c r="B142" s="262" t="str">
        <f>+VLOOKUP(LEFT($A142,LEN(A142)-1)*1,Master!$D$30:$G$226,4,FALSE)</f>
        <v>Povećanje / smanjenje depozita</v>
      </c>
      <c r="C142" s="263"/>
      <c r="D142" s="263"/>
      <c r="E142" s="263"/>
      <c r="F142" s="263"/>
      <c r="G142" s="264">
        <f>-G136-SUM(G138:G141)</f>
        <v>69727001.523485303</v>
      </c>
      <c r="H142" s="264">
        <f t="shared" ref="H142:R142" si="40">-H136-SUM(H138:H141)</f>
        <v>30299125.764182799</v>
      </c>
      <c r="I142" s="264">
        <f t="shared" si="40"/>
        <v>-643881593.75007701</v>
      </c>
      <c r="J142" s="264">
        <f t="shared" si="40"/>
        <v>424707332.95849001</v>
      </c>
      <c r="K142" s="264">
        <f t="shared" si="40"/>
        <v>99810917.518458501</v>
      </c>
      <c r="L142" s="264">
        <f t="shared" si="40"/>
        <v>39626759.035546698</v>
      </c>
      <c r="M142" s="264">
        <f t="shared" si="40"/>
        <v>74692673.3942945</v>
      </c>
      <c r="N142" s="264">
        <f t="shared" si="40"/>
        <v>82464586.981675595</v>
      </c>
      <c r="O142" s="264">
        <f t="shared" si="40"/>
        <v>-86406586.256374404</v>
      </c>
      <c r="P142" s="264">
        <f t="shared" si="40"/>
        <v>42172592.0041916</v>
      </c>
      <c r="Q142" s="264">
        <f t="shared" si="40"/>
        <v>56010665.2535538</v>
      </c>
      <c r="R142" s="264">
        <f t="shared" si="40"/>
        <v>50776532.582592197</v>
      </c>
      <c r="S142" s="324">
        <f t="shared" si="28"/>
        <v>240000007.01001999</v>
      </c>
      <c r="T142" s="347">
        <f t="shared" si="29"/>
        <v>2.9373090995143198</v>
      </c>
      <c r="U142" s="161"/>
    </row>
    <row r="144" spans="1:22">
      <c r="G144" s="172"/>
    </row>
    <row r="145" spans="7:19">
      <c r="G145" s="172"/>
      <c r="H145" s="172"/>
      <c r="I145" s="172"/>
      <c r="J145" s="172"/>
      <c r="K145" s="172"/>
      <c r="L145" s="172"/>
      <c r="M145" s="172"/>
      <c r="N145" s="172"/>
      <c r="O145" s="172"/>
      <c r="P145" s="172"/>
      <c r="Q145" s="172"/>
      <c r="R145" s="172"/>
    </row>
    <row r="146" spans="7:19">
      <c r="N146" s="172"/>
    </row>
    <row r="149" spans="7:19">
      <c r="S149" s="172"/>
    </row>
    <row r="150" spans="7:19">
      <c r="S150" s="172"/>
    </row>
  </sheetData>
  <mergeCells count="117">
    <mergeCell ref="B134:F134"/>
    <mergeCell ref="B135:F135"/>
    <mergeCell ref="B136:F136"/>
    <mergeCell ref="B137:F137"/>
    <mergeCell ref="B138:F138"/>
    <mergeCell ref="B139:F139"/>
    <mergeCell ref="B140:F140"/>
    <mergeCell ref="B83:F85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41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42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>
    <pageSetUpPr fitToPage="1"/>
  </sheetPr>
  <dimension ref="A1:Y150"/>
  <sheetViews>
    <sheetView zoomScale="90" zoomScaleNormal="90" workbookViewId="0">
      <pane ySplit="1" topLeftCell="A2" activePane="bottomLeft" state="frozen"/>
      <selection pane="bottomLeft" activeCell="I36" sqref="I36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9.85546875" style="173" customWidth="1"/>
    <col min="22" max="22" width="19.85546875" style="129" customWidth="1"/>
    <col min="23" max="23" width="14.5703125" style="129" customWidth="1"/>
    <col min="24" max="16384" width="9.140625" style="129"/>
  </cols>
  <sheetData>
    <row r="1" spans="1:23" s="127" customFormat="1" ht="3" customHeight="1">
      <c r="A1" s="130"/>
      <c r="G1" s="127" t="s">
        <v>6</v>
      </c>
      <c r="O1" s="127" t="s">
        <v>7</v>
      </c>
      <c r="U1" s="354"/>
    </row>
    <row r="2" spans="1:23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3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3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3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  <c r="U5" s="354"/>
    </row>
    <row r="6" spans="1:23">
      <c r="A6" s="136"/>
      <c r="B6" s="137"/>
      <c r="C6" s="137"/>
      <c r="D6" s="137"/>
      <c r="E6" s="137"/>
      <c r="F6" s="137"/>
      <c r="G6" s="138" t="s">
        <v>36</v>
      </c>
      <c r="H6" s="138" t="s">
        <v>37</v>
      </c>
      <c r="I6" s="138" t="s">
        <v>38</v>
      </c>
      <c r="J6" s="138" t="s">
        <v>39</v>
      </c>
      <c r="K6" s="138" t="s">
        <v>40</v>
      </c>
      <c r="L6" s="138" t="s">
        <v>41</v>
      </c>
      <c r="M6" s="138" t="s">
        <v>42</v>
      </c>
      <c r="N6" s="138" t="s">
        <v>43</v>
      </c>
      <c r="O6" s="138" t="s">
        <v>44</v>
      </c>
      <c r="P6" s="138" t="s">
        <v>45</v>
      </c>
      <c r="Q6" s="138" t="s">
        <v>46</v>
      </c>
      <c r="R6" s="138" t="s">
        <v>47</v>
      </c>
      <c r="S6" s="137"/>
      <c r="T6" s="137"/>
    </row>
    <row r="7" spans="1:23" ht="15" customHeight="1">
      <c r="A7" s="136"/>
      <c r="B7" s="584" t="str">
        <f>+Master!G252</f>
        <v>Ostvarenje budžeta</v>
      </c>
      <c r="C7" s="585"/>
      <c r="D7" s="585"/>
      <c r="E7" s="585"/>
      <c r="F7" s="585"/>
      <c r="G7" s="550">
        <v>2026</v>
      </c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4"/>
      <c r="S7" s="139" t="str">
        <f>+Master!G249</f>
        <v>BDP</v>
      </c>
      <c r="T7" s="140">
        <v>8591200000</v>
      </c>
    </row>
    <row r="8" spans="1:23" ht="16.5" customHeight="1">
      <c r="A8" s="136"/>
      <c r="B8" s="586"/>
      <c r="C8" s="587"/>
      <c r="D8" s="587"/>
      <c r="E8" s="587"/>
      <c r="F8" s="588"/>
      <c r="G8" s="141" t="str">
        <f>+[1]Master!G232</f>
        <v>Januar</v>
      </c>
      <c r="H8" s="141" t="str">
        <f>+[1]Master!G233</f>
        <v>Februar</v>
      </c>
      <c r="I8" s="141" t="str">
        <f>+[1]Master!G234</f>
        <v>Mart</v>
      </c>
      <c r="J8" s="141" t="str">
        <f>+[1]Master!G235</f>
        <v>April</v>
      </c>
      <c r="K8" s="141" t="str">
        <f>+[1]Master!G236</f>
        <v>Maj</v>
      </c>
      <c r="L8" s="141" t="str">
        <f>+[1]Master!G237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0" t="str">
        <f>+Master!G247</f>
        <v>Jan - Dec</v>
      </c>
      <c r="T8" s="554"/>
    </row>
    <row r="9" spans="1:23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3">
      <c r="A10" s="145">
        <v>7</v>
      </c>
      <c r="B10" s="570" t="str">
        <f>+VLOOKUP($A10,Master!$D$30:$G$226,4,FALSE)</f>
        <v>Prihodi budžeta</v>
      </c>
      <c r="C10" s="571"/>
      <c r="D10" s="571"/>
      <c r="E10" s="571"/>
      <c r="F10" s="571"/>
      <c r="G10" s="363">
        <f>G11+G19+G24+G25+G26+G27+G28</f>
        <v>162760135.37</v>
      </c>
      <c r="H10" s="363">
        <f t="shared" ref="H10:L10" si="1">+H11+H19+SUM(H24:H28)</f>
        <v>192058185.45000005</v>
      </c>
      <c r="I10" s="363">
        <f t="shared" si="1"/>
        <v>281150925.09999996</v>
      </c>
      <c r="J10" s="363">
        <f t="shared" si="1"/>
        <v>336306194.74999994</v>
      </c>
      <c r="K10" s="363">
        <f t="shared" si="1"/>
        <v>215652770.23000002</v>
      </c>
      <c r="L10" s="363">
        <f t="shared" si="1"/>
        <v>249583581.54000005</v>
      </c>
      <c r="M10" s="363">
        <f t="shared" ref="M10:R10" si="2">+M11+M19+SUM(M24:M28)</f>
        <v>279481221.12</v>
      </c>
      <c r="N10" s="363">
        <f t="shared" si="2"/>
        <v>288634329.20999998</v>
      </c>
      <c r="O10" s="363">
        <f t="shared" si="2"/>
        <v>312838958.61000001</v>
      </c>
      <c r="P10" s="363">
        <f t="shared" si="2"/>
        <v>0</v>
      </c>
      <c r="Q10" s="363">
        <f t="shared" si="2"/>
        <v>0</v>
      </c>
      <c r="R10" s="363">
        <f t="shared" si="2"/>
        <v>0</v>
      </c>
      <c r="S10" s="364">
        <f>+SUM(G10:R10)</f>
        <v>2318466301.3800001</v>
      </c>
      <c r="T10" s="365">
        <f>+S10/$T$7*100</f>
        <v>26.98652459935748</v>
      </c>
    </row>
    <row r="11" spans="1:23">
      <c r="A11" s="145">
        <v>711</v>
      </c>
      <c r="B11" s="560" t="str">
        <f>+VLOOKUP($A11,Master!$D$30:$G$226,4,FALSE)</f>
        <v>Porezi</v>
      </c>
      <c r="C11" s="561"/>
      <c r="D11" s="561"/>
      <c r="E11" s="561"/>
      <c r="F11" s="561"/>
      <c r="G11" s="366">
        <f t="shared" ref="G11:L11" si="3">+SUM(G12:G18)</f>
        <v>139087177.16999999</v>
      </c>
      <c r="H11" s="366">
        <f t="shared" si="3"/>
        <v>143348120.04000002</v>
      </c>
      <c r="I11" s="366">
        <f t="shared" si="3"/>
        <v>229093563</v>
      </c>
      <c r="J11" s="366">
        <f t="shared" si="3"/>
        <v>254016557</v>
      </c>
      <c r="K11" s="366">
        <f t="shared" si="3"/>
        <v>171910737.13999999</v>
      </c>
      <c r="L11" s="366">
        <f t="shared" si="3"/>
        <v>196939995.22000003</v>
      </c>
      <c r="M11" s="366">
        <f t="shared" ref="M11:R11" si="4">+SUM(M12:M18)</f>
        <v>213919452.06</v>
      </c>
      <c r="N11" s="366">
        <f t="shared" si="4"/>
        <v>233645420.21999994</v>
      </c>
      <c r="O11" s="366">
        <f t="shared" si="4"/>
        <v>233285504.19000003</v>
      </c>
      <c r="P11" s="366">
        <f t="shared" si="4"/>
        <v>0</v>
      </c>
      <c r="Q11" s="366">
        <f t="shared" si="4"/>
        <v>0</v>
      </c>
      <c r="R11" s="367">
        <f t="shared" si="4"/>
        <v>0</v>
      </c>
      <c r="S11" s="368">
        <f>+SUM(G11:R11)</f>
        <v>1815246526.0400002</v>
      </c>
      <c r="T11" s="369">
        <f t="shared" ref="T11:T66" si="5">+S11/$T$7*100</f>
        <v>21.129138258217715</v>
      </c>
    </row>
    <row r="12" spans="1:23">
      <c r="A12" s="145">
        <v>7111</v>
      </c>
      <c r="B12" s="562" t="str">
        <f>+VLOOKUP($A12,Master!$D$30:$G$226,4,FALSE)</f>
        <v>Porez na dohodak fizičkih lica</v>
      </c>
      <c r="C12" s="563"/>
      <c r="D12" s="563"/>
      <c r="E12" s="563"/>
      <c r="F12" s="563"/>
      <c r="G12" s="153">
        <v>3145286.2300000028</v>
      </c>
      <c r="H12" s="153">
        <v>8342027.2900000019</v>
      </c>
      <c r="I12" s="153">
        <v>8405638.6799999997</v>
      </c>
      <c r="J12" s="153">
        <v>11197954.540000003</v>
      </c>
      <c r="K12" s="153">
        <v>9633347.9599999972</v>
      </c>
      <c r="L12" s="153">
        <v>17118865.849999994</v>
      </c>
      <c r="M12" s="153">
        <v>11080596.440000001</v>
      </c>
      <c r="N12" s="153">
        <v>12344781.580000002</v>
      </c>
      <c r="O12" s="153">
        <v>13634403.330000011</v>
      </c>
      <c r="P12" s="153"/>
      <c r="Q12" s="153"/>
      <c r="R12" s="153"/>
      <c r="S12" s="270">
        <f>+SUM(G12:R12)</f>
        <v>94902901.900000006</v>
      </c>
      <c r="T12" s="329">
        <f t="shared" si="5"/>
        <v>1.1046524571654717</v>
      </c>
    </row>
    <row r="13" spans="1:23">
      <c r="A13" s="145">
        <v>7112</v>
      </c>
      <c r="B13" s="562" t="str">
        <f>+VLOOKUP($A13,Master!$D$30:$G$226,4,FALSE)</f>
        <v>Porez na dobit pravnih lica</v>
      </c>
      <c r="C13" s="563"/>
      <c r="D13" s="563"/>
      <c r="E13" s="563"/>
      <c r="F13" s="563"/>
      <c r="G13" s="153">
        <v>2074964.8399999999</v>
      </c>
      <c r="H13" s="153">
        <v>4713157.2399999993</v>
      </c>
      <c r="I13" s="153">
        <v>80663211.330000028</v>
      </c>
      <c r="J13" s="153">
        <v>101480142.86999999</v>
      </c>
      <c r="K13" s="153">
        <v>18886832.079999998</v>
      </c>
      <c r="L13" s="153">
        <v>7547754.1800000016</v>
      </c>
      <c r="M13" s="153">
        <v>7968484.9199999971</v>
      </c>
      <c r="N13" s="153">
        <v>4408841.2700000005</v>
      </c>
      <c r="O13" s="153">
        <v>3062872.7799999989</v>
      </c>
      <c r="P13" s="153"/>
      <c r="Q13" s="153"/>
      <c r="R13" s="153"/>
      <c r="S13" s="270">
        <f t="shared" ref="S13:S65" si="6">+SUM(G13:R13)</f>
        <v>230806261.51000002</v>
      </c>
      <c r="T13" s="329">
        <f t="shared" si="5"/>
        <v>2.6865427589859396</v>
      </c>
      <c r="V13" s="161"/>
      <c r="W13" s="358"/>
    </row>
    <row r="14" spans="1:23">
      <c r="A14" s="145">
        <v>7113</v>
      </c>
      <c r="B14" s="562" t="str">
        <f>+VLOOKUP($A14,Master!$D$30:$G$226,4,FALSE)</f>
        <v>Porez na promet nepokretnosti</v>
      </c>
      <c r="C14" s="563"/>
      <c r="D14" s="563"/>
      <c r="E14" s="563"/>
      <c r="F14" s="563"/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3">
        <v>0</v>
      </c>
      <c r="M14" s="153">
        <v>0</v>
      </c>
      <c r="N14" s="153">
        <v>0</v>
      </c>
      <c r="O14" s="153">
        <v>1</v>
      </c>
      <c r="P14" s="153"/>
      <c r="Q14" s="153"/>
      <c r="R14" s="153"/>
      <c r="S14" s="270">
        <f t="shared" si="6"/>
        <v>1</v>
      </c>
      <c r="T14" s="329">
        <f t="shared" si="5"/>
        <v>1.1639817487661794E-8</v>
      </c>
      <c r="V14" s="161"/>
      <c r="W14" s="358"/>
    </row>
    <row r="15" spans="1:23">
      <c r="A15" s="145">
        <v>7114</v>
      </c>
      <c r="B15" s="562" t="str">
        <f>+VLOOKUP($A15,Master!$D$30:$G$226,4,FALSE)</f>
        <v>Porez na dodatu vrijednost</v>
      </c>
      <c r="C15" s="563"/>
      <c r="D15" s="563"/>
      <c r="E15" s="563"/>
      <c r="F15" s="563"/>
      <c r="G15" s="153">
        <v>103563259.62999998</v>
      </c>
      <c r="H15" s="153">
        <v>97003322.320000023</v>
      </c>
      <c r="I15" s="153">
        <v>101930830.29000001</v>
      </c>
      <c r="J15" s="153">
        <v>105556931.34999999</v>
      </c>
      <c r="K15" s="153">
        <v>103938067.02</v>
      </c>
      <c r="L15" s="153">
        <v>126635380.59000002</v>
      </c>
      <c r="M15" s="153">
        <v>143544541.59999999</v>
      </c>
      <c r="N15" s="153">
        <v>152252755.79999998</v>
      </c>
      <c r="O15" s="153">
        <v>170616870.90000001</v>
      </c>
      <c r="P15" s="153"/>
      <c r="Q15" s="153"/>
      <c r="R15" s="153"/>
      <c r="S15" s="270">
        <f t="shared" si="6"/>
        <v>1105041959.5</v>
      </c>
      <c r="T15" s="329">
        <f t="shared" si="5"/>
        <v>12.862486724788155</v>
      </c>
      <c r="V15" s="161"/>
      <c r="W15" s="358"/>
    </row>
    <row r="16" spans="1:23">
      <c r="A16" s="145">
        <v>7115</v>
      </c>
      <c r="B16" s="562" t="str">
        <f>+VLOOKUP($A16,Master!$D$30:$G$226,4,FALSE)</f>
        <v>Akcize</v>
      </c>
      <c r="C16" s="563"/>
      <c r="D16" s="563"/>
      <c r="E16" s="563"/>
      <c r="F16" s="563"/>
      <c r="G16" s="153">
        <v>25854602.450000003</v>
      </c>
      <c r="H16" s="153">
        <v>27186338.370000001</v>
      </c>
      <c r="I16" s="153">
        <v>30174874.149999976</v>
      </c>
      <c r="J16" s="153">
        <v>28123004.540000007</v>
      </c>
      <c r="K16" s="153">
        <v>32034430.119999986</v>
      </c>
      <c r="L16" s="153">
        <v>37329927.850000009</v>
      </c>
      <c r="M16" s="153">
        <v>42346574.410000026</v>
      </c>
      <c r="N16" s="153">
        <v>56573900.099999972</v>
      </c>
      <c r="O16" s="153">
        <v>37614233.800000004</v>
      </c>
      <c r="P16" s="153"/>
      <c r="Q16" s="153"/>
      <c r="R16" s="153"/>
      <c r="S16" s="270">
        <f t="shared" si="6"/>
        <v>317237885.78999996</v>
      </c>
      <c r="T16" s="329">
        <f t="shared" si="5"/>
        <v>3.6925910907672965</v>
      </c>
      <c r="V16" s="161"/>
      <c r="W16" s="358"/>
    </row>
    <row r="17" spans="1:23">
      <c r="A17" s="145">
        <v>7116</v>
      </c>
      <c r="B17" s="562" t="str">
        <f>+VLOOKUP($A17,Master!$D$30:$G$226,4,FALSE)</f>
        <v>Porez na međunarodnu trgovinu i transakcije</v>
      </c>
      <c r="C17" s="563"/>
      <c r="D17" s="563"/>
      <c r="E17" s="563"/>
      <c r="F17" s="563"/>
      <c r="G17" s="153">
        <v>3336289.84</v>
      </c>
      <c r="H17" s="153">
        <v>4897181.9400000032</v>
      </c>
      <c r="I17" s="153">
        <v>6598848.780000004</v>
      </c>
      <c r="J17" s="153">
        <v>6218969.6700000009</v>
      </c>
      <c r="K17" s="153">
        <v>5945019.5</v>
      </c>
      <c r="L17" s="153">
        <v>6790434.1799999969</v>
      </c>
      <c r="M17" s="153">
        <v>7449186.4699999979</v>
      </c>
      <c r="N17" s="153">
        <v>6405577.3399999999</v>
      </c>
      <c r="O17" s="153">
        <v>6669687.4300000006</v>
      </c>
      <c r="P17" s="153"/>
      <c r="Q17" s="153"/>
      <c r="R17" s="153"/>
      <c r="S17" s="270">
        <f t="shared" si="6"/>
        <v>54311195.149999999</v>
      </c>
      <c r="T17" s="329">
        <f t="shared" si="5"/>
        <v>0.63217239908278233</v>
      </c>
      <c r="V17" s="161"/>
      <c r="W17" s="358"/>
    </row>
    <row r="18" spans="1:23">
      <c r="A18" s="145">
        <v>7118</v>
      </c>
      <c r="B18" s="562" t="str">
        <f>+VLOOKUP($A18,Master!$D$30:$G$226,4,FALSE)</f>
        <v>Ostali državni porezi</v>
      </c>
      <c r="C18" s="563"/>
      <c r="D18" s="563"/>
      <c r="E18" s="563"/>
      <c r="F18" s="563"/>
      <c r="G18" s="153">
        <v>1112774.18</v>
      </c>
      <c r="H18" s="153">
        <v>1206092.8799999999</v>
      </c>
      <c r="I18" s="153">
        <v>1320159.7699999996</v>
      </c>
      <c r="J18" s="153">
        <v>1439554.0299999996</v>
      </c>
      <c r="K18" s="153">
        <v>1473040.46</v>
      </c>
      <c r="L18" s="153">
        <v>1517632.5699999994</v>
      </c>
      <c r="M18" s="153">
        <v>1530068.22</v>
      </c>
      <c r="N18" s="153">
        <v>1659564.1300000004</v>
      </c>
      <c r="O18" s="153">
        <v>1687434.9499999995</v>
      </c>
      <c r="P18" s="153"/>
      <c r="Q18" s="153"/>
      <c r="R18" s="153"/>
      <c r="S18" s="270">
        <f t="shared" si="6"/>
        <v>12946321.189999998</v>
      </c>
      <c r="T18" s="329">
        <f t="shared" si="5"/>
        <v>0.15069281578824839</v>
      </c>
      <c r="V18" s="161"/>
      <c r="W18" s="358"/>
    </row>
    <row r="19" spans="1:23">
      <c r="A19" s="145">
        <v>712</v>
      </c>
      <c r="B19" s="566" t="str">
        <f>+VLOOKUP($A19,Master!$D$30:$G$226,4,FALSE)</f>
        <v>Doprinosi</v>
      </c>
      <c r="C19" s="567"/>
      <c r="D19" s="567"/>
      <c r="E19" s="567"/>
      <c r="F19" s="567"/>
      <c r="G19" s="370">
        <f t="shared" ref="G19:R19" si="7">SUM(G20:G23)</f>
        <v>15040242.179999998</v>
      </c>
      <c r="H19" s="370">
        <f t="shared" si="7"/>
        <v>36321915.300000004</v>
      </c>
      <c r="I19" s="370">
        <f t="shared" si="7"/>
        <v>40463891.400000006</v>
      </c>
      <c r="J19" s="370">
        <f t="shared" si="7"/>
        <v>53793525.349999964</v>
      </c>
      <c r="K19" s="370">
        <f t="shared" si="7"/>
        <v>32465905.480000023</v>
      </c>
      <c r="L19" s="370">
        <f t="shared" si="7"/>
        <v>33738969.290000007</v>
      </c>
      <c r="M19" s="370">
        <f t="shared" si="7"/>
        <v>38627991.629999995</v>
      </c>
      <c r="N19" s="370">
        <f t="shared" si="7"/>
        <v>37751218.00000003</v>
      </c>
      <c r="O19" s="370">
        <f t="shared" si="7"/>
        <v>34223723.900000013</v>
      </c>
      <c r="P19" s="370">
        <f t="shared" si="7"/>
        <v>0</v>
      </c>
      <c r="Q19" s="370">
        <f t="shared" si="7"/>
        <v>0</v>
      </c>
      <c r="R19" s="370">
        <f t="shared" si="7"/>
        <v>0</v>
      </c>
      <c r="S19" s="371">
        <f t="shared" si="6"/>
        <v>322427382.53000003</v>
      </c>
      <c r="T19" s="372">
        <f t="shared" si="5"/>
        <v>3.7529958856737129</v>
      </c>
      <c r="V19" s="161"/>
      <c r="W19" s="358"/>
    </row>
    <row r="20" spans="1:23">
      <c r="A20" s="145">
        <v>7121</v>
      </c>
      <c r="B20" s="562" t="str">
        <f>+VLOOKUP($A20,Master!$D$30:$G$226,4,FALSE)</f>
        <v>Doprinosi za penzijsko i invalidsko osiguranje</v>
      </c>
      <c r="C20" s="563"/>
      <c r="D20" s="563"/>
      <c r="E20" s="563"/>
      <c r="F20" s="563"/>
      <c r="G20" s="153">
        <v>13458517.189999998</v>
      </c>
      <c r="H20" s="153">
        <v>32046463.960000005</v>
      </c>
      <c r="I20" s="153">
        <v>35392781.870000005</v>
      </c>
      <c r="J20" s="153">
        <v>47179254.269999966</v>
      </c>
      <c r="K20" s="153">
        <v>27455513.19000002</v>
      </c>
      <c r="L20" s="153">
        <v>27252354.990000002</v>
      </c>
      <c r="M20" s="153">
        <v>31588394.93</v>
      </c>
      <c r="N20" s="153">
        <v>30801585.730000027</v>
      </c>
      <c r="O20" s="153">
        <v>27761594.980000015</v>
      </c>
      <c r="P20" s="153"/>
      <c r="Q20" s="153"/>
      <c r="R20" s="153"/>
      <c r="S20" s="270">
        <f t="shared" si="6"/>
        <v>272936461.11000001</v>
      </c>
      <c r="T20" s="329">
        <f t="shared" si="5"/>
        <v>3.1769305930487013</v>
      </c>
      <c r="V20" s="161"/>
      <c r="W20" s="358"/>
    </row>
    <row r="21" spans="1:23">
      <c r="A21" s="145">
        <v>7122</v>
      </c>
      <c r="B21" s="562" t="str">
        <f>+VLOOKUP($A21,Master!$D$30:$G$226,4,FALSE)</f>
        <v>Doprinosi za zdravstveno osiguranje</v>
      </c>
      <c r="C21" s="563"/>
      <c r="D21" s="563"/>
      <c r="E21" s="563"/>
      <c r="F21" s="563"/>
      <c r="G21" s="153">
        <v>123789.09000000004</v>
      </c>
      <c r="H21" s="153">
        <v>240407.16000000003</v>
      </c>
      <c r="I21" s="153">
        <v>291709.41000000003</v>
      </c>
      <c r="J21" s="153">
        <v>930383.91999999969</v>
      </c>
      <c r="K21" s="153">
        <v>116665.84999999999</v>
      </c>
      <c r="L21" s="153">
        <v>656635.48000000033</v>
      </c>
      <c r="M21" s="153">
        <v>602519</v>
      </c>
      <c r="N21" s="153">
        <v>712140.56999999972</v>
      </c>
      <c r="O21" s="153">
        <v>284499.55999999994</v>
      </c>
      <c r="P21" s="153"/>
      <c r="Q21" s="153"/>
      <c r="R21" s="153"/>
      <c r="S21" s="270">
        <f t="shared" si="6"/>
        <v>3958750.04</v>
      </c>
      <c r="T21" s="329">
        <f t="shared" si="5"/>
        <v>4.6079127944873823E-2</v>
      </c>
      <c r="V21" s="161"/>
      <c r="W21" s="358"/>
    </row>
    <row r="22" spans="1:23">
      <c r="A22" s="145">
        <v>7123</v>
      </c>
      <c r="B22" s="562" t="str">
        <f>+VLOOKUP($A22,Master!$D$30:$G$226,4,FALSE)</f>
        <v>Doprinosi za osiguranje od nezaposlenosti</v>
      </c>
      <c r="C22" s="563"/>
      <c r="D22" s="563"/>
      <c r="E22" s="563"/>
      <c r="F22" s="563"/>
      <c r="G22" s="153">
        <v>861006.7300000001</v>
      </c>
      <c r="H22" s="153">
        <v>2298845.2200000002</v>
      </c>
      <c r="I22" s="153">
        <v>2779991.6300000022</v>
      </c>
      <c r="J22" s="153">
        <v>3276767.8700000006</v>
      </c>
      <c r="K22" s="153">
        <v>2865159.9800000014</v>
      </c>
      <c r="L22" s="153">
        <v>3430277.6700000009</v>
      </c>
      <c r="M22" s="153">
        <v>3673277.23</v>
      </c>
      <c r="N22" s="153">
        <v>3557565.660000002</v>
      </c>
      <c r="O22" s="153">
        <v>3584019.4399999995</v>
      </c>
      <c r="P22" s="153"/>
      <c r="Q22" s="153"/>
      <c r="R22" s="153"/>
      <c r="S22" s="270">
        <f t="shared" si="6"/>
        <v>26326911.430000007</v>
      </c>
      <c r="T22" s="329">
        <f t="shared" si="5"/>
        <v>0.30644044405903725</v>
      </c>
    </row>
    <row r="23" spans="1:23">
      <c r="A23" s="145">
        <v>7124</v>
      </c>
      <c r="B23" s="562" t="str">
        <f>+VLOOKUP($A23,Master!$D$30:$G$226,4,FALSE)</f>
        <v>Ostali doprinosi</v>
      </c>
      <c r="C23" s="563"/>
      <c r="D23" s="563"/>
      <c r="E23" s="563"/>
      <c r="F23" s="563"/>
      <c r="G23" s="153">
        <v>596929.17000000004</v>
      </c>
      <c r="H23" s="153">
        <v>1736198.9599999995</v>
      </c>
      <c r="I23" s="153">
        <v>1999408.4900000002</v>
      </c>
      <c r="J23" s="153">
        <v>2407119.2899999991</v>
      </c>
      <c r="K23" s="153">
        <v>2028566.4600000004</v>
      </c>
      <c r="L23" s="153">
        <v>2399701.1500000008</v>
      </c>
      <c r="M23" s="153">
        <v>2763800.4699999983</v>
      </c>
      <c r="N23" s="153">
        <v>2679926.04</v>
      </c>
      <c r="O23" s="153">
        <v>2593609.9199999985</v>
      </c>
      <c r="P23" s="153"/>
      <c r="Q23" s="153"/>
      <c r="R23" s="153"/>
      <c r="S23" s="270">
        <f t="shared" si="6"/>
        <v>19205259.949999996</v>
      </c>
      <c r="T23" s="329">
        <f t="shared" si="5"/>
        <v>0.22354572062110059</v>
      </c>
      <c r="V23" s="359"/>
      <c r="W23" s="358"/>
    </row>
    <row r="24" spans="1:23">
      <c r="A24" s="145">
        <v>713</v>
      </c>
      <c r="B24" s="566" t="str">
        <f>+VLOOKUP($A24,Master!$D$30:$G$226,4,FALSE)</f>
        <v>Takse</v>
      </c>
      <c r="C24" s="567"/>
      <c r="D24" s="567"/>
      <c r="E24" s="567"/>
      <c r="F24" s="567"/>
      <c r="G24" s="159">
        <v>760921.56</v>
      </c>
      <c r="H24" s="159">
        <v>1050688.3199999996</v>
      </c>
      <c r="I24" s="159">
        <v>1223487.78</v>
      </c>
      <c r="J24" s="159">
        <v>1712790.4799999993</v>
      </c>
      <c r="K24" s="159">
        <v>1341051.3599999996</v>
      </c>
      <c r="L24" s="373">
        <v>2018749.3999999997</v>
      </c>
      <c r="M24" s="373">
        <v>2036929.0099999998</v>
      </c>
      <c r="N24" s="373">
        <v>1460051.22</v>
      </c>
      <c r="O24" s="373">
        <v>1813817.2399999998</v>
      </c>
      <c r="P24" s="373"/>
      <c r="Q24" s="373"/>
      <c r="R24" s="373"/>
      <c r="S24" s="371">
        <f t="shared" si="6"/>
        <v>13418486.369999997</v>
      </c>
      <c r="T24" s="372">
        <f t="shared" si="5"/>
        <v>0.15618873230747737</v>
      </c>
    </row>
    <row r="25" spans="1:23">
      <c r="A25" s="145">
        <v>714</v>
      </c>
      <c r="B25" s="566" t="str">
        <f>+VLOOKUP($A25,Master!$D$30:$G$226,4,FALSE)</f>
        <v>Naknade</v>
      </c>
      <c r="C25" s="567"/>
      <c r="D25" s="567"/>
      <c r="E25" s="567"/>
      <c r="F25" s="567"/>
      <c r="G25" s="159">
        <v>5754526.169999999</v>
      </c>
      <c r="H25" s="159">
        <v>4998603.25</v>
      </c>
      <c r="I25" s="159">
        <v>5367759.7499999981</v>
      </c>
      <c r="J25" s="159">
        <v>7807101.879999999</v>
      </c>
      <c r="K25" s="159">
        <v>6158953.3500000015</v>
      </c>
      <c r="L25" s="373">
        <v>6993075.6500000004</v>
      </c>
      <c r="M25" s="373">
        <v>8601176.1899999995</v>
      </c>
      <c r="N25" s="373">
        <v>6514002.3900000006</v>
      </c>
      <c r="O25" s="373">
        <v>7393671.6500000004</v>
      </c>
      <c r="P25" s="373"/>
      <c r="Q25" s="373"/>
      <c r="R25" s="373"/>
      <c r="S25" s="371">
        <f t="shared" si="6"/>
        <v>59588870.279999994</v>
      </c>
      <c r="T25" s="372">
        <f t="shared" si="5"/>
        <v>0.69360357435515407</v>
      </c>
    </row>
    <row r="26" spans="1:23">
      <c r="A26" s="145">
        <v>715</v>
      </c>
      <c r="B26" s="566" t="str">
        <f>+VLOOKUP($A26,Master!$D$30:$G$226,4,FALSE)</f>
        <v>Ostali prihodi</v>
      </c>
      <c r="C26" s="567"/>
      <c r="D26" s="567"/>
      <c r="E26" s="567"/>
      <c r="F26" s="567"/>
      <c r="G26" s="159">
        <v>1800214.5199999961</v>
      </c>
      <c r="H26" s="159">
        <v>3845737.64</v>
      </c>
      <c r="I26" s="159">
        <v>4139819.4800000014</v>
      </c>
      <c r="J26" s="159">
        <v>12176580.35</v>
      </c>
      <c r="K26" s="159">
        <v>2602971.6000000006</v>
      </c>
      <c r="L26" s="373">
        <v>4301673.1399999987</v>
      </c>
      <c r="M26" s="373">
        <v>7639893.8899999987</v>
      </c>
      <c r="N26" s="373">
        <v>6193902.1700000027</v>
      </c>
      <c r="O26" s="373">
        <v>4160192.8499999992</v>
      </c>
      <c r="P26" s="373"/>
      <c r="Q26" s="373"/>
      <c r="R26" s="373"/>
      <c r="S26" s="371">
        <f t="shared" si="6"/>
        <v>46860985.640000001</v>
      </c>
      <c r="T26" s="372">
        <f t="shared" si="5"/>
        <v>0.54545332014154013</v>
      </c>
    </row>
    <row r="27" spans="1:23">
      <c r="A27" s="145">
        <v>73</v>
      </c>
      <c r="B27" s="566" t="str">
        <f>+VLOOKUP($A27,Master!$D$30:$G$226,4,FALSE)</f>
        <v>Primici od otplate kredita i sredstva prenesena iz prethodne godine</v>
      </c>
      <c r="C27" s="567"/>
      <c r="D27" s="567"/>
      <c r="E27" s="567"/>
      <c r="F27" s="567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373">
        <v>0</v>
      </c>
      <c r="M27" s="373">
        <v>0</v>
      </c>
      <c r="N27" s="373">
        <v>0</v>
      </c>
      <c r="O27" s="373">
        <v>0</v>
      </c>
      <c r="P27" s="373"/>
      <c r="Q27" s="373"/>
      <c r="R27" s="373"/>
      <c r="S27" s="371">
        <f t="shared" si="6"/>
        <v>0</v>
      </c>
      <c r="T27" s="372">
        <f t="shared" si="5"/>
        <v>0</v>
      </c>
    </row>
    <row r="28" spans="1:23">
      <c r="A28" s="145">
        <v>74</v>
      </c>
      <c r="B28" s="566" t="str">
        <f>+VLOOKUP($A28,Master!$D$30:$G$226,4,FALSE)</f>
        <v>Donacije i transferi</v>
      </c>
      <c r="C28" s="567"/>
      <c r="D28" s="567"/>
      <c r="E28" s="567"/>
      <c r="F28" s="567"/>
      <c r="G28" s="159">
        <v>317053.76999999996</v>
      </c>
      <c r="H28" s="159">
        <v>2493120.9000000004</v>
      </c>
      <c r="I28" s="159">
        <v>862403.69</v>
      </c>
      <c r="J28" s="159">
        <v>6799639.6900000004</v>
      </c>
      <c r="K28" s="159">
        <v>1173151.2999999998</v>
      </c>
      <c r="L28" s="373">
        <v>5591118.8399999999</v>
      </c>
      <c r="M28" s="373">
        <v>8655778.3400000017</v>
      </c>
      <c r="N28" s="373">
        <v>3069735.2099999995</v>
      </c>
      <c r="O28" s="373">
        <v>31962048.780000001</v>
      </c>
      <c r="P28" s="373"/>
      <c r="Q28" s="373"/>
      <c r="R28" s="373"/>
      <c r="S28" s="371">
        <f t="shared" si="6"/>
        <v>60924050.520000003</v>
      </c>
      <c r="T28" s="374">
        <f t="shared" si="5"/>
        <v>0.70914482866188655</v>
      </c>
    </row>
    <row r="29" spans="1:23">
      <c r="A29" s="145">
        <v>4</v>
      </c>
      <c r="B29" s="570" t="str">
        <f>+VLOOKUP($A29,Master!$D$30:$G$226,4,FALSE)</f>
        <v>Izdaci budžeta</v>
      </c>
      <c r="C29" s="571"/>
      <c r="D29" s="571"/>
      <c r="E29" s="571"/>
      <c r="F29" s="571"/>
      <c r="G29" s="146">
        <f>+G30+G40+G46+SUM(G47:G51)</f>
        <v>195774164.72999999</v>
      </c>
      <c r="H29" s="146">
        <f t="shared" ref="H29:L29" si="8">+H30+H40+H46+SUM(H47:H51)</f>
        <v>240644811.78999999</v>
      </c>
      <c r="I29" s="146">
        <f t="shared" si="8"/>
        <v>322976473.39000005</v>
      </c>
      <c r="J29" s="146">
        <f t="shared" si="8"/>
        <v>238099875.16000003</v>
      </c>
      <c r="K29" s="146">
        <f t="shared" si="8"/>
        <v>286416429.04000002</v>
      </c>
      <c r="L29" s="146">
        <f t="shared" si="8"/>
        <v>267635953.19000006</v>
      </c>
      <c r="M29" s="146">
        <f t="shared" ref="M29:R29" si="9">+M30+M40+M46+SUM(M47:M51)</f>
        <v>309210756.54000002</v>
      </c>
      <c r="N29" s="146">
        <f t="shared" si="9"/>
        <v>291108246.83999997</v>
      </c>
      <c r="O29" s="146">
        <f t="shared" si="9"/>
        <v>290808897.38999999</v>
      </c>
      <c r="P29" s="146">
        <f t="shared" si="9"/>
        <v>0</v>
      </c>
      <c r="Q29" s="146">
        <f t="shared" si="9"/>
        <v>0</v>
      </c>
      <c r="R29" s="146">
        <f t="shared" si="9"/>
        <v>0</v>
      </c>
      <c r="S29" s="375">
        <f t="shared" si="6"/>
        <v>2442675608.0700002</v>
      </c>
      <c r="T29" s="376">
        <f t="shared" si="5"/>
        <v>28.432298259498097</v>
      </c>
    </row>
    <row r="30" spans="1:23">
      <c r="A30" s="145">
        <v>41</v>
      </c>
      <c r="B30" s="574" t="str">
        <f>+VLOOKUP($A30,Master!$D$30:$G$226,4,FALSE)</f>
        <v>Tekući izdaci</v>
      </c>
      <c r="C30" s="575"/>
      <c r="D30" s="575"/>
      <c r="E30" s="575"/>
      <c r="F30" s="575"/>
      <c r="G30" s="168">
        <f t="shared" ref="G30" si="10">+SUM(G31:G39)</f>
        <v>70665150.38000001</v>
      </c>
      <c r="H30" s="168">
        <f t="shared" ref="H30:L30" si="11">+SUM(H31:H39)</f>
        <v>88824918.939999998</v>
      </c>
      <c r="I30" s="168">
        <f t="shared" si="11"/>
        <v>151039533.07000002</v>
      </c>
      <c r="J30" s="168">
        <f t="shared" si="11"/>
        <v>103612293.52000003</v>
      </c>
      <c r="K30" s="168">
        <f t="shared" si="11"/>
        <v>107563357.61</v>
      </c>
      <c r="L30" s="168">
        <f t="shared" si="11"/>
        <v>101480299.06000002</v>
      </c>
      <c r="M30" s="168">
        <f t="shared" ref="M30:R30" si="12">+SUM(M31:M39)</f>
        <v>97766403.520000026</v>
      </c>
      <c r="N30" s="168">
        <f t="shared" si="12"/>
        <v>93158824.980000034</v>
      </c>
      <c r="O30" s="168">
        <f t="shared" si="12"/>
        <v>113054765.18999998</v>
      </c>
      <c r="P30" s="168">
        <f t="shared" si="12"/>
        <v>0</v>
      </c>
      <c r="Q30" s="168">
        <f t="shared" si="12"/>
        <v>0</v>
      </c>
      <c r="R30" s="169">
        <f t="shared" si="12"/>
        <v>0</v>
      </c>
      <c r="S30" s="377">
        <f t="shared" si="6"/>
        <v>927165546.26999998</v>
      </c>
      <c r="T30" s="369">
        <f t="shared" si="5"/>
        <v>10.792037739431045</v>
      </c>
      <c r="U30" s="355"/>
    </row>
    <row r="31" spans="1:23">
      <c r="A31" s="145">
        <v>411</v>
      </c>
      <c r="B31" s="562" t="str">
        <f>+VLOOKUP($A31,Master!$D$30:$G$226,4,FALSE)</f>
        <v>Bruto zarade i doprinosi na teret poslodavca</v>
      </c>
      <c r="C31" s="563"/>
      <c r="D31" s="563"/>
      <c r="E31" s="563"/>
      <c r="F31" s="563"/>
      <c r="G31" s="153">
        <v>58981304.890000015</v>
      </c>
      <c r="H31" s="153">
        <v>58917306.529999986</v>
      </c>
      <c r="I31" s="153">
        <v>59330909.120000042</v>
      </c>
      <c r="J31" s="153">
        <v>59077811.970000036</v>
      </c>
      <c r="K31" s="153">
        <v>60283994.890000008</v>
      </c>
      <c r="L31" s="153">
        <v>60705954.12000002</v>
      </c>
      <c r="M31" s="153">
        <v>58744958.440000013</v>
      </c>
      <c r="N31" s="153">
        <v>58655945.050000034</v>
      </c>
      <c r="O31" s="153">
        <v>59588704.589999989</v>
      </c>
      <c r="P31" s="153"/>
      <c r="Q31" s="153"/>
      <c r="R31" s="153"/>
      <c r="S31" s="270">
        <f t="shared" si="6"/>
        <v>534286889.60000008</v>
      </c>
      <c r="T31" s="329">
        <f t="shared" si="5"/>
        <v>6.2190018809945071</v>
      </c>
      <c r="U31" s="355"/>
    </row>
    <row r="32" spans="1:23">
      <c r="A32" s="145">
        <v>412</v>
      </c>
      <c r="B32" s="562" t="str">
        <f>+VLOOKUP($A32,Master!$D$30:$G$226,4,FALSE)</f>
        <v>Ostala lična primanja</v>
      </c>
      <c r="C32" s="563"/>
      <c r="D32" s="563"/>
      <c r="E32" s="563"/>
      <c r="F32" s="563"/>
      <c r="G32" s="153">
        <v>481727.61999999994</v>
      </c>
      <c r="H32" s="153">
        <v>2450317.4299999997</v>
      </c>
      <c r="I32" s="153">
        <v>3803748.9</v>
      </c>
      <c r="J32" s="153">
        <v>3156380.339999998</v>
      </c>
      <c r="K32" s="153">
        <v>2774031.7399999984</v>
      </c>
      <c r="L32" s="153">
        <v>2867422.0399999991</v>
      </c>
      <c r="M32" s="153">
        <v>3013193.3100000005</v>
      </c>
      <c r="N32" s="153">
        <v>2340032.6699999995</v>
      </c>
      <c r="O32" s="153">
        <v>2825680.8599999989</v>
      </c>
      <c r="P32" s="153"/>
      <c r="Q32" s="153"/>
      <c r="R32" s="153"/>
      <c r="S32" s="270">
        <f t="shared" si="6"/>
        <v>23712534.909999993</v>
      </c>
      <c r="T32" s="329">
        <f t="shared" si="5"/>
        <v>0.2760095785222087</v>
      </c>
      <c r="U32" s="355"/>
    </row>
    <row r="33" spans="1:23">
      <c r="A33" s="145">
        <v>413</v>
      </c>
      <c r="B33" s="562" t="str">
        <f>+VLOOKUP($A33,Master!$D$30:$G$226,4,FALSE)</f>
        <v>Rashodi za materijal</v>
      </c>
      <c r="C33" s="563"/>
      <c r="D33" s="563"/>
      <c r="E33" s="563"/>
      <c r="F33" s="563"/>
      <c r="G33" s="153">
        <v>169033.15</v>
      </c>
      <c r="H33" s="153">
        <v>3853934.3400000003</v>
      </c>
      <c r="I33" s="153">
        <v>3565591.7199999993</v>
      </c>
      <c r="J33" s="153">
        <v>3427591.4899999998</v>
      </c>
      <c r="K33" s="153">
        <v>2364497.8199999998</v>
      </c>
      <c r="L33" s="153">
        <v>3172283.38</v>
      </c>
      <c r="M33" s="153">
        <v>3746823.34</v>
      </c>
      <c r="N33" s="153">
        <v>3705378.890000002</v>
      </c>
      <c r="O33" s="153">
        <v>4062823.66</v>
      </c>
      <c r="P33" s="153"/>
      <c r="Q33" s="153"/>
      <c r="R33" s="153"/>
      <c r="S33" s="270">
        <f t="shared" si="6"/>
        <v>28067957.789999999</v>
      </c>
      <c r="T33" s="329">
        <f t="shared" si="5"/>
        <v>0.32670590592699505</v>
      </c>
      <c r="U33" s="355"/>
    </row>
    <row r="34" spans="1:23" s="267" customFormat="1">
      <c r="A34" s="272">
        <v>414</v>
      </c>
      <c r="B34" s="600" t="str">
        <f>+VLOOKUP($A34,Master!$D$30:$G$226,4,FALSE)</f>
        <v>Rashodi za usluge</v>
      </c>
      <c r="C34" s="601"/>
      <c r="D34" s="601"/>
      <c r="E34" s="601"/>
      <c r="F34" s="601"/>
      <c r="G34" s="153">
        <v>1768862.99</v>
      </c>
      <c r="H34" s="153">
        <v>6282291.1999999993</v>
      </c>
      <c r="I34" s="153">
        <v>6615847.4100000001</v>
      </c>
      <c r="J34" s="153">
        <v>8498668.9900000002</v>
      </c>
      <c r="K34" s="153">
        <v>9115409.4499999993</v>
      </c>
      <c r="L34" s="153">
        <v>12737236.389999999</v>
      </c>
      <c r="M34" s="153">
        <v>11533639.309999999</v>
      </c>
      <c r="N34" s="153">
        <v>8693073.9600000009</v>
      </c>
      <c r="O34" s="153">
        <v>9987877.4199999999</v>
      </c>
      <c r="P34" s="153"/>
      <c r="Q34" s="153"/>
      <c r="R34" s="153"/>
      <c r="S34" s="270">
        <f t="shared" si="6"/>
        <v>75232907.11999999</v>
      </c>
      <c r="T34" s="329">
        <f t="shared" si="5"/>
        <v>0.87569730794301126</v>
      </c>
      <c r="U34" s="355"/>
    </row>
    <row r="35" spans="1:23">
      <c r="A35" s="145">
        <v>415</v>
      </c>
      <c r="B35" s="562" t="str">
        <f>+VLOOKUP($A35,Master!$D$30:$G$226,4,FALSE)</f>
        <v>Rashodi za tekuće održavanje</v>
      </c>
      <c r="C35" s="563"/>
      <c r="D35" s="563"/>
      <c r="E35" s="563"/>
      <c r="F35" s="563"/>
      <c r="G35" s="153">
        <v>14732.329999999998</v>
      </c>
      <c r="H35" s="153">
        <v>2261365.59</v>
      </c>
      <c r="I35" s="153">
        <v>1879395.3000000003</v>
      </c>
      <c r="J35" s="153">
        <v>5463554.8599999994</v>
      </c>
      <c r="K35" s="153">
        <v>1665097.8399999999</v>
      </c>
      <c r="L35" s="153">
        <v>2968149.4499999997</v>
      </c>
      <c r="M35" s="153">
        <v>2202549.7200000002</v>
      </c>
      <c r="N35" s="153">
        <v>3986767.06</v>
      </c>
      <c r="O35" s="153">
        <v>3317208.4</v>
      </c>
      <c r="P35" s="153"/>
      <c r="Q35" s="153"/>
      <c r="R35" s="153"/>
      <c r="S35" s="270">
        <f t="shared" si="6"/>
        <v>23758820.549999997</v>
      </c>
      <c r="T35" s="329">
        <f t="shared" si="5"/>
        <v>0.27654833492410835</v>
      </c>
      <c r="U35" s="355"/>
    </row>
    <row r="36" spans="1:23">
      <c r="A36" s="145">
        <v>416</v>
      </c>
      <c r="B36" s="562" t="str">
        <f>+VLOOKUP($A36,Master!$D$30:$G$226,4,FALSE)</f>
        <v>Kamate</v>
      </c>
      <c r="C36" s="563"/>
      <c r="D36" s="563"/>
      <c r="E36" s="563"/>
      <c r="F36" s="563"/>
      <c r="G36" s="153">
        <v>5774784.6699999999</v>
      </c>
      <c r="H36" s="153">
        <v>2436280.4</v>
      </c>
      <c r="I36" s="153">
        <v>63594317.369999997</v>
      </c>
      <c r="J36" s="153">
        <v>8383871.2700000005</v>
      </c>
      <c r="K36" s="153">
        <v>14052356</v>
      </c>
      <c r="L36" s="153">
        <v>4432399.1100000003</v>
      </c>
      <c r="M36" s="153">
        <v>5446523.8200000003</v>
      </c>
      <c r="N36" s="153">
        <v>2508366.19</v>
      </c>
      <c r="O36" s="153">
        <v>21385596.530000001</v>
      </c>
      <c r="P36" s="153"/>
      <c r="Q36" s="153"/>
      <c r="R36" s="153"/>
      <c r="S36" s="270">
        <f t="shared" si="6"/>
        <v>128014495.35999998</v>
      </c>
      <c r="T36" s="329">
        <f t="shared" si="5"/>
        <v>1.4900653617655273</v>
      </c>
      <c r="U36" s="355"/>
    </row>
    <row r="37" spans="1:23">
      <c r="A37" s="145">
        <v>417</v>
      </c>
      <c r="B37" s="562" t="str">
        <f>+VLOOKUP($A37,Master!$D$30:$G$226,4,FALSE)</f>
        <v>Renta</v>
      </c>
      <c r="C37" s="563"/>
      <c r="D37" s="563"/>
      <c r="E37" s="563"/>
      <c r="F37" s="563"/>
      <c r="G37" s="153">
        <v>32745.730000000003</v>
      </c>
      <c r="H37" s="153">
        <v>1232747.8599999999</v>
      </c>
      <c r="I37" s="153">
        <v>1032409.46</v>
      </c>
      <c r="J37" s="153">
        <v>944543.74999999977</v>
      </c>
      <c r="K37" s="153">
        <v>1175440.82</v>
      </c>
      <c r="L37" s="153">
        <v>1201384.1099999994</v>
      </c>
      <c r="M37" s="153">
        <v>1379857.4900000005</v>
      </c>
      <c r="N37" s="153">
        <v>833724.8</v>
      </c>
      <c r="O37" s="153">
        <v>1562084.4200000002</v>
      </c>
      <c r="P37" s="153"/>
      <c r="Q37" s="153"/>
      <c r="R37" s="153"/>
      <c r="S37" s="270">
        <f t="shared" si="6"/>
        <v>9394938.4399999995</v>
      </c>
      <c r="T37" s="329">
        <f t="shared" si="5"/>
        <v>0.10935536874941799</v>
      </c>
      <c r="U37" s="355"/>
    </row>
    <row r="38" spans="1:23">
      <c r="A38" s="145">
        <v>418</v>
      </c>
      <c r="B38" s="562" t="str">
        <f>+VLOOKUP($A38,Master!$D$30:$G$226,4,FALSE)</f>
        <v>Subvencije</v>
      </c>
      <c r="C38" s="563"/>
      <c r="D38" s="563"/>
      <c r="E38" s="563"/>
      <c r="F38" s="563"/>
      <c r="G38" s="153">
        <v>2693485.3799999971</v>
      </c>
      <c r="H38" s="153">
        <v>5829293.3599999957</v>
      </c>
      <c r="I38" s="153">
        <v>6148675.1900000069</v>
      </c>
      <c r="J38" s="153">
        <v>8700775.9299999997</v>
      </c>
      <c r="K38" s="153">
        <v>6524693.739999989</v>
      </c>
      <c r="L38" s="153">
        <v>7868737.5099999961</v>
      </c>
      <c r="M38" s="153">
        <v>2585740.3399999994</v>
      </c>
      <c r="N38" s="153">
        <v>4018051.33</v>
      </c>
      <c r="O38" s="153">
        <v>4382623.8500000006</v>
      </c>
      <c r="P38" s="153"/>
      <c r="Q38" s="153"/>
      <c r="R38" s="153"/>
      <c r="S38" s="270">
        <f t="shared" si="6"/>
        <v>48752076.62999998</v>
      </c>
      <c r="T38" s="329">
        <f t="shared" si="5"/>
        <v>0.56746527411770165</v>
      </c>
      <c r="U38" s="355"/>
    </row>
    <row r="39" spans="1:23">
      <c r="A39" s="145">
        <v>419</v>
      </c>
      <c r="B39" s="562" t="str">
        <f>+VLOOKUP($A39,Master!$D$30:$G$226,4,FALSE)</f>
        <v>Ostali izdaci</v>
      </c>
      <c r="C39" s="563"/>
      <c r="D39" s="563"/>
      <c r="E39" s="563"/>
      <c r="F39" s="563"/>
      <c r="G39" s="153">
        <v>748473.61999999988</v>
      </c>
      <c r="H39" s="153">
        <v>5561382.2300000004</v>
      </c>
      <c r="I39" s="153">
        <v>5068638.5999999996</v>
      </c>
      <c r="J39" s="153">
        <v>5959094.919999999</v>
      </c>
      <c r="K39" s="153">
        <v>9607835.3099999987</v>
      </c>
      <c r="L39" s="153">
        <v>5526732.9499999983</v>
      </c>
      <c r="M39" s="153">
        <v>9113117.7499999981</v>
      </c>
      <c r="N39" s="153">
        <v>8417485.0299999975</v>
      </c>
      <c r="O39" s="153">
        <v>5942165.46</v>
      </c>
      <c r="P39" s="153"/>
      <c r="Q39" s="153"/>
      <c r="R39" s="153"/>
      <c r="S39" s="270">
        <f t="shared" si="6"/>
        <v>55944925.869999997</v>
      </c>
      <c r="T39" s="329">
        <f t="shared" si="5"/>
        <v>0.65118872648756865</v>
      </c>
      <c r="U39" s="355"/>
    </row>
    <row r="40" spans="1:23">
      <c r="A40" s="145">
        <v>42</v>
      </c>
      <c r="B40" s="576" t="str">
        <f>+VLOOKUP($A40,Master!$D$30:$G$226,4,FALSE)</f>
        <v>Transferi za socijalnu zaštitu</v>
      </c>
      <c r="C40" s="577"/>
      <c r="D40" s="577"/>
      <c r="E40" s="577"/>
      <c r="F40" s="577"/>
      <c r="G40" s="174">
        <f>+SUM(G41:G45)</f>
        <v>88476330.61999999</v>
      </c>
      <c r="H40" s="174">
        <f t="shared" ref="H40:L40" si="13">+SUM(H41:H45)</f>
        <v>96741550.939999998</v>
      </c>
      <c r="I40" s="174">
        <f t="shared" si="13"/>
        <v>95425470.829999998</v>
      </c>
      <c r="J40" s="174">
        <f t="shared" si="13"/>
        <v>92391678.489999995</v>
      </c>
      <c r="K40" s="174">
        <f t="shared" si="13"/>
        <v>96299748.569999993</v>
      </c>
      <c r="L40" s="174">
        <f t="shared" si="13"/>
        <v>97884160.729999989</v>
      </c>
      <c r="M40" s="174">
        <f t="shared" ref="M40:R40" si="14">+SUM(M41:M45)</f>
        <v>94035610.750000015</v>
      </c>
      <c r="N40" s="174">
        <f t="shared" si="14"/>
        <v>97928661.459999979</v>
      </c>
      <c r="O40" s="174">
        <f t="shared" si="14"/>
        <v>92633365.110000014</v>
      </c>
      <c r="P40" s="174">
        <f t="shared" si="14"/>
        <v>0</v>
      </c>
      <c r="Q40" s="174">
        <f t="shared" si="14"/>
        <v>0</v>
      </c>
      <c r="R40" s="174">
        <f t="shared" si="14"/>
        <v>0</v>
      </c>
      <c r="S40" s="378">
        <f t="shared" si="6"/>
        <v>851816577.49999988</v>
      </c>
      <c r="T40" s="379">
        <f t="shared" si="5"/>
        <v>9.9149894950647166</v>
      </c>
      <c r="U40" s="355"/>
    </row>
    <row r="41" spans="1:23">
      <c r="A41" s="145">
        <v>421</v>
      </c>
      <c r="B41" s="562" t="str">
        <f>+VLOOKUP($A41,Master!$D$30:$G$226,4,FALSE)</f>
        <v>Prava iz oblasti socijalne zaštite</v>
      </c>
      <c r="C41" s="563"/>
      <c r="D41" s="563"/>
      <c r="E41" s="563"/>
      <c r="F41" s="563"/>
      <c r="G41" s="153">
        <v>20152474.369999997</v>
      </c>
      <c r="H41" s="153">
        <v>19876524.400000002</v>
      </c>
      <c r="I41" s="153">
        <v>19305795.789999999</v>
      </c>
      <c r="J41" s="153">
        <v>20739212.280000001</v>
      </c>
      <c r="K41" s="153">
        <v>21635850.029999997</v>
      </c>
      <c r="L41" s="153">
        <v>20880868.199999999</v>
      </c>
      <c r="M41" s="153">
        <v>20823335.879999999</v>
      </c>
      <c r="N41" s="153">
        <v>20867337.529999997</v>
      </c>
      <c r="O41" s="153">
        <v>18820911.859999999</v>
      </c>
      <c r="P41" s="153"/>
      <c r="Q41" s="153"/>
      <c r="R41" s="153"/>
      <c r="S41" s="270">
        <f t="shared" si="6"/>
        <v>183102310.34000003</v>
      </c>
      <c r="T41" s="329">
        <f t="shared" si="5"/>
        <v>2.1312774739268092</v>
      </c>
      <c r="U41" s="355"/>
    </row>
    <row r="42" spans="1:23">
      <c r="A42" s="145">
        <v>422</v>
      </c>
      <c r="B42" s="562" t="str">
        <f>+VLOOKUP($A42,Master!$D$30:$G$226,4,FALSE)</f>
        <v>Sredstva za tehnološke viškove</v>
      </c>
      <c r="C42" s="563"/>
      <c r="D42" s="563"/>
      <c r="E42" s="563"/>
      <c r="F42" s="563"/>
      <c r="G42" s="153">
        <v>83640</v>
      </c>
      <c r="H42" s="153">
        <v>1951203.29</v>
      </c>
      <c r="I42" s="153">
        <v>2113526.08</v>
      </c>
      <c r="J42" s="153">
        <v>1950130.22</v>
      </c>
      <c r="K42" s="153">
        <v>1965342.3599999999</v>
      </c>
      <c r="L42" s="153">
        <v>1894056.9699999997</v>
      </c>
      <c r="M42" s="153">
        <v>1874460.1400000001</v>
      </c>
      <c r="N42" s="153">
        <v>1876333.03</v>
      </c>
      <c r="O42" s="153">
        <v>1867162.9600000002</v>
      </c>
      <c r="P42" s="153"/>
      <c r="Q42" s="153"/>
      <c r="R42" s="153"/>
      <c r="S42" s="270">
        <f t="shared" si="6"/>
        <v>15575855.049999999</v>
      </c>
      <c r="T42" s="329">
        <f t="shared" si="5"/>
        <v>0.18130010999627524</v>
      </c>
      <c r="U42" s="355"/>
    </row>
    <row r="43" spans="1:23">
      <c r="A43" s="145">
        <v>423</v>
      </c>
      <c r="B43" s="562" t="str">
        <f>+VLOOKUP($A43,Master!$D$30:$G$226,4,FALSE)</f>
        <v>Prava iz oblasti penzijskog i invalidskog osiguranja</v>
      </c>
      <c r="C43" s="563"/>
      <c r="D43" s="563"/>
      <c r="E43" s="563"/>
      <c r="F43" s="563"/>
      <c r="G43" s="153">
        <v>67859588.079999998</v>
      </c>
      <c r="H43" s="153">
        <v>68646685.770000011</v>
      </c>
      <c r="I43" s="153">
        <v>68409043.260000005</v>
      </c>
      <c r="J43" s="153">
        <v>68370453.489999995</v>
      </c>
      <c r="K43" s="153">
        <v>68419884.519999996</v>
      </c>
      <c r="L43" s="153">
        <v>69079926.00999999</v>
      </c>
      <c r="M43" s="153">
        <v>69102469.980000019</v>
      </c>
      <c r="N43" s="153">
        <v>69176651.179999977</v>
      </c>
      <c r="O43" s="153">
        <v>69126829.299999997</v>
      </c>
      <c r="P43" s="153"/>
      <c r="Q43" s="153"/>
      <c r="R43" s="153"/>
      <c r="S43" s="270">
        <f t="shared" si="6"/>
        <v>618191531.58999991</v>
      </c>
      <c r="T43" s="329">
        <f t="shared" si="5"/>
        <v>7.1956366001257086</v>
      </c>
      <c r="U43" s="355"/>
    </row>
    <row r="44" spans="1:23">
      <c r="A44" s="145">
        <v>424</v>
      </c>
      <c r="B44" s="562" t="str">
        <f>+VLOOKUP($A44,Master!$D$30:$G$226,4,FALSE)</f>
        <v>Ostala prava iz oblasti zdravstvene zaštite</v>
      </c>
      <c r="C44" s="563"/>
      <c r="D44" s="563"/>
      <c r="E44" s="563"/>
      <c r="F44" s="563"/>
      <c r="G44" s="153">
        <v>380628.17</v>
      </c>
      <c r="H44" s="153">
        <v>3976000.8199999994</v>
      </c>
      <c r="I44" s="153">
        <v>3077011.5300000003</v>
      </c>
      <c r="J44" s="153">
        <v>429253.87000000005</v>
      </c>
      <c r="K44" s="153">
        <v>3367753.7700000005</v>
      </c>
      <c r="L44" s="153">
        <v>3685049.95</v>
      </c>
      <c r="M44" s="153">
        <v>1940814.3600000003</v>
      </c>
      <c r="N44" s="153">
        <v>3101094.9</v>
      </c>
      <c r="O44" s="153">
        <v>2070712.4500000002</v>
      </c>
      <c r="P44" s="153"/>
      <c r="Q44" s="153"/>
      <c r="R44" s="153"/>
      <c r="S44" s="270">
        <f t="shared" si="6"/>
        <v>22028319.819999997</v>
      </c>
      <c r="T44" s="329">
        <f t="shared" si="5"/>
        <v>0.25640562226464286</v>
      </c>
      <c r="U44" s="355"/>
    </row>
    <row r="45" spans="1:23" s="267" customFormat="1">
      <c r="A45" s="272">
        <v>425</v>
      </c>
      <c r="B45" s="602" t="str">
        <f>+VLOOKUP($A45,Master!$D$30:$G$226,4,FALSE)</f>
        <v>Ostala prava iz zdravstvenog osiguranja</v>
      </c>
      <c r="C45" s="603"/>
      <c r="D45" s="603"/>
      <c r="E45" s="603"/>
      <c r="F45" s="603"/>
      <c r="G45" s="153">
        <v>0</v>
      </c>
      <c r="H45" s="153">
        <v>2291136.6600000011</v>
      </c>
      <c r="I45" s="153">
        <v>2520094.1699999995</v>
      </c>
      <c r="J45" s="153">
        <v>902628.62999999989</v>
      </c>
      <c r="K45" s="153">
        <v>910917.89000000025</v>
      </c>
      <c r="L45" s="153">
        <v>2344259.600000001</v>
      </c>
      <c r="M45" s="153">
        <v>294530.3899999999</v>
      </c>
      <c r="N45" s="153">
        <v>2907244.8199999994</v>
      </c>
      <c r="O45" s="153">
        <v>747748.54</v>
      </c>
      <c r="P45" s="153"/>
      <c r="Q45" s="153"/>
      <c r="R45" s="153"/>
      <c r="S45" s="270">
        <f t="shared" si="6"/>
        <v>12918560.699999999</v>
      </c>
      <c r="T45" s="329">
        <f t="shared" si="5"/>
        <v>0.15036968875128037</v>
      </c>
      <c r="U45" s="355"/>
    </row>
    <row r="46" spans="1:23">
      <c r="A46" s="145">
        <v>43</v>
      </c>
      <c r="B46" s="580" t="str">
        <f>+VLOOKUP($A46,Master!$D$30:$G$226,4,FALSE)</f>
        <v>Transferi institucijama, pojedincima, nevladinom i javnom sektoru</v>
      </c>
      <c r="C46" s="581"/>
      <c r="D46" s="581"/>
      <c r="E46" s="581"/>
      <c r="F46" s="581"/>
      <c r="G46" s="159">
        <v>15876937</v>
      </c>
      <c r="H46" s="159">
        <v>46715063.100000001</v>
      </c>
      <c r="I46" s="159">
        <v>43606975.510000005</v>
      </c>
      <c r="J46" s="159">
        <v>25749608.459999997</v>
      </c>
      <c r="K46" s="159">
        <v>52618662.620000005</v>
      </c>
      <c r="L46" s="159">
        <v>44305230.220000014</v>
      </c>
      <c r="M46" s="159">
        <v>58401116.57</v>
      </c>
      <c r="N46" s="159">
        <v>35603146.329999998</v>
      </c>
      <c r="O46" s="159">
        <v>38112693.939999998</v>
      </c>
      <c r="P46" s="159"/>
      <c r="Q46" s="159"/>
      <c r="R46" s="159"/>
      <c r="S46" s="371">
        <f t="shared" si="6"/>
        <v>360989433.75</v>
      </c>
      <c r="T46" s="372">
        <f t="shared" si="5"/>
        <v>4.2018511238243788</v>
      </c>
      <c r="U46" s="355"/>
    </row>
    <row r="47" spans="1:23">
      <c r="A47" s="145">
        <v>44</v>
      </c>
      <c r="B47" s="580" t="str">
        <f>+VLOOKUP($A47,Master!$D$30:$G$226,4,FALSE)</f>
        <v>Kapitalni izdaci</v>
      </c>
      <c r="C47" s="581"/>
      <c r="D47" s="581"/>
      <c r="E47" s="581"/>
      <c r="F47" s="581"/>
      <c r="G47" s="159">
        <v>18581713.800000001</v>
      </c>
      <c r="H47" s="159">
        <v>6422227.709999999</v>
      </c>
      <c r="I47" s="159">
        <v>30298969.989999998</v>
      </c>
      <c r="J47" s="159">
        <v>13465260.769999998</v>
      </c>
      <c r="K47" s="159">
        <v>27477944.139999993</v>
      </c>
      <c r="L47" s="159">
        <v>18580073.539999999</v>
      </c>
      <c r="M47" s="159">
        <v>54430950.480000004</v>
      </c>
      <c r="N47" s="159">
        <v>63358828.189999998</v>
      </c>
      <c r="O47" s="159">
        <v>45878755.850000009</v>
      </c>
      <c r="P47" s="159"/>
      <c r="Q47" s="159"/>
      <c r="R47" s="159"/>
      <c r="S47" s="371">
        <f t="shared" si="6"/>
        <v>278494724.47000003</v>
      </c>
      <c r="T47" s="372">
        <f t="shared" si="5"/>
        <v>3.2416277641074589</v>
      </c>
      <c r="U47" s="355"/>
      <c r="V47" s="172"/>
      <c r="W47" s="172"/>
    </row>
    <row r="48" spans="1:23">
      <c r="A48" s="145">
        <v>451</v>
      </c>
      <c r="B48" s="604" t="str">
        <f>+VLOOKUP($A48,Master!$D$30:$G$226,4,FALSE)</f>
        <v>Pozajmice i krediti</v>
      </c>
      <c r="C48" s="605"/>
      <c r="D48" s="605"/>
      <c r="E48" s="605"/>
      <c r="F48" s="605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/>
      <c r="Q48" s="153"/>
      <c r="R48" s="153"/>
      <c r="S48" s="270">
        <f t="shared" si="6"/>
        <v>0</v>
      </c>
      <c r="T48" s="329">
        <f t="shared" si="5"/>
        <v>0</v>
      </c>
      <c r="U48" s="355"/>
    </row>
    <row r="49" spans="1:21" s="267" customFormat="1">
      <c r="A49" s="272">
        <v>47</v>
      </c>
      <c r="B49" s="606" t="str">
        <f>+VLOOKUP($A49,Master!$D$30:$G$226,4,FALSE)</f>
        <v>Rezerve</v>
      </c>
      <c r="C49" s="607"/>
      <c r="D49" s="607"/>
      <c r="E49" s="607"/>
      <c r="F49" s="607"/>
      <c r="G49" s="153">
        <v>0</v>
      </c>
      <c r="H49" s="153">
        <v>1959.4</v>
      </c>
      <c r="I49" s="153">
        <v>502000</v>
      </c>
      <c r="J49" s="153">
        <v>234461.94999999998</v>
      </c>
      <c r="K49" s="153">
        <v>68669</v>
      </c>
      <c r="L49" s="153">
        <v>14356.6</v>
      </c>
      <c r="M49" s="153">
        <v>28555</v>
      </c>
      <c r="N49" s="153">
        <v>122500</v>
      </c>
      <c r="O49" s="153">
        <v>4100</v>
      </c>
      <c r="P49" s="153"/>
      <c r="Q49" s="153"/>
      <c r="R49" s="153"/>
      <c r="S49" s="270">
        <f t="shared" si="6"/>
        <v>976601.95</v>
      </c>
      <c r="T49" s="329">
        <f t="shared" si="5"/>
        <v>1.1367468456094609E-2</v>
      </c>
      <c r="U49" s="355"/>
    </row>
    <row r="50" spans="1:21">
      <c r="A50" s="145">
        <v>462</v>
      </c>
      <c r="B50" s="578" t="str">
        <f>+VLOOKUP($A50,Master!$D$30:$G$226,4,FALSE)</f>
        <v>Otplata garancija</v>
      </c>
      <c r="C50" s="579"/>
      <c r="D50" s="579"/>
      <c r="E50" s="579"/>
      <c r="F50" s="579"/>
      <c r="G50" s="153">
        <v>0</v>
      </c>
      <c r="H50" s="153">
        <v>0</v>
      </c>
      <c r="I50" s="153">
        <v>0</v>
      </c>
      <c r="J50" s="153">
        <v>0</v>
      </c>
      <c r="K50" s="153">
        <v>0</v>
      </c>
      <c r="L50" s="153">
        <v>0</v>
      </c>
      <c r="M50" s="153">
        <v>1533780.91</v>
      </c>
      <c r="N50" s="153">
        <v>0</v>
      </c>
      <c r="O50" s="153">
        <v>0</v>
      </c>
      <c r="P50" s="153"/>
      <c r="Q50" s="153"/>
      <c r="R50" s="153"/>
      <c r="S50" s="270">
        <f t="shared" si="6"/>
        <v>1533780.91</v>
      </c>
      <c r="T50" s="329">
        <f t="shared" si="5"/>
        <v>1.7852929858459817E-2</v>
      </c>
      <c r="U50" s="355"/>
    </row>
    <row r="51" spans="1:21">
      <c r="A51" s="136">
        <v>4630</v>
      </c>
      <c r="B51" s="608" t="str">
        <f>+VLOOKUP($A51,Master!$D$30:$G$226,4,TRUE)</f>
        <v>Otplata obaveza iz prethodnog perioda</v>
      </c>
      <c r="C51" s="609"/>
      <c r="D51" s="609"/>
      <c r="E51" s="609"/>
      <c r="F51" s="609"/>
      <c r="G51" s="335">
        <v>2174032.9299999997</v>
      </c>
      <c r="H51" s="335">
        <v>1939091.7000000004</v>
      </c>
      <c r="I51" s="335">
        <v>2103523.9900000002</v>
      </c>
      <c r="J51" s="335">
        <v>2646571.9699999997</v>
      </c>
      <c r="K51" s="335">
        <v>2388047.100000001</v>
      </c>
      <c r="L51" s="335">
        <v>5371833.04</v>
      </c>
      <c r="M51" s="335">
        <v>3014339.31</v>
      </c>
      <c r="N51" s="335">
        <v>936285.87999999989</v>
      </c>
      <c r="O51" s="335">
        <v>1125217.2999999996</v>
      </c>
      <c r="P51" s="335"/>
      <c r="Q51" s="335"/>
      <c r="R51" s="335"/>
      <c r="S51" s="290">
        <f t="shared" si="6"/>
        <v>21698943.219999999</v>
      </c>
      <c r="T51" s="337">
        <f t="shared" si="5"/>
        <v>0.2525717387559363</v>
      </c>
      <c r="U51" s="355"/>
    </row>
    <row r="52" spans="1:21">
      <c r="A52" s="128">
        <v>1005</v>
      </c>
      <c r="B52" s="610" t="str">
        <f>+VLOOKUP($A52,Master!$D$30:$G$228,4,FALSE)</f>
        <v>Neto povećanje obaveza</v>
      </c>
      <c r="C52" s="611"/>
      <c r="D52" s="611"/>
      <c r="E52" s="611"/>
      <c r="F52" s="611"/>
      <c r="G52" s="183">
        <v>0</v>
      </c>
      <c r="H52" s="183">
        <v>0</v>
      </c>
      <c r="I52" s="183">
        <v>0</v>
      </c>
      <c r="J52" s="183">
        <v>0</v>
      </c>
      <c r="K52" s="183">
        <v>0</v>
      </c>
      <c r="L52" s="183">
        <v>0</v>
      </c>
      <c r="M52" s="183">
        <v>0</v>
      </c>
      <c r="N52" s="183">
        <v>0</v>
      </c>
      <c r="O52" s="183">
        <v>0</v>
      </c>
      <c r="P52" s="183"/>
      <c r="Q52" s="183"/>
      <c r="R52" s="356"/>
      <c r="S52" s="292">
        <f t="shared" si="6"/>
        <v>0</v>
      </c>
      <c r="T52" s="338">
        <f t="shared" si="5"/>
        <v>0</v>
      </c>
    </row>
    <row r="53" spans="1:21">
      <c r="A53" s="136">
        <v>1000</v>
      </c>
      <c r="B53" s="596" t="str">
        <f>+VLOOKUP($A53,Master!$D$30:$G$226,4,FALSE)</f>
        <v>Suficit / deficit</v>
      </c>
      <c r="C53" s="597"/>
      <c r="D53" s="597"/>
      <c r="E53" s="597"/>
      <c r="F53" s="597"/>
      <c r="G53" s="146">
        <f t="shared" ref="G53:R53" si="15">+G10-G29</f>
        <v>-33014029.359999985</v>
      </c>
      <c r="H53" s="146">
        <f t="shared" si="15"/>
        <v>-48586626.339999944</v>
      </c>
      <c r="I53" s="146">
        <f t="shared" si="15"/>
        <v>-41825548.290000081</v>
      </c>
      <c r="J53" s="146">
        <f t="shared" si="15"/>
        <v>98206319.589999914</v>
      </c>
      <c r="K53" s="146">
        <f t="shared" si="15"/>
        <v>-70763658.810000002</v>
      </c>
      <c r="L53" s="146">
        <f t="shared" si="15"/>
        <v>-18052371.650000006</v>
      </c>
      <c r="M53" s="146">
        <f t="shared" si="15"/>
        <v>-29729535.420000017</v>
      </c>
      <c r="N53" s="146">
        <f t="shared" si="15"/>
        <v>-2473917.6299999952</v>
      </c>
      <c r="O53" s="146">
        <f t="shared" si="15"/>
        <v>22030061.220000029</v>
      </c>
      <c r="P53" s="146">
        <f t="shared" si="15"/>
        <v>0</v>
      </c>
      <c r="Q53" s="146">
        <f t="shared" si="15"/>
        <v>0</v>
      </c>
      <c r="R53" s="146">
        <f t="shared" si="15"/>
        <v>0</v>
      </c>
      <c r="S53" s="380">
        <f>SUM(G53:R53)</f>
        <v>-124209306.69000009</v>
      </c>
      <c r="T53" s="381">
        <f t="shared" si="5"/>
        <v>-1.4457736601406102</v>
      </c>
    </row>
    <row r="54" spans="1:21">
      <c r="A54" s="136">
        <v>1001</v>
      </c>
      <c r="B54" s="598" t="str">
        <f>+VLOOKUP($A54,Master!$D$30:$G$226,4,FALSE)</f>
        <v>Primarni suficit/deficit</v>
      </c>
      <c r="C54" s="599"/>
      <c r="D54" s="599"/>
      <c r="E54" s="599"/>
      <c r="F54" s="599"/>
      <c r="G54" s="190">
        <f t="shared" ref="G54:R54" si="16">+G53+G36</f>
        <v>-27239244.689999983</v>
      </c>
      <c r="H54" s="190">
        <f t="shared" si="16"/>
        <v>-46150345.939999945</v>
      </c>
      <c r="I54" s="190">
        <f t="shared" si="16"/>
        <v>21768769.079999916</v>
      </c>
      <c r="J54" s="190">
        <f t="shared" si="16"/>
        <v>106590190.85999991</v>
      </c>
      <c r="K54" s="190">
        <f t="shared" si="16"/>
        <v>-56711302.810000002</v>
      </c>
      <c r="L54" s="190">
        <f t="shared" si="16"/>
        <v>-13619972.540000007</v>
      </c>
      <c r="M54" s="190">
        <f t="shared" si="16"/>
        <v>-24283011.600000016</v>
      </c>
      <c r="N54" s="190">
        <f t="shared" si="16"/>
        <v>34448.560000004712</v>
      </c>
      <c r="O54" s="190">
        <f t="shared" si="16"/>
        <v>43415657.75000003</v>
      </c>
      <c r="P54" s="190">
        <f t="shared" si="16"/>
        <v>0</v>
      </c>
      <c r="Q54" s="190">
        <f t="shared" si="16"/>
        <v>0</v>
      </c>
      <c r="R54" s="190">
        <f t="shared" si="16"/>
        <v>0</v>
      </c>
      <c r="S54" s="380">
        <f t="shared" si="6"/>
        <v>3805188.6699998975</v>
      </c>
      <c r="T54" s="381">
        <f t="shared" si="5"/>
        <v>4.4291701624917329E-2</v>
      </c>
    </row>
    <row r="55" spans="1:21">
      <c r="A55" s="136">
        <v>46</v>
      </c>
      <c r="B55" s="612" t="str">
        <f>+VLOOKUP($A55,Master!$D$30:$G$226,4,FALSE)</f>
        <v>Otplata dugova</v>
      </c>
      <c r="C55" s="613"/>
      <c r="D55" s="613"/>
      <c r="E55" s="613"/>
      <c r="F55" s="613"/>
      <c r="G55" s="174">
        <f t="shared" ref="G55:R55" si="17">+SUM(G56:G57)</f>
        <v>35130842.789999999</v>
      </c>
      <c r="H55" s="174">
        <f t="shared" si="17"/>
        <v>8123801.9100000001</v>
      </c>
      <c r="I55" s="174">
        <f t="shared" si="17"/>
        <v>26510380.109999999</v>
      </c>
      <c r="J55" s="174">
        <f t="shared" si="17"/>
        <v>75586170.969999999</v>
      </c>
      <c r="K55" s="174">
        <f t="shared" si="17"/>
        <v>56628989.650000006</v>
      </c>
      <c r="L55" s="174">
        <f t="shared" si="17"/>
        <v>27668179.259999998</v>
      </c>
      <c r="M55" s="174">
        <f t="shared" si="17"/>
        <v>40004136.479999997</v>
      </c>
      <c r="N55" s="174">
        <f t="shared" si="17"/>
        <v>9612078.8499999996</v>
      </c>
      <c r="O55" s="174">
        <f t="shared" si="17"/>
        <v>6016896.1199999992</v>
      </c>
      <c r="P55" s="174">
        <f t="shared" si="17"/>
        <v>0</v>
      </c>
      <c r="Q55" s="174">
        <f t="shared" si="17"/>
        <v>0</v>
      </c>
      <c r="R55" s="174">
        <f t="shared" si="17"/>
        <v>0</v>
      </c>
      <c r="S55" s="382">
        <f t="shared" si="6"/>
        <v>285281476.14000005</v>
      </c>
      <c r="T55" s="383">
        <f t="shared" si="5"/>
        <v>3.3206243148803432</v>
      </c>
    </row>
    <row r="56" spans="1:21">
      <c r="A56" s="136">
        <v>4611</v>
      </c>
      <c r="B56" s="594" t="str">
        <f>+VLOOKUP($A56,Master!$D$30:$G$226,4,FALSE)</f>
        <v>Otplata hartija od vrijednosti i kredita rezidentima</v>
      </c>
      <c r="C56" s="595"/>
      <c r="D56" s="595"/>
      <c r="E56" s="595"/>
      <c r="F56" s="595"/>
      <c r="G56" s="176">
        <v>1661742.09</v>
      </c>
      <c r="H56" s="176">
        <v>1014139.8699999999</v>
      </c>
      <c r="I56" s="176">
        <v>4622260.75</v>
      </c>
      <c r="J56" s="176">
        <v>51696507.350000001</v>
      </c>
      <c r="K56" s="176">
        <v>2155420.9499999997</v>
      </c>
      <c r="L56" s="176">
        <v>13532598.73</v>
      </c>
      <c r="M56" s="176">
        <v>1720611.69</v>
      </c>
      <c r="N56" s="176">
        <v>1042474.11</v>
      </c>
      <c r="O56" s="176">
        <v>4780681.76</v>
      </c>
      <c r="P56" s="176"/>
      <c r="Q56" s="176"/>
      <c r="R56" s="176"/>
      <c r="S56" s="298">
        <f t="shared" si="6"/>
        <v>82226437.300000012</v>
      </c>
      <c r="T56" s="342">
        <f t="shared" si="5"/>
        <v>0.95710072283266612</v>
      </c>
    </row>
    <row r="57" spans="1:21">
      <c r="A57" s="136">
        <v>4612</v>
      </c>
      <c r="B57" s="582" t="str">
        <f>+VLOOKUP($A57,Master!$D$30:$G$226,4,FALSE)</f>
        <v>Otplata hartija od vrijednosti i kredita nerezidentima</v>
      </c>
      <c r="C57" s="583"/>
      <c r="D57" s="583"/>
      <c r="E57" s="583"/>
      <c r="F57" s="583"/>
      <c r="G57" s="176">
        <v>33469100.699999999</v>
      </c>
      <c r="H57" s="176">
        <v>7109662.04</v>
      </c>
      <c r="I57" s="176">
        <v>21888119.359999999</v>
      </c>
      <c r="J57" s="176">
        <v>23889663.620000001</v>
      </c>
      <c r="K57" s="176">
        <v>54473568.700000003</v>
      </c>
      <c r="L57" s="176">
        <v>14135580.529999999</v>
      </c>
      <c r="M57" s="176">
        <v>38283524.789999999</v>
      </c>
      <c r="N57" s="176">
        <v>8569604.7400000002</v>
      </c>
      <c r="O57" s="176">
        <v>1236214.3599999999</v>
      </c>
      <c r="P57" s="176"/>
      <c r="Q57" s="176"/>
      <c r="R57" s="176"/>
      <c r="S57" s="298">
        <f t="shared" si="6"/>
        <v>203055038.84000003</v>
      </c>
      <c r="T57" s="342">
        <f t="shared" si="5"/>
        <v>2.3635235920476774</v>
      </c>
    </row>
    <row r="58" spans="1:21">
      <c r="A58" s="136">
        <v>4418</v>
      </c>
      <c r="B58" s="572" t="str">
        <f>+VLOOKUP($A58,Master!$D$30:$G$226,4,FALSE)</f>
        <v>Izdaci za kupovinu hartija od vrijednosti</v>
      </c>
      <c r="C58" s="573"/>
      <c r="D58" s="573"/>
      <c r="E58" s="573"/>
      <c r="F58" s="573"/>
      <c r="G58" s="300">
        <v>4765189.4800000004</v>
      </c>
      <c r="H58" s="300">
        <v>9863292.7199999988</v>
      </c>
      <c r="I58" s="300">
        <v>160000</v>
      </c>
      <c r="J58" s="300">
        <v>0</v>
      </c>
      <c r="K58" s="300">
        <v>0</v>
      </c>
      <c r="L58" s="300">
        <v>360695.5</v>
      </c>
      <c r="M58" s="300">
        <v>0</v>
      </c>
      <c r="N58" s="300">
        <v>0</v>
      </c>
      <c r="O58" s="300">
        <v>0</v>
      </c>
      <c r="P58" s="300"/>
      <c r="Q58" s="300"/>
      <c r="R58" s="300"/>
      <c r="S58" s="382">
        <f>SUM(G58:R58)</f>
        <v>15149177.699999999</v>
      </c>
      <c r="T58" s="384">
        <f t="shared" si="5"/>
        <v>0.17633366351615606</v>
      </c>
    </row>
    <row r="59" spans="1:21">
      <c r="A59" s="145">
        <v>451</v>
      </c>
      <c r="B59" s="572" t="str">
        <f>+VLOOKUP($A59,Master!$D$30:$G$226,4,FALSE)</f>
        <v>Pozajmice i krediti</v>
      </c>
      <c r="C59" s="573"/>
      <c r="D59" s="573"/>
      <c r="E59" s="573"/>
      <c r="F59" s="573"/>
      <c r="G59" s="153">
        <v>242545.05</v>
      </c>
      <c r="H59" s="153">
        <v>1705830</v>
      </c>
      <c r="I59" s="153">
        <v>980871.29</v>
      </c>
      <c r="J59" s="153">
        <v>1020242.5700000001</v>
      </c>
      <c r="K59" s="153">
        <v>1136161.25</v>
      </c>
      <c r="L59" s="153">
        <v>727491.92</v>
      </c>
      <c r="M59" s="153">
        <v>316429</v>
      </c>
      <c r="N59" s="153">
        <v>366706.43</v>
      </c>
      <c r="O59" s="153">
        <v>1040929.74</v>
      </c>
      <c r="P59" s="153"/>
      <c r="Q59" s="153"/>
      <c r="R59" s="300"/>
      <c r="S59" s="382">
        <f>SUM(G59:R59)</f>
        <v>7537207.25</v>
      </c>
      <c r="T59" s="384">
        <f t="shared" si="5"/>
        <v>8.7731716756681261E-2</v>
      </c>
    </row>
    <row r="60" spans="1:21">
      <c r="A60" s="136">
        <v>1002</v>
      </c>
      <c r="B60" s="592" t="str">
        <f>+VLOOKUP($A60,Master!$D$30:$G$226,4,FALSE)</f>
        <v>Nedostajuća sredstva</v>
      </c>
      <c r="C60" s="593"/>
      <c r="D60" s="593"/>
      <c r="E60" s="593"/>
      <c r="F60" s="593"/>
      <c r="G60" s="197">
        <f>+G53-G55-G58-G59</f>
        <v>-73152606.679999977</v>
      </c>
      <c r="H60" s="197">
        <f t="shared" ref="H60:S60" si="18">+H53-H55-H58-H59</f>
        <v>-68279550.969999939</v>
      </c>
      <c r="I60" s="197">
        <f t="shared" si="18"/>
        <v>-69476799.690000087</v>
      </c>
      <c r="J60" s="197">
        <f t="shared" si="18"/>
        <v>21599906.049999915</v>
      </c>
      <c r="K60" s="197">
        <f t="shared" si="18"/>
        <v>-128528809.71000001</v>
      </c>
      <c r="L60" s="197">
        <f t="shared" si="18"/>
        <v>-46808738.330000006</v>
      </c>
      <c r="M60" s="197">
        <f t="shared" si="18"/>
        <v>-70050100.900000006</v>
      </c>
      <c r="N60" s="197">
        <f t="shared" si="18"/>
        <v>-12452702.909999995</v>
      </c>
      <c r="O60" s="197">
        <f t="shared" si="18"/>
        <v>14972235.360000029</v>
      </c>
      <c r="P60" s="197">
        <f t="shared" si="18"/>
        <v>0</v>
      </c>
      <c r="Q60" s="197">
        <f t="shared" si="18"/>
        <v>0</v>
      </c>
      <c r="R60" s="197">
        <f t="shared" si="18"/>
        <v>0</v>
      </c>
      <c r="S60" s="382">
        <f t="shared" si="18"/>
        <v>-432177167.78000015</v>
      </c>
      <c r="T60" s="385">
        <f t="shared" si="5"/>
        <v>-5.0304633552937901</v>
      </c>
    </row>
    <row r="61" spans="1:21">
      <c r="A61" s="136">
        <v>1003</v>
      </c>
      <c r="B61" s="570" t="str">
        <f>+VLOOKUP($A61,Master!$D$30:$G$226,4,FALSE)</f>
        <v>Finansiranje</v>
      </c>
      <c r="C61" s="571"/>
      <c r="D61" s="571"/>
      <c r="E61" s="571"/>
      <c r="F61" s="571"/>
      <c r="G61" s="146">
        <f>+SUM(G62:G66)</f>
        <v>73152606.679999977</v>
      </c>
      <c r="H61" s="146">
        <f t="shared" ref="H61:L61" si="19">+SUM(H62:H66)</f>
        <v>68279550.969999939</v>
      </c>
      <c r="I61" s="146">
        <f t="shared" si="19"/>
        <v>69476799.690000087</v>
      </c>
      <c r="J61" s="146">
        <f t="shared" si="19"/>
        <v>-21599906.049999915</v>
      </c>
      <c r="K61" s="146">
        <f t="shared" si="19"/>
        <v>128528809.71000001</v>
      </c>
      <c r="L61" s="146">
        <f t="shared" si="19"/>
        <v>46808738.330000006</v>
      </c>
      <c r="M61" s="146">
        <f t="shared" ref="M61:R61" si="20">+SUM(M62:M66)</f>
        <v>70050100.900000006</v>
      </c>
      <c r="N61" s="146">
        <f t="shared" si="20"/>
        <v>12452702.909999996</v>
      </c>
      <c r="O61" s="146">
        <f t="shared" si="20"/>
        <v>-14972235.360000027</v>
      </c>
      <c r="P61" s="146">
        <f t="shared" si="20"/>
        <v>0</v>
      </c>
      <c r="Q61" s="146">
        <f t="shared" si="20"/>
        <v>0</v>
      </c>
      <c r="R61" s="146">
        <f t="shared" si="20"/>
        <v>0</v>
      </c>
      <c r="S61" s="386">
        <f t="shared" si="6"/>
        <v>432177167.78000009</v>
      </c>
      <c r="T61" s="387">
        <f t="shared" si="5"/>
        <v>5.0304633552937901</v>
      </c>
    </row>
    <row r="62" spans="1:21">
      <c r="A62" s="136">
        <v>7511</v>
      </c>
      <c r="B62" s="594" t="str">
        <f>+VLOOKUP($A62,Master!$D$30:$G$226,4,FALSE)</f>
        <v>Pozajmice i krediti od domaćih izvora</v>
      </c>
      <c r="C62" s="595"/>
      <c r="D62" s="595"/>
      <c r="E62" s="595"/>
      <c r="F62" s="595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346">
        <v>13854700</v>
      </c>
      <c r="N62" s="176">
        <v>0</v>
      </c>
      <c r="O62" s="176">
        <v>0</v>
      </c>
      <c r="P62" s="176"/>
      <c r="Q62" s="176"/>
      <c r="R62" s="176"/>
      <c r="S62" s="298">
        <f t="shared" si="6"/>
        <v>13854700</v>
      </c>
      <c r="T62" s="342">
        <f t="shared" si="5"/>
        <v>0.16126617934630785</v>
      </c>
    </row>
    <row r="63" spans="1:21">
      <c r="A63" s="136">
        <v>7512</v>
      </c>
      <c r="B63" s="582" t="str">
        <f>+VLOOKUP($A63,Master!$D$30:$G$226,4,FALSE)</f>
        <v>Pozajmice i krediti od inostranih izvora</v>
      </c>
      <c r="C63" s="583"/>
      <c r="D63" s="583"/>
      <c r="E63" s="583"/>
      <c r="F63" s="583"/>
      <c r="G63" s="176">
        <v>16583760.119999999</v>
      </c>
      <c r="H63" s="176">
        <v>680753.51</v>
      </c>
      <c r="I63" s="176">
        <v>727491.71</v>
      </c>
      <c r="J63" s="176">
        <v>4314894.3499999996</v>
      </c>
      <c r="K63" s="176">
        <v>37534601.059999995</v>
      </c>
      <c r="L63" s="176">
        <v>6149707.2699999996</v>
      </c>
      <c r="M63" s="346">
        <v>23945134.630000003</v>
      </c>
      <c r="N63" s="176">
        <v>41540293.869999997</v>
      </c>
      <c r="O63" s="176">
        <v>5364999.82</v>
      </c>
      <c r="P63" s="176"/>
      <c r="Q63" s="176"/>
      <c r="R63" s="176"/>
      <c r="S63" s="298">
        <f t="shared" si="6"/>
        <v>136841636.34</v>
      </c>
      <c r="T63" s="342">
        <f t="shared" si="5"/>
        <v>1.5928116717105878</v>
      </c>
    </row>
    <row r="64" spans="1:21">
      <c r="A64" s="136">
        <v>72</v>
      </c>
      <c r="B64" s="582" t="str">
        <f>+VLOOKUP($A64,Master!$D$30:$G$226,4,FALSE)</f>
        <v>Primici od prodaje imovine</v>
      </c>
      <c r="C64" s="583"/>
      <c r="D64" s="583"/>
      <c r="E64" s="583"/>
      <c r="F64" s="583"/>
      <c r="G64" s="176">
        <v>36416.97</v>
      </c>
      <c r="H64" s="176">
        <v>64300.280000000013</v>
      </c>
      <c r="I64" s="176">
        <v>59242.58</v>
      </c>
      <c r="J64" s="176">
        <v>200993.16000000006</v>
      </c>
      <c r="K64" s="176">
        <v>89410.48</v>
      </c>
      <c r="L64" s="176">
        <v>241576.87999999995</v>
      </c>
      <c r="M64" s="346">
        <v>164864.57999999999</v>
      </c>
      <c r="N64" s="176">
        <v>67156.31</v>
      </c>
      <c r="O64" s="176">
        <v>21227.87</v>
      </c>
      <c r="P64" s="176"/>
      <c r="Q64" s="176"/>
      <c r="R64" s="176"/>
      <c r="S64" s="298">
        <f t="shared" si="6"/>
        <v>945189.11</v>
      </c>
      <c r="T64" s="342">
        <f t="shared" si="5"/>
        <v>1.1001828731725487E-2</v>
      </c>
    </row>
    <row r="65" spans="1:20">
      <c r="A65" s="136">
        <v>73</v>
      </c>
      <c r="B65" s="566" t="s">
        <v>20</v>
      </c>
      <c r="C65" s="567"/>
      <c r="D65" s="567"/>
      <c r="E65" s="567"/>
      <c r="F65" s="567"/>
      <c r="G65" s="159">
        <v>2415467.94</v>
      </c>
      <c r="H65" s="159">
        <v>1030931.66</v>
      </c>
      <c r="I65" s="159">
        <v>850510.46000000008</v>
      </c>
      <c r="J65" s="159">
        <v>2538097.29</v>
      </c>
      <c r="K65" s="159">
        <v>748422.14000000013</v>
      </c>
      <c r="L65" s="159">
        <v>4889913.32</v>
      </c>
      <c r="M65" s="159">
        <v>3810124.5900000008</v>
      </c>
      <c r="N65" s="159">
        <v>531088.34000000008</v>
      </c>
      <c r="O65" s="159">
        <v>241912.70999999996</v>
      </c>
      <c r="P65" s="159"/>
      <c r="Q65" s="159"/>
      <c r="R65" s="159"/>
      <c r="S65" s="284">
        <f t="shared" si="6"/>
        <v>17056468.450000003</v>
      </c>
      <c r="T65" s="330">
        <f t="shared" si="5"/>
        <v>0.19853417974206167</v>
      </c>
    </row>
    <row r="66" spans="1:20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54116961.649999976</v>
      </c>
      <c r="H66" s="204">
        <f t="shared" ref="H66:L66" si="21">-H60-SUM(H62:H65)</f>
        <v>66503565.519999936</v>
      </c>
      <c r="I66" s="204">
        <f t="shared" si="21"/>
        <v>67839554.940000087</v>
      </c>
      <c r="J66" s="204">
        <f t="shared" si="21"/>
        <v>-28653890.849999916</v>
      </c>
      <c r="K66" s="204">
        <f>-K60-SUM(K62:K65)</f>
        <v>90156376.030000016</v>
      </c>
      <c r="L66" s="204">
        <f t="shared" si="21"/>
        <v>35527540.860000007</v>
      </c>
      <c r="M66" s="204">
        <f t="shared" ref="M66:S66" si="22">-M60-SUM(M62:M65)</f>
        <v>28275277.100000001</v>
      </c>
      <c r="N66" s="204">
        <f t="shared" si="22"/>
        <v>-29685835.610000007</v>
      </c>
      <c r="O66" s="204">
        <f t="shared" si="22"/>
        <v>-20600375.760000028</v>
      </c>
      <c r="P66" s="204">
        <f t="shared" si="22"/>
        <v>0</v>
      </c>
      <c r="Q66" s="204">
        <f t="shared" si="22"/>
        <v>0</v>
      </c>
      <c r="R66" s="204">
        <f t="shared" si="22"/>
        <v>0</v>
      </c>
      <c r="S66" s="307">
        <f t="shared" si="22"/>
        <v>263479173.88000011</v>
      </c>
      <c r="T66" s="347">
        <f t="shared" si="5"/>
        <v>3.0668494957631074</v>
      </c>
    </row>
    <row r="67" spans="1:20">
      <c r="R67" s="207"/>
    </row>
    <row r="68" spans="1:20">
      <c r="F68" s="173"/>
      <c r="G68" s="173"/>
      <c r="H68" s="173"/>
    </row>
    <row r="69" spans="1:20" hidden="1">
      <c r="G69" s="17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172"/>
    </row>
    <row r="81" spans="1:25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5">
      <c r="G82" s="210" t="str">
        <f t="shared" ref="G82:R82" si="23">+CONCATENATE(G6,"p")</f>
        <v>2026-01p</v>
      </c>
      <c r="H82" s="210" t="str">
        <f t="shared" si="23"/>
        <v>2026-02p</v>
      </c>
      <c r="I82" s="210" t="str">
        <f t="shared" si="23"/>
        <v>2026-03p</v>
      </c>
      <c r="J82" s="210" t="str">
        <f t="shared" si="23"/>
        <v>2026-04p</v>
      </c>
      <c r="K82" s="210" t="str">
        <f t="shared" si="23"/>
        <v>2026-05p</v>
      </c>
      <c r="L82" s="210" t="str">
        <f t="shared" si="23"/>
        <v>2026-06p</v>
      </c>
      <c r="M82" s="210" t="str">
        <f t="shared" si="23"/>
        <v>2026-07p</v>
      </c>
      <c r="N82" s="210" t="str">
        <f t="shared" si="23"/>
        <v>2026-08p</v>
      </c>
      <c r="O82" s="210" t="str">
        <f t="shared" si="23"/>
        <v>2026-09p</v>
      </c>
      <c r="P82" s="210" t="str">
        <f t="shared" si="23"/>
        <v>2026-10p</v>
      </c>
      <c r="Q82" s="210" t="str">
        <f t="shared" si="23"/>
        <v>2026-11p</v>
      </c>
      <c r="R82" s="210" t="str">
        <f t="shared" si="23"/>
        <v>2026-12p</v>
      </c>
    </row>
    <row r="83" spans="1:25" ht="15.75" customHeight="1">
      <c r="B83" s="637" t="str">
        <f>+Master!G253</f>
        <v>Plan ostvarenja budžeta</v>
      </c>
      <c r="C83" s="638"/>
      <c r="D83" s="638"/>
      <c r="E83" s="638"/>
      <c r="F83" s="638"/>
      <c r="G83" s="614">
        <v>2026</v>
      </c>
      <c r="H83" s="615"/>
      <c r="I83" s="615"/>
      <c r="J83" s="615"/>
      <c r="K83" s="615"/>
      <c r="L83" s="615"/>
      <c r="M83" s="615"/>
      <c r="N83" s="615"/>
      <c r="O83" s="615"/>
      <c r="P83" s="615"/>
      <c r="Q83" s="615"/>
      <c r="R83" s="616"/>
      <c r="S83" s="211" t="str">
        <f>+S7</f>
        <v>BDP</v>
      </c>
      <c r="T83" s="140">
        <f>+T7</f>
        <v>8591200000</v>
      </c>
    </row>
    <row r="84" spans="1:25" ht="15.75" customHeight="1">
      <c r="B84" s="639"/>
      <c r="C84" s="640"/>
      <c r="D84" s="640"/>
      <c r="E84" s="640"/>
      <c r="F84" s="641"/>
      <c r="G84" s="179" t="str">
        <f t="shared" ref="G84:R84" si="24">+G8</f>
        <v>Januar</v>
      </c>
      <c r="H84" s="179" t="str">
        <f t="shared" si="24"/>
        <v>Februar</v>
      </c>
      <c r="I84" s="179" t="str">
        <f t="shared" si="24"/>
        <v>Mart</v>
      </c>
      <c r="J84" s="179" t="str">
        <f t="shared" si="24"/>
        <v>April</v>
      </c>
      <c r="K84" s="179" t="str">
        <f t="shared" si="24"/>
        <v>Maj</v>
      </c>
      <c r="L84" s="179" t="str">
        <f t="shared" si="24"/>
        <v>Jun</v>
      </c>
      <c r="M84" s="179" t="str">
        <f t="shared" si="24"/>
        <v>Jul</v>
      </c>
      <c r="N84" s="179" t="str">
        <f t="shared" si="24"/>
        <v>Avgust</v>
      </c>
      <c r="O84" s="179" t="str">
        <f t="shared" si="24"/>
        <v>Septembar</v>
      </c>
      <c r="P84" s="179" t="str">
        <f t="shared" si="24"/>
        <v>Oktobar</v>
      </c>
      <c r="Q84" s="179" t="str">
        <f t="shared" si="24"/>
        <v>Novembar</v>
      </c>
      <c r="R84" s="179" t="str">
        <f t="shared" si="24"/>
        <v>Decembar</v>
      </c>
      <c r="S84" s="614" t="str">
        <f>+Master!G247</f>
        <v>Jan - Dec</v>
      </c>
      <c r="T84" s="616">
        <f>+T8</f>
        <v>0</v>
      </c>
    </row>
    <row r="85" spans="1:25">
      <c r="B85" s="642"/>
      <c r="C85" s="643"/>
      <c r="D85" s="643"/>
      <c r="E85" s="643"/>
      <c r="F85" s="644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5">
      <c r="A86" s="216" t="str">
        <f t="shared" ref="A86:A134" si="25">+CONCATENATE(A10,"p")</f>
        <v>7p</v>
      </c>
      <c r="B86" s="617" t="str">
        <f>+VLOOKUP(LEFT($A86,LEN(A86)-1)*1,Master!$D$30:$G$226,4,FALSE)</f>
        <v>Prihodi budžeta</v>
      </c>
      <c r="C86" s="618"/>
      <c r="D86" s="618"/>
      <c r="E86" s="618"/>
      <c r="F86" s="618"/>
      <c r="G86" s="388">
        <v>162439252.06999999</v>
      </c>
      <c r="H86" s="388">
        <v>170583961.46000001</v>
      </c>
      <c r="I86" s="388">
        <v>276348555.93194902</v>
      </c>
      <c r="J86" s="388">
        <v>329238762.83095098</v>
      </c>
      <c r="K86" s="388">
        <v>224060640.759505</v>
      </c>
      <c r="L86" s="388">
        <v>248133744.70422801</v>
      </c>
      <c r="M86" s="388">
        <v>277773867.69335401</v>
      </c>
      <c r="N86" s="388">
        <v>296121565.25832802</v>
      </c>
      <c r="O86" s="388">
        <v>287256220.59865201</v>
      </c>
      <c r="P86" s="388">
        <v>281809436.71842599</v>
      </c>
      <c r="Q86" s="388">
        <v>241740215.474796</v>
      </c>
      <c r="R86" s="388">
        <v>288940726.51752299</v>
      </c>
      <c r="S86" s="389">
        <f>+SUM(G86:R86)</f>
        <v>3084446950.0177102</v>
      </c>
      <c r="T86" s="390">
        <f>+S86/$T$83*100</f>
        <v>35.902399548581229</v>
      </c>
      <c r="U86" s="161"/>
    </row>
    <row r="87" spans="1:25">
      <c r="A87" s="216" t="str">
        <f t="shared" si="25"/>
        <v>711p</v>
      </c>
      <c r="B87" s="619" t="str">
        <f>+VLOOKUP(LEFT($A87,LEN(A87)-1)*1,Master!$D$30:$G$226,4,FALSE)</f>
        <v>Porezi</v>
      </c>
      <c r="C87" s="620"/>
      <c r="D87" s="620"/>
      <c r="E87" s="620"/>
      <c r="F87" s="620"/>
      <c r="G87" s="391">
        <v>139086135.41999999</v>
      </c>
      <c r="H87" s="391">
        <v>127958390.95999999</v>
      </c>
      <c r="I87" s="391">
        <v>223279236.30440101</v>
      </c>
      <c r="J87" s="391">
        <v>277228426.813465</v>
      </c>
      <c r="K87" s="391">
        <v>170981069.249167</v>
      </c>
      <c r="L87" s="391">
        <v>188645123.38364601</v>
      </c>
      <c r="M87" s="391">
        <v>215251497.321798</v>
      </c>
      <c r="N87" s="391">
        <v>226687145.46621299</v>
      </c>
      <c r="O87" s="391">
        <v>219262374.173558</v>
      </c>
      <c r="P87" s="391">
        <v>201681860.989777</v>
      </c>
      <c r="Q87" s="391">
        <v>164465338.021795</v>
      </c>
      <c r="R87" s="392">
        <v>202148620.60826001</v>
      </c>
      <c r="S87" s="393">
        <f t="shared" ref="S87:S142" si="26">+SUM(G87:R87)</f>
        <v>2356675218.71208</v>
      </c>
      <c r="T87" s="369">
        <f t="shared" ref="T87:T142" si="27">+S87/$T$83*100</f>
        <v>27.431269423504052</v>
      </c>
      <c r="U87" s="161"/>
    </row>
    <row r="88" spans="1:25">
      <c r="A88" s="216" t="str">
        <f t="shared" si="25"/>
        <v>7111p</v>
      </c>
      <c r="B88" s="621" t="str">
        <f>+VLOOKUP(LEFT($A88,LEN(A88)-1)*1,Master!$D$30:$G$229,4,FALSE)</f>
        <v>Porez na dohodak fizičkih lica</v>
      </c>
      <c r="C88" s="622"/>
      <c r="D88" s="622"/>
      <c r="E88" s="622"/>
      <c r="F88" s="622"/>
      <c r="G88" s="225">
        <v>3145286.23</v>
      </c>
      <c r="H88" s="225">
        <v>7501805.6500000004</v>
      </c>
      <c r="I88" s="225">
        <v>9541593.2978226002</v>
      </c>
      <c r="J88" s="225">
        <v>10315826.050880101</v>
      </c>
      <c r="K88" s="225">
        <v>9770274.8325337097</v>
      </c>
      <c r="L88" s="225">
        <v>10191023.576098001</v>
      </c>
      <c r="M88" s="225">
        <v>9696535.2963352595</v>
      </c>
      <c r="N88" s="225">
        <v>11293978.283702901</v>
      </c>
      <c r="O88" s="225">
        <v>10706229.4621529</v>
      </c>
      <c r="P88" s="225">
        <v>10490086.5402983</v>
      </c>
      <c r="Q88" s="225">
        <v>10736462.915425699</v>
      </c>
      <c r="R88" s="225">
        <v>18508423.7355696</v>
      </c>
      <c r="S88" s="312">
        <f t="shared" si="26"/>
        <v>121897525.870819</v>
      </c>
      <c r="T88" s="329">
        <f t="shared" si="27"/>
        <v>1.4188649533338649</v>
      </c>
      <c r="U88" s="161"/>
    </row>
    <row r="89" spans="1:25">
      <c r="A89" s="216" t="str">
        <f t="shared" si="25"/>
        <v>7112p</v>
      </c>
      <c r="B89" s="621" t="str">
        <f>+VLOOKUP(LEFT($A89,LEN(A89)-1)*1,Master!$D$30:$G$229,4,FALSE)</f>
        <v>Porez na dobit pravnih lica</v>
      </c>
      <c r="C89" s="622"/>
      <c r="D89" s="622"/>
      <c r="E89" s="622"/>
      <c r="F89" s="622"/>
      <c r="G89" s="225">
        <v>2074964.84</v>
      </c>
      <c r="H89" s="225">
        <v>3458155.25</v>
      </c>
      <c r="I89" s="225">
        <v>82413361.451368406</v>
      </c>
      <c r="J89" s="225">
        <v>123410301.130749</v>
      </c>
      <c r="K89" s="225">
        <v>4292333.1561694499</v>
      </c>
      <c r="L89" s="225">
        <v>4586263.5974512296</v>
      </c>
      <c r="M89" s="225">
        <v>4287369.4523842102</v>
      </c>
      <c r="N89" s="225">
        <v>4129340.6792961801</v>
      </c>
      <c r="O89" s="225">
        <v>4675368.6756879296</v>
      </c>
      <c r="P89" s="225">
        <v>3017295.7800836898</v>
      </c>
      <c r="Q89" s="225">
        <v>4273210.9535694802</v>
      </c>
      <c r="R89" s="225">
        <v>3063149.0788004398</v>
      </c>
      <c r="S89" s="312">
        <f t="shared" si="26"/>
        <v>243681114.04556</v>
      </c>
      <c r="T89" s="329">
        <f t="shared" si="27"/>
        <v>2.8364036926804168</v>
      </c>
      <c r="U89" s="161"/>
    </row>
    <row r="90" spans="1:25">
      <c r="A90" s="216" t="str">
        <f t="shared" si="25"/>
        <v>7113p</v>
      </c>
      <c r="B90" s="621" t="str">
        <f>+VLOOKUP(LEFT($A90,LEN(A90)-1)*1,Master!$D$30:$G$229,4,FALSE)</f>
        <v>Porez na promet nepokretnosti</v>
      </c>
      <c r="C90" s="622"/>
      <c r="D90" s="622"/>
      <c r="E90" s="622"/>
      <c r="F90" s="622"/>
      <c r="G90" s="225">
        <v>0</v>
      </c>
      <c r="H90" s="225">
        <v>0</v>
      </c>
      <c r="I90" s="225">
        <v>0</v>
      </c>
      <c r="J90" s="225">
        <v>0</v>
      </c>
      <c r="K90" s="225">
        <v>0</v>
      </c>
      <c r="L90" s="225">
        <v>0</v>
      </c>
      <c r="M90" s="225">
        <v>0</v>
      </c>
      <c r="N90" s="225">
        <v>0</v>
      </c>
      <c r="O90" s="225">
        <v>0</v>
      </c>
      <c r="P90" s="225">
        <v>0</v>
      </c>
      <c r="Q90" s="225">
        <v>0</v>
      </c>
      <c r="R90" s="225">
        <v>0</v>
      </c>
      <c r="S90" s="312">
        <f t="shared" si="26"/>
        <v>0</v>
      </c>
      <c r="T90" s="329">
        <f t="shared" si="27"/>
        <v>0</v>
      </c>
      <c r="U90" s="161"/>
    </row>
    <row r="91" spans="1:25">
      <c r="A91" s="216" t="str">
        <f t="shared" si="25"/>
        <v>7114p</v>
      </c>
      <c r="B91" s="621" t="str">
        <f>+VLOOKUP(LEFT($A91,LEN(A91)-1)*1,Master!$D$30:$G$229,4,FALSE)</f>
        <v>Porez na dodatu vrijednost</v>
      </c>
      <c r="C91" s="622"/>
      <c r="D91" s="622"/>
      <c r="E91" s="622"/>
      <c r="F91" s="622"/>
      <c r="G91" s="225">
        <v>103563259.63</v>
      </c>
      <c r="H91" s="225">
        <v>85906011.700000003</v>
      </c>
      <c r="I91" s="225">
        <v>100722981.744941</v>
      </c>
      <c r="J91" s="225">
        <v>102894956.134937</v>
      </c>
      <c r="K91" s="225">
        <v>115364478.182895</v>
      </c>
      <c r="L91" s="225">
        <v>127631724.624283</v>
      </c>
      <c r="M91" s="225">
        <v>144867442.251367</v>
      </c>
      <c r="N91" s="225">
        <v>153328125.541587</v>
      </c>
      <c r="O91" s="225">
        <v>153903199.46410099</v>
      </c>
      <c r="P91" s="225">
        <v>139835606.86198401</v>
      </c>
      <c r="Q91" s="225">
        <v>110762381.97762799</v>
      </c>
      <c r="R91" s="225">
        <v>135480231.886278</v>
      </c>
      <c r="S91" s="312">
        <f t="shared" si="26"/>
        <v>1474260400</v>
      </c>
      <c r="T91" s="329">
        <f t="shared" si="27"/>
        <v>17.160121985287272</v>
      </c>
      <c r="U91" s="161"/>
    </row>
    <row r="92" spans="1:25">
      <c r="A92" s="216" t="str">
        <f t="shared" si="25"/>
        <v>7115p</v>
      </c>
      <c r="B92" s="621" t="str">
        <f>+VLOOKUP(LEFT($A92,LEN(A92)-1)*1,Master!$D$30:$G$229,4,FALSE)</f>
        <v>Akcize</v>
      </c>
      <c r="C92" s="622"/>
      <c r="D92" s="622"/>
      <c r="E92" s="622"/>
      <c r="F92" s="622"/>
      <c r="G92" s="225">
        <v>25853560.699999999</v>
      </c>
      <c r="H92" s="225">
        <v>25782205.390000001</v>
      </c>
      <c r="I92" s="225">
        <v>23470631.970260199</v>
      </c>
      <c r="J92" s="225">
        <v>33290334.5724907</v>
      </c>
      <c r="K92" s="225">
        <v>34046096.654275097</v>
      </c>
      <c r="L92" s="225">
        <v>38245709.919014901</v>
      </c>
      <c r="M92" s="225">
        <v>47873590.9599071</v>
      </c>
      <c r="N92" s="225">
        <v>49503814.562137499</v>
      </c>
      <c r="O92" s="225">
        <v>41937531.480353199</v>
      </c>
      <c r="P92" s="225">
        <v>41057620.817843899</v>
      </c>
      <c r="Q92" s="225">
        <v>30854275.092936799</v>
      </c>
      <c r="R92" s="225">
        <v>37384627.880780697</v>
      </c>
      <c r="S92" s="312">
        <f t="shared" si="26"/>
        <v>429300000</v>
      </c>
      <c r="T92" s="329">
        <f t="shared" si="27"/>
        <v>4.996973647453208</v>
      </c>
      <c r="U92" s="161"/>
      <c r="W92" s="224"/>
      <c r="X92" s="224"/>
      <c r="Y92" s="224"/>
    </row>
    <row r="93" spans="1:25">
      <c r="A93" s="216" t="str">
        <f t="shared" si="25"/>
        <v>7116p</v>
      </c>
      <c r="B93" s="621" t="str">
        <f>+VLOOKUP(LEFT($A93,LEN(A93)-1)*1,Master!$D$30:$G$229,4,FALSE)</f>
        <v>Porez na međunarodnu trgovinu i transakcije</v>
      </c>
      <c r="C93" s="622"/>
      <c r="D93" s="622"/>
      <c r="E93" s="622"/>
      <c r="F93" s="622"/>
      <c r="G93" s="225">
        <v>3336289.84</v>
      </c>
      <c r="H93" s="225">
        <v>4197843.17</v>
      </c>
      <c r="I93" s="225">
        <v>5730378.2462336104</v>
      </c>
      <c r="J93" s="225">
        <v>5521131.0428255098</v>
      </c>
      <c r="K93" s="225">
        <v>5863712.9453033004</v>
      </c>
      <c r="L93" s="225">
        <v>6550569.48503034</v>
      </c>
      <c r="M93" s="225">
        <v>6897318.1238761302</v>
      </c>
      <c r="N93" s="225">
        <v>6998831.4851978496</v>
      </c>
      <c r="O93" s="225">
        <v>6493627.6115585295</v>
      </c>
      <c r="P93" s="225">
        <v>5907364.0405404903</v>
      </c>
      <c r="Q93" s="225">
        <v>6475650.7942183102</v>
      </c>
      <c r="R93" s="225">
        <v>6457486.3824559199</v>
      </c>
      <c r="S93" s="312">
        <f t="shared" si="26"/>
        <v>70430203.167239994</v>
      </c>
      <c r="T93" s="329">
        <f t="shared" si="27"/>
        <v>0.81979471048561314</v>
      </c>
      <c r="U93" s="161"/>
    </row>
    <row r="94" spans="1:25">
      <c r="A94" s="216" t="str">
        <f t="shared" si="25"/>
        <v>7118p</v>
      </c>
      <c r="B94" s="621" t="str">
        <f>+VLOOKUP(LEFT($A94,LEN(A94)-1)*1,Master!$D$30:$G$229,4,FALSE)</f>
        <v>Ostali državni porezi</v>
      </c>
      <c r="C94" s="622"/>
      <c r="D94" s="622"/>
      <c r="E94" s="622"/>
      <c r="F94" s="622"/>
      <c r="G94" s="225">
        <v>1112774.18</v>
      </c>
      <c r="H94" s="225">
        <v>1112369.8</v>
      </c>
      <c r="I94" s="225">
        <v>1400289.5937747101</v>
      </c>
      <c r="J94" s="225">
        <v>1795877.88158293</v>
      </c>
      <c r="K94" s="225">
        <v>1644173.4779906201</v>
      </c>
      <c r="L94" s="225">
        <v>1439832.1817687</v>
      </c>
      <c r="M94" s="225">
        <v>1629241.23792853</v>
      </c>
      <c r="N94" s="225">
        <v>1433054.91429144</v>
      </c>
      <c r="O94" s="225">
        <v>1546417.4797046201</v>
      </c>
      <c r="P94" s="225">
        <v>1373886.9490264</v>
      </c>
      <c r="Q94" s="225">
        <v>1363356.2880166401</v>
      </c>
      <c r="R94" s="225">
        <v>1254701.6443754199</v>
      </c>
      <c r="S94" s="312">
        <f t="shared" si="26"/>
        <v>17105975.628460001</v>
      </c>
      <c r="T94" s="329">
        <f t="shared" si="27"/>
        <v>0.19911043426366518</v>
      </c>
      <c r="U94" s="161"/>
    </row>
    <row r="95" spans="1:25">
      <c r="A95" s="216" t="str">
        <f t="shared" si="25"/>
        <v>712p</v>
      </c>
      <c r="B95" s="623" t="str">
        <f>+VLOOKUP(LEFT($A95,LEN(A95)-1)*1,Master!$D$30:$G$229,4,FALSE)</f>
        <v>Doprinosi</v>
      </c>
      <c r="C95" s="624"/>
      <c r="D95" s="624"/>
      <c r="E95" s="624"/>
      <c r="F95" s="624"/>
      <c r="G95" s="394">
        <v>15040242.18</v>
      </c>
      <c r="H95" s="394">
        <v>33912527.130000003</v>
      </c>
      <c r="I95" s="395">
        <v>38122272.682000197</v>
      </c>
      <c r="J95" s="394">
        <v>36861095.016813301</v>
      </c>
      <c r="K95" s="394">
        <v>37091014.324559398</v>
      </c>
      <c r="L95" s="394">
        <v>39896957.696693704</v>
      </c>
      <c r="M95" s="394">
        <v>40629272.597245097</v>
      </c>
      <c r="N95" s="394">
        <v>39218224.569931701</v>
      </c>
      <c r="O95" s="394">
        <v>36622021.814950503</v>
      </c>
      <c r="P95" s="394">
        <v>35022993.184191003</v>
      </c>
      <c r="Q95" s="394">
        <v>35368438.116964899</v>
      </c>
      <c r="R95" s="396">
        <v>68185676.293503106</v>
      </c>
      <c r="S95" s="397">
        <f t="shared" si="26"/>
        <v>455970735.60685301</v>
      </c>
      <c r="T95" s="372">
        <f t="shared" si="27"/>
        <v>5.307416142178659</v>
      </c>
      <c r="U95" s="161"/>
    </row>
    <row r="96" spans="1:25">
      <c r="A96" s="216" t="str">
        <f t="shared" si="25"/>
        <v>7121p</v>
      </c>
      <c r="B96" s="621" t="str">
        <f>+VLOOKUP(LEFT($A96,LEN(A96)-1)*1,Master!$D$30:$G$229,4,FALSE)</f>
        <v>Doprinosi za penzijsko i invalidsko osiguranje</v>
      </c>
      <c r="C96" s="622"/>
      <c r="D96" s="622"/>
      <c r="E96" s="622"/>
      <c r="F96" s="622"/>
      <c r="G96" s="225">
        <v>13458517.189999999</v>
      </c>
      <c r="H96" s="225">
        <v>30119156.719999999</v>
      </c>
      <c r="I96" s="225">
        <v>33834822.4295329</v>
      </c>
      <c r="J96" s="225">
        <v>32746003.592248801</v>
      </c>
      <c r="K96" s="225">
        <v>33109848.239316002</v>
      </c>
      <c r="L96" s="225">
        <v>34920317.3825588</v>
      </c>
      <c r="M96" s="225">
        <v>35774561.025258496</v>
      </c>
      <c r="N96" s="225">
        <v>33896336.875690699</v>
      </c>
      <c r="O96" s="225">
        <v>32049537.889377501</v>
      </c>
      <c r="P96" s="225">
        <v>30202378.3312333</v>
      </c>
      <c r="Q96" s="225">
        <v>30955042.544447199</v>
      </c>
      <c r="R96" s="225">
        <v>58664964.388529301</v>
      </c>
      <c r="S96" s="312">
        <f t="shared" si="26"/>
        <v>399731486.60819298</v>
      </c>
      <c r="T96" s="329">
        <f t="shared" si="27"/>
        <v>4.6528015481910909</v>
      </c>
      <c r="U96" s="161"/>
      <c r="V96" s="172"/>
    </row>
    <row r="97" spans="1:22">
      <c r="A97" s="216" t="str">
        <f t="shared" si="25"/>
        <v>7122p</v>
      </c>
      <c r="B97" s="621" t="str">
        <f>+VLOOKUP(LEFT($A97,LEN(A97)-1)*1,Master!$D$30:$G$229,4,FALSE)</f>
        <v>Doprinosi za zdravstveno osiguranje</v>
      </c>
      <c r="C97" s="622"/>
      <c r="D97" s="622"/>
      <c r="E97" s="622"/>
      <c r="F97" s="622"/>
      <c r="G97" s="225">
        <v>123789.09</v>
      </c>
      <c r="H97" s="225">
        <v>203327.02</v>
      </c>
      <c r="I97" s="225">
        <v>416686.55694442999</v>
      </c>
      <c r="J97" s="225">
        <v>416686.55694442999</v>
      </c>
      <c r="K97" s="225">
        <v>487585.36413836299</v>
      </c>
      <c r="L97" s="225">
        <v>504633.101966571</v>
      </c>
      <c r="M97" s="225">
        <v>504633.101966571</v>
      </c>
      <c r="N97" s="225">
        <v>504633.101966571</v>
      </c>
      <c r="O97" s="225">
        <v>504633.101966571</v>
      </c>
      <c r="P97" s="225">
        <v>416686.55694442999</v>
      </c>
      <c r="Q97" s="225">
        <v>416686.55694442999</v>
      </c>
      <c r="R97" s="225">
        <v>500019.89021763398</v>
      </c>
      <c r="S97" s="312">
        <f t="shared" si="26"/>
        <v>5000000</v>
      </c>
      <c r="T97" s="329">
        <f t="shared" si="27"/>
        <v>5.8199087438308969E-2</v>
      </c>
      <c r="U97" s="161"/>
    </row>
    <row r="98" spans="1:22">
      <c r="A98" s="216" t="str">
        <f t="shared" si="25"/>
        <v>7123p</v>
      </c>
      <c r="B98" s="621" t="str">
        <f>+VLOOKUP(LEFT($A98,LEN(A98)-1)*1,Master!$D$30:$G$229,4,FALSE)</f>
        <v>Doprinosi za osiguranje od nezaposlenosti</v>
      </c>
      <c r="C98" s="622"/>
      <c r="D98" s="622"/>
      <c r="E98" s="622"/>
      <c r="F98" s="622"/>
      <c r="G98" s="225">
        <v>861006.73</v>
      </c>
      <c r="H98" s="225">
        <v>2061091.27</v>
      </c>
      <c r="I98" s="225">
        <v>2071452.0414873699</v>
      </c>
      <c r="J98" s="225">
        <v>2128817.7120255898</v>
      </c>
      <c r="K98" s="225">
        <v>1888051.0833145599</v>
      </c>
      <c r="L98" s="225">
        <v>2563934.2497231402</v>
      </c>
      <c r="M98" s="225">
        <v>2377617.3305636202</v>
      </c>
      <c r="N98" s="225">
        <v>2895542.50080133</v>
      </c>
      <c r="O98" s="225">
        <v>2597255.7287014499</v>
      </c>
      <c r="P98" s="225">
        <v>2537017.2737152302</v>
      </c>
      <c r="Q98" s="225">
        <v>2405912.9660101701</v>
      </c>
      <c r="R98" s="225">
        <v>5420141.1176091302</v>
      </c>
      <c r="S98" s="312">
        <f t="shared" si="26"/>
        <v>29807840.003951602</v>
      </c>
      <c r="T98" s="329">
        <f t="shared" si="27"/>
        <v>0.34695781734742065</v>
      </c>
      <c r="U98" s="161"/>
    </row>
    <row r="99" spans="1:22">
      <c r="A99" s="216" t="str">
        <f t="shared" si="25"/>
        <v>7124p</v>
      </c>
      <c r="B99" s="621" t="str">
        <f>+VLOOKUP(LEFT($A99,LEN(A99)-1)*1,Master!$D$30:$G$229,4,FALSE)</f>
        <v>Ostali doprinosi</v>
      </c>
      <c r="C99" s="622"/>
      <c r="D99" s="622"/>
      <c r="E99" s="622"/>
      <c r="F99" s="622"/>
      <c r="G99" s="225">
        <v>596929.17000000004</v>
      </c>
      <c r="H99" s="225">
        <v>1528952.12</v>
      </c>
      <c r="I99" s="225">
        <v>1799311.65403549</v>
      </c>
      <c r="J99" s="225">
        <v>1569587.15559446</v>
      </c>
      <c r="K99" s="225">
        <v>1605529.6377904799</v>
      </c>
      <c r="L99" s="225">
        <v>1908072.96244524</v>
      </c>
      <c r="M99" s="225">
        <v>1972461.1394564901</v>
      </c>
      <c r="N99" s="225">
        <v>1921712.09147308</v>
      </c>
      <c r="O99" s="225">
        <v>1470595.0949049699</v>
      </c>
      <c r="P99" s="225">
        <v>1866911.0222980501</v>
      </c>
      <c r="Q99" s="225">
        <v>1590796.04956304</v>
      </c>
      <c r="R99" s="225">
        <v>3600550.8971470399</v>
      </c>
      <c r="S99" s="312">
        <f t="shared" si="26"/>
        <v>21431408.9947083</v>
      </c>
      <c r="T99" s="329">
        <f t="shared" si="27"/>
        <v>0.24945768920183795</v>
      </c>
      <c r="U99" s="161"/>
    </row>
    <row r="100" spans="1:22">
      <c r="A100" s="216" t="str">
        <f t="shared" si="25"/>
        <v>713p</v>
      </c>
      <c r="B100" s="623" t="str">
        <f>+VLOOKUP(LEFT($A100,LEN(A100)-1)*1,Master!$D$30:$G$229,4,FALSE)</f>
        <v>Takse</v>
      </c>
      <c r="C100" s="624"/>
      <c r="D100" s="624"/>
      <c r="E100" s="624"/>
      <c r="F100" s="624"/>
      <c r="G100" s="398">
        <v>760921.56</v>
      </c>
      <c r="H100" s="398">
        <v>871357.06</v>
      </c>
      <c r="I100" s="398">
        <v>1354982.50739127</v>
      </c>
      <c r="J100" s="398">
        <v>1548621.4762265999</v>
      </c>
      <c r="K100" s="398">
        <v>1311753.8035919101</v>
      </c>
      <c r="L100" s="398">
        <v>1734866.30618948</v>
      </c>
      <c r="M100" s="398">
        <v>2463110.4127808702</v>
      </c>
      <c r="N100" s="398">
        <v>2721558.4807797801</v>
      </c>
      <c r="O100" s="398">
        <v>2283008.9060167298</v>
      </c>
      <c r="P100" s="398">
        <v>1623110.0924871</v>
      </c>
      <c r="Q100" s="398">
        <v>1410485.8526485199</v>
      </c>
      <c r="R100" s="398">
        <v>1874908.2177277301</v>
      </c>
      <c r="S100" s="397">
        <f t="shared" si="26"/>
        <v>19958684.675840002</v>
      </c>
      <c r="T100" s="372">
        <f t="shared" si="27"/>
        <v>0.23231544692056991</v>
      </c>
      <c r="U100" s="161"/>
    </row>
    <row r="101" spans="1:22">
      <c r="A101" s="216" t="str">
        <f t="shared" si="25"/>
        <v>714p</v>
      </c>
      <c r="B101" s="623" t="str">
        <f>+VLOOKUP(LEFT($A101,LEN(A101)-1)*1,Master!$D$30:$G$229,4,FALSE)</f>
        <v>Naknade</v>
      </c>
      <c r="C101" s="624"/>
      <c r="D101" s="624"/>
      <c r="E101" s="624"/>
      <c r="F101" s="624"/>
      <c r="G101" s="398">
        <v>5754526.1699999999</v>
      </c>
      <c r="H101" s="398">
        <v>4706927.32</v>
      </c>
      <c r="I101" s="398">
        <v>6367290.5879893601</v>
      </c>
      <c r="J101" s="398">
        <v>6077852.12086784</v>
      </c>
      <c r="K101" s="398">
        <v>6136852.7056416804</v>
      </c>
      <c r="L101" s="398">
        <v>7726495.7396486197</v>
      </c>
      <c r="M101" s="398">
        <v>7874071.2225498296</v>
      </c>
      <c r="N101" s="398">
        <v>7683242.1843613004</v>
      </c>
      <c r="O101" s="398">
        <v>8234896.4815741004</v>
      </c>
      <c r="P101" s="398">
        <v>6739804.59016746</v>
      </c>
      <c r="Q101" s="398">
        <v>6923870.80995405</v>
      </c>
      <c r="R101" s="398">
        <v>7624499.4761657501</v>
      </c>
      <c r="S101" s="397">
        <f t="shared" si="26"/>
        <v>81850329.408920005</v>
      </c>
      <c r="T101" s="372">
        <f t="shared" si="27"/>
        <v>0.95272289562482548</v>
      </c>
      <c r="U101" s="161"/>
    </row>
    <row r="102" spans="1:22">
      <c r="A102" s="216" t="str">
        <f t="shared" si="25"/>
        <v>715p</v>
      </c>
      <c r="B102" s="623" t="str">
        <f>+VLOOKUP(LEFT($A102,LEN(A102)-1)*1,Master!$D$30:$G$229,4,FALSE)</f>
        <v>Ostali prihodi</v>
      </c>
      <c r="C102" s="624"/>
      <c r="D102" s="624"/>
      <c r="E102" s="624"/>
      <c r="F102" s="624"/>
      <c r="G102" s="398">
        <v>1797426.74</v>
      </c>
      <c r="H102" s="398">
        <v>2003809.92</v>
      </c>
      <c r="I102" s="398">
        <v>4224773.8501678901</v>
      </c>
      <c r="J102" s="398">
        <v>4369058.0058000004</v>
      </c>
      <c r="K102" s="398">
        <v>4886241.2787668398</v>
      </c>
      <c r="L102" s="398">
        <v>5509329.4477721602</v>
      </c>
      <c r="M102" s="398">
        <v>5384944.0087026199</v>
      </c>
      <c r="N102" s="398">
        <v>9940422.4267649893</v>
      </c>
      <c r="O102" s="398">
        <v>7732947.0922748102</v>
      </c>
      <c r="P102" s="398">
        <v>7587958.4640256204</v>
      </c>
      <c r="Q102" s="398">
        <v>5418373.2756561702</v>
      </c>
      <c r="R102" s="398">
        <v>5936697.1040888904</v>
      </c>
      <c r="S102" s="397">
        <f t="shared" si="26"/>
        <v>64791981.614019997</v>
      </c>
      <c r="T102" s="372">
        <f t="shared" si="27"/>
        <v>0.75416684065113138</v>
      </c>
      <c r="U102" s="161"/>
    </row>
    <row r="103" spans="1:22">
      <c r="A103" s="216" t="str">
        <f t="shared" si="25"/>
        <v>73p</v>
      </c>
      <c r="B103" s="623" t="str">
        <f>+VLOOKUP(LEFT($A103,LEN(A103)-1)*1,Master!$D$30:$G$229,4,FALSE)</f>
        <v>Primici od otplate kredita i sredstva prenesena iz prethodne godine</v>
      </c>
      <c r="C103" s="624"/>
      <c r="D103" s="624"/>
      <c r="E103" s="624"/>
      <c r="F103" s="624"/>
      <c r="G103" s="398">
        <v>0</v>
      </c>
      <c r="H103" s="398">
        <v>0</v>
      </c>
      <c r="I103" s="398">
        <v>0</v>
      </c>
      <c r="J103" s="398">
        <v>0</v>
      </c>
      <c r="K103" s="398">
        <v>0</v>
      </c>
      <c r="L103" s="398">
        <v>0</v>
      </c>
      <c r="M103" s="398">
        <v>0</v>
      </c>
      <c r="N103" s="398">
        <v>0</v>
      </c>
      <c r="O103" s="398">
        <v>0</v>
      </c>
      <c r="P103" s="398">
        <v>0</v>
      </c>
      <c r="Q103" s="398">
        <v>0</v>
      </c>
      <c r="R103" s="398">
        <v>0</v>
      </c>
      <c r="S103" s="397">
        <f t="shared" si="26"/>
        <v>0</v>
      </c>
      <c r="T103" s="372">
        <f t="shared" si="27"/>
        <v>0</v>
      </c>
      <c r="U103" s="161"/>
      <c r="V103" s="172"/>
    </row>
    <row r="104" spans="1:22">
      <c r="A104" s="216" t="str">
        <f t="shared" si="25"/>
        <v>74p</v>
      </c>
      <c r="B104" s="625" t="str">
        <f>+VLOOKUP(LEFT($A104,LEN(A104)-1)*1,Master!$D$30:$G$229,4,FALSE)</f>
        <v>Donacije i transferi</v>
      </c>
      <c r="C104" s="626"/>
      <c r="D104" s="626"/>
      <c r="E104" s="626"/>
      <c r="F104" s="626"/>
      <c r="G104" s="398">
        <v>0</v>
      </c>
      <c r="H104" s="398">
        <v>1130949.07</v>
      </c>
      <c r="I104" s="398">
        <v>3000000</v>
      </c>
      <c r="J104" s="398">
        <v>3153709.39777778</v>
      </c>
      <c r="K104" s="398">
        <v>3653709.39777778</v>
      </c>
      <c r="L104" s="398">
        <v>4620972.1302777799</v>
      </c>
      <c r="M104" s="398">
        <v>6170972.1302777799</v>
      </c>
      <c r="N104" s="398">
        <v>9870972.1302777808</v>
      </c>
      <c r="O104" s="398">
        <v>13120972.130277799</v>
      </c>
      <c r="P104" s="398">
        <v>29153709.3977778</v>
      </c>
      <c r="Q104" s="398">
        <v>28153709.3977778</v>
      </c>
      <c r="R104" s="398">
        <v>3170324.8177777799</v>
      </c>
      <c r="S104" s="399">
        <f t="shared" si="26"/>
        <v>105200000</v>
      </c>
      <c r="T104" s="374">
        <f t="shared" si="27"/>
        <v>1.2245087997020205</v>
      </c>
      <c r="U104" s="161"/>
    </row>
    <row r="105" spans="1:22">
      <c r="A105" s="216" t="str">
        <f t="shared" si="25"/>
        <v>4p</v>
      </c>
      <c r="B105" s="617" t="str">
        <f>+VLOOKUP(LEFT($A105,LEN(A105)-1)*1,Master!$D$30:$G$229,4,FALSE)</f>
        <v>Izdaci budžeta</v>
      </c>
      <c r="C105" s="618"/>
      <c r="D105" s="618"/>
      <c r="E105" s="618"/>
      <c r="F105" s="618"/>
      <c r="G105" s="400">
        <v>276075862.74000001</v>
      </c>
      <c r="H105" s="400">
        <v>250900172.53</v>
      </c>
      <c r="I105" s="400">
        <v>302853997.67000002</v>
      </c>
      <c r="J105" s="400">
        <v>311206838.67000002</v>
      </c>
      <c r="K105" s="400">
        <v>249184399.53999999</v>
      </c>
      <c r="L105" s="400">
        <v>276627750.10000002</v>
      </c>
      <c r="M105" s="400">
        <v>263410795.75999999</v>
      </c>
      <c r="N105" s="400">
        <v>245921480.15000001</v>
      </c>
      <c r="O105" s="400">
        <v>276928365.88999999</v>
      </c>
      <c r="P105" s="400">
        <v>276908966.93000001</v>
      </c>
      <c r="Q105" s="400">
        <v>263195197.97999999</v>
      </c>
      <c r="R105" s="400">
        <v>369575528.01999998</v>
      </c>
      <c r="S105" s="401">
        <f t="shared" si="26"/>
        <v>3362789355.98</v>
      </c>
      <c r="T105" s="402">
        <f t="shared" si="27"/>
        <v>39.142254353058945</v>
      </c>
      <c r="U105" s="161"/>
    </row>
    <row r="106" spans="1:22">
      <c r="A106" s="216" t="str">
        <f t="shared" si="25"/>
        <v>41p</v>
      </c>
      <c r="B106" s="627" t="str">
        <f>+VLOOKUP(LEFT($A106,LEN(A106)-1)*1,Master!$D$30:$G$229,4,FALSE)</f>
        <v>Tekući izdaci</v>
      </c>
      <c r="C106" s="628"/>
      <c r="D106" s="628"/>
      <c r="E106" s="628"/>
      <c r="F106" s="628"/>
      <c r="G106" s="403">
        <v>102776834.81</v>
      </c>
      <c r="H106" s="403">
        <v>87897023.549999997</v>
      </c>
      <c r="I106" s="403">
        <v>114671179.70999999</v>
      </c>
      <c r="J106" s="403">
        <v>142348016.90000001</v>
      </c>
      <c r="K106" s="403">
        <v>89858775.299999997</v>
      </c>
      <c r="L106" s="403">
        <v>107068525.90000001</v>
      </c>
      <c r="M106" s="403">
        <v>97552258.629999995</v>
      </c>
      <c r="N106" s="403">
        <v>87486989.739999995</v>
      </c>
      <c r="O106" s="403">
        <v>110961329.31</v>
      </c>
      <c r="P106" s="403">
        <v>112682764.51000001</v>
      </c>
      <c r="Q106" s="403">
        <v>102259218.45</v>
      </c>
      <c r="R106" s="404">
        <v>163373965.94</v>
      </c>
      <c r="S106" s="393">
        <f t="shared" si="26"/>
        <v>1318936882.75</v>
      </c>
      <c r="T106" s="369">
        <f t="shared" si="27"/>
        <v>15.352184592955581</v>
      </c>
      <c r="U106" s="161"/>
      <c r="V106" s="173"/>
    </row>
    <row r="107" spans="1:22">
      <c r="A107" s="216" t="str">
        <f t="shared" si="25"/>
        <v>411p</v>
      </c>
      <c r="B107" s="621" t="str">
        <f>+VLOOKUP(LEFT($A107,LEN(A107)-1)*1,Master!$D$30:$G$229,4,FALSE)</f>
        <v>Bruto zarade i doprinosi na teret poslodavca</v>
      </c>
      <c r="C107" s="622"/>
      <c r="D107" s="622"/>
      <c r="E107" s="622"/>
      <c r="F107" s="622"/>
      <c r="G107" s="225">
        <v>61335676.670000002</v>
      </c>
      <c r="H107" s="225">
        <v>60338786.140000001</v>
      </c>
      <c r="I107" s="225">
        <v>59643227.719999999</v>
      </c>
      <c r="J107" s="225">
        <v>61081392.299999997</v>
      </c>
      <c r="K107" s="225">
        <v>61168112.759999998</v>
      </c>
      <c r="L107" s="225">
        <v>61088492.890000001</v>
      </c>
      <c r="M107" s="225">
        <v>59297634.670000002</v>
      </c>
      <c r="N107" s="225">
        <v>59157272.020000003</v>
      </c>
      <c r="O107" s="225">
        <v>59056810.899999999</v>
      </c>
      <c r="P107" s="225">
        <v>61312146.840000004</v>
      </c>
      <c r="Q107" s="225">
        <v>60769871.939999998</v>
      </c>
      <c r="R107" s="225">
        <v>62820007.07</v>
      </c>
      <c r="S107" s="312">
        <f t="shared" si="26"/>
        <v>727069431.91999996</v>
      </c>
      <c r="T107" s="329">
        <f t="shared" si="27"/>
        <v>8.4629554884067417</v>
      </c>
      <c r="U107" s="161"/>
    </row>
    <row r="108" spans="1:22">
      <c r="A108" s="216" t="str">
        <f t="shared" si="25"/>
        <v>412p</v>
      </c>
      <c r="B108" s="621" t="str">
        <f>+VLOOKUP(LEFT($A108,LEN(A108)-1)*1,Master!$D$30:$G$229,4,FALSE)</f>
        <v>Ostala lična primanja</v>
      </c>
      <c r="C108" s="622"/>
      <c r="D108" s="622"/>
      <c r="E108" s="622"/>
      <c r="F108" s="622"/>
      <c r="G108" s="225">
        <v>2094592.7</v>
      </c>
      <c r="H108" s="225">
        <v>2029525.09</v>
      </c>
      <c r="I108" s="225">
        <v>1916284.21</v>
      </c>
      <c r="J108" s="225">
        <v>2163621.52</v>
      </c>
      <c r="K108" s="225">
        <v>1672828.36</v>
      </c>
      <c r="L108" s="225">
        <v>2228933.4700000002</v>
      </c>
      <c r="M108" s="225">
        <v>1714336.76</v>
      </c>
      <c r="N108" s="225">
        <v>2286449.77</v>
      </c>
      <c r="O108" s="225">
        <v>1824872.4</v>
      </c>
      <c r="P108" s="225">
        <v>2313526.85</v>
      </c>
      <c r="Q108" s="225">
        <v>1891601.03</v>
      </c>
      <c r="R108" s="225">
        <v>3567819.95</v>
      </c>
      <c r="S108" s="312">
        <f t="shared" si="26"/>
        <v>25704392.109999999</v>
      </c>
      <c r="T108" s="329">
        <f t="shared" si="27"/>
        <v>0.29919443279169383</v>
      </c>
      <c r="U108" s="161"/>
    </row>
    <row r="109" spans="1:22">
      <c r="A109" s="216" t="str">
        <f t="shared" si="25"/>
        <v>413p</v>
      </c>
      <c r="B109" s="621" t="str">
        <f>+VLOOKUP(LEFT($A109,LEN(A109)-1)*1,Master!$D$30:$G$229,4,FALSE)</f>
        <v>Rashodi za materijal</v>
      </c>
      <c r="C109" s="622"/>
      <c r="D109" s="622"/>
      <c r="E109" s="622"/>
      <c r="F109" s="622"/>
      <c r="G109" s="225">
        <v>3343160.9999999902</v>
      </c>
      <c r="H109" s="225">
        <v>2915408.51</v>
      </c>
      <c r="I109" s="225">
        <v>4435898.1900000004</v>
      </c>
      <c r="J109" s="225">
        <v>3649908.79</v>
      </c>
      <c r="K109" s="225">
        <v>2637559.5699999998</v>
      </c>
      <c r="L109" s="225">
        <v>2849980.95</v>
      </c>
      <c r="M109" s="225">
        <v>2815956.97</v>
      </c>
      <c r="N109" s="225">
        <v>3502005.26</v>
      </c>
      <c r="O109" s="225">
        <v>5407318.0700000003</v>
      </c>
      <c r="P109" s="225">
        <v>2715025.4</v>
      </c>
      <c r="Q109" s="225">
        <v>4813266.97</v>
      </c>
      <c r="R109" s="225">
        <v>7409660.3300000001</v>
      </c>
      <c r="S109" s="312">
        <f t="shared" si="26"/>
        <v>46495150.009999998</v>
      </c>
      <c r="T109" s="329">
        <f t="shared" si="27"/>
        <v>0.54119506017785646</v>
      </c>
      <c r="U109" s="161"/>
    </row>
    <row r="110" spans="1:22">
      <c r="A110" s="216" t="str">
        <f t="shared" si="25"/>
        <v>414p</v>
      </c>
      <c r="B110" s="621" t="str">
        <f>+VLOOKUP(LEFT($A110,LEN(A110)-1)*1,Master!$D$30:$G$229,4,FALSE)</f>
        <v>Rashodi za usluge</v>
      </c>
      <c r="C110" s="622"/>
      <c r="D110" s="622"/>
      <c r="E110" s="622"/>
      <c r="F110" s="622"/>
      <c r="G110" s="225">
        <v>8791509.0600000098</v>
      </c>
      <c r="H110" s="225">
        <v>8162413.4300000099</v>
      </c>
      <c r="I110" s="225">
        <v>7824529.6200000104</v>
      </c>
      <c r="J110" s="225">
        <v>9044266.9000000097</v>
      </c>
      <c r="K110" s="225">
        <v>7831672.01000001</v>
      </c>
      <c r="L110" s="225">
        <v>8588369.4400000107</v>
      </c>
      <c r="M110" s="225">
        <v>8352515.7300000098</v>
      </c>
      <c r="N110" s="225">
        <v>6852235.6300000101</v>
      </c>
      <c r="O110" s="225">
        <v>8321058.8100000098</v>
      </c>
      <c r="P110" s="225">
        <v>8251727.6900000097</v>
      </c>
      <c r="Q110" s="225">
        <v>7898547.76000001</v>
      </c>
      <c r="R110" s="225">
        <v>17267347.739999998</v>
      </c>
      <c r="S110" s="312">
        <f t="shared" si="26"/>
        <v>107186193.81999999</v>
      </c>
      <c r="T110" s="329">
        <f t="shared" si="27"/>
        <v>1.2476277332619423</v>
      </c>
      <c r="U110" s="161"/>
    </row>
    <row r="111" spans="1:22">
      <c r="A111" s="216" t="str">
        <f t="shared" si="25"/>
        <v>415p</v>
      </c>
      <c r="B111" s="621" t="str">
        <f>+VLOOKUP(LEFT($A111,LEN(A111)-1)*1,Master!$D$30:$G$229,4,FALSE)</f>
        <v>Rashodi za tekuće održavanje</v>
      </c>
      <c r="C111" s="622"/>
      <c r="D111" s="622"/>
      <c r="E111" s="622"/>
      <c r="F111" s="622"/>
      <c r="G111" s="225">
        <v>4733298.29</v>
      </c>
      <c r="H111" s="225">
        <v>3658048.13</v>
      </c>
      <c r="I111" s="225">
        <v>4971731.5199999996</v>
      </c>
      <c r="J111" s="225">
        <v>4779653.5599999996</v>
      </c>
      <c r="K111" s="225">
        <v>4422387.5599999996</v>
      </c>
      <c r="L111" s="225">
        <v>5083476.54</v>
      </c>
      <c r="M111" s="225">
        <v>4718386.22</v>
      </c>
      <c r="N111" s="225">
        <v>4792915.3600000003</v>
      </c>
      <c r="O111" s="225">
        <v>4256734.91</v>
      </c>
      <c r="P111" s="225">
        <v>5112374.4400000004</v>
      </c>
      <c r="Q111" s="225">
        <v>4928029.66</v>
      </c>
      <c r="R111" s="225">
        <v>9848080.5700000003</v>
      </c>
      <c r="S111" s="312">
        <f t="shared" si="26"/>
        <v>61305116.759999998</v>
      </c>
      <c r="T111" s="329">
        <f t="shared" si="27"/>
        <v>0.71358037014619613</v>
      </c>
      <c r="U111" s="161"/>
    </row>
    <row r="112" spans="1:22">
      <c r="A112" s="216" t="str">
        <f t="shared" si="25"/>
        <v>416p</v>
      </c>
      <c r="B112" s="621" t="str">
        <f>+VLOOKUP(LEFT($A112,LEN(A112)-1)*1,Master!$D$30:$G$229,4,FALSE)</f>
        <v>Kamate</v>
      </c>
      <c r="C112" s="622"/>
      <c r="D112" s="622"/>
      <c r="E112" s="622"/>
      <c r="F112" s="622"/>
      <c r="G112" s="225">
        <v>8464976.6500000004</v>
      </c>
      <c r="H112" s="225">
        <v>2696492.41</v>
      </c>
      <c r="I112" s="225">
        <v>22203570.899999999</v>
      </c>
      <c r="J112" s="225">
        <v>49733714.509999998</v>
      </c>
      <c r="K112" s="225">
        <v>3668679.67</v>
      </c>
      <c r="L112" s="225">
        <v>14986169.060000001</v>
      </c>
      <c r="M112" s="225">
        <v>7339084.2000000002</v>
      </c>
      <c r="N112" s="225">
        <v>2482657.96</v>
      </c>
      <c r="O112" s="225">
        <v>21667714.07</v>
      </c>
      <c r="P112" s="225">
        <v>15475717.76</v>
      </c>
      <c r="Q112" s="225">
        <v>7591816.9299999997</v>
      </c>
      <c r="R112" s="225">
        <v>18520445.960000001</v>
      </c>
      <c r="S112" s="312">
        <f t="shared" si="26"/>
        <v>174831040.08000001</v>
      </c>
      <c r="T112" s="329">
        <f t="shared" si="27"/>
        <v>2.035001397709284</v>
      </c>
      <c r="U112" s="161"/>
    </row>
    <row r="113" spans="1:21">
      <c r="A113" s="216" t="str">
        <f t="shared" si="25"/>
        <v>417p</v>
      </c>
      <c r="B113" s="621" t="str">
        <f>+VLOOKUP(LEFT($A113,LEN(A113)-1)*1,Master!$D$30:$G$229,4,FALSE)</f>
        <v>Renta</v>
      </c>
      <c r="C113" s="622"/>
      <c r="D113" s="622"/>
      <c r="E113" s="622"/>
      <c r="F113" s="622"/>
      <c r="G113" s="225">
        <v>1526240.32</v>
      </c>
      <c r="H113" s="225">
        <v>1005364.54</v>
      </c>
      <c r="I113" s="225">
        <v>1267222.46</v>
      </c>
      <c r="J113" s="225">
        <v>1096839.3700000001</v>
      </c>
      <c r="K113" s="225">
        <v>1005498.04</v>
      </c>
      <c r="L113" s="225">
        <v>1262553.42</v>
      </c>
      <c r="M113" s="225">
        <v>1142696.23</v>
      </c>
      <c r="N113" s="225">
        <v>978722.42</v>
      </c>
      <c r="O113" s="225">
        <v>1221691.22</v>
      </c>
      <c r="P113" s="225">
        <v>1114394.93</v>
      </c>
      <c r="Q113" s="225">
        <v>1131649.2</v>
      </c>
      <c r="R113" s="225">
        <v>1918060.97</v>
      </c>
      <c r="S113" s="312">
        <f t="shared" si="26"/>
        <v>14670933.119999999</v>
      </c>
      <c r="T113" s="329">
        <f t="shared" si="27"/>
        <v>0.17076698389049261</v>
      </c>
      <c r="U113" s="161"/>
    </row>
    <row r="114" spans="1:21">
      <c r="A114" s="216" t="str">
        <f t="shared" si="25"/>
        <v>418p</v>
      </c>
      <c r="B114" s="621" t="str">
        <f>+VLOOKUP(LEFT($A114,LEN(A114)-1)*1,Master!$D$30:$G$229,4,FALSE)</f>
        <v>Subvencije</v>
      </c>
      <c r="C114" s="622"/>
      <c r="D114" s="622"/>
      <c r="E114" s="622"/>
      <c r="F114" s="622"/>
      <c r="G114" s="225">
        <v>4981667.2300000004</v>
      </c>
      <c r="H114" s="225">
        <v>2519479.5</v>
      </c>
      <c r="I114" s="225">
        <v>4858508.4000000004</v>
      </c>
      <c r="J114" s="225">
        <v>4236714.57</v>
      </c>
      <c r="K114" s="225">
        <v>2777954.39</v>
      </c>
      <c r="L114" s="225">
        <v>3186842.57</v>
      </c>
      <c r="M114" s="225">
        <v>3907127</v>
      </c>
      <c r="N114" s="225">
        <v>2749485.86</v>
      </c>
      <c r="O114" s="225">
        <v>4794489.1100000003</v>
      </c>
      <c r="P114" s="225">
        <v>9814818.3000000007</v>
      </c>
      <c r="Q114" s="225">
        <v>8274462.4199999999</v>
      </c>
      <c r="R114" s="225">
        <v>23470308.82</v>
      </c>
      <c r="S114" s="312">
        <f t="shared" si="26"/>
        <v>75571858.170000002</v>
      </c>
      <c r="T114" s="329">
        <f t="shared" si="27"/>
        <v>0.87964263630226291</v>
      </c>
      <c r="U114" s="161"/>
    </row>
    <row r="115" spans="1:21">
      <c r="A115" s="216" t="str">
        <f t="shared" si="25"/>
        <v>419p</v>
      </c>
      <c r="B115" s="621" t="str">
        <f>+VLOOKUP(LEFT($A115,LEN(A115)-1)*1,Master!$D$30:$G$229,4,FALSE)</f>
        <v>Ostali izdaci</v>
      </c>
      <c r="C115" s="622"/>
      <c r="D115" s="622"/>
      <c r="E115" s="622"/>
      <c r="F115" s="622"/>
      <c r="G115" s="225">
        <v>7505712.8899999997</v>
      </c>
      <c r="H115" s="225">
        <v>4571505.8</v>
      </c>
      <c r="I115" s="225">
        <v>7550206.6900000004</v>
      </c>
      <c r="J115" s="225">
        <v>6561905.3799999999</v>
      </c>
      <c r="K115" s="225">
        <v>4674082.9400000004</v>
      </c>
      <c r="L115" s="225">
        <v>7793707.5599999996</v>
      </c>
      <c r="M115" s="225">
        <v>8264520.8499999996</v>
      </c>
      <c r="N115" s="225">
        <v>4685245.46</v>
      </c>
      <c r="O115" s="225">
        <v>4410639.82</v>
      </c>
      <c r="P115" s="225">
        <v>6573032.2999999998</v>
      </c>
      <c r="Q115" s="225">
        <v>4959972.54</v>
      </c>
      <c r="R115" s="225">
        <v>18552234.530000001</v>
      </c>
      <c r="S115" s="312">
        <f t="shared" si="26"/>
        <v>86102766.760000005</v>
      </c>
      <c r="T115" s="329">
        <f t="shared" si="27"/>
        <v>1.0022204902691128</v>
      </c>
      <c r="U115" s="161"/>
    </row>
    <row r="116" spans="1:21">
      <c r="A116" s="216" t="str">
        <f t="shared" si="25"/>
        <v>42p</v>
      </c>
      <c r="B116" s="649" t="str">
        <f>+VLOOKUP(LEFT($A116,LEN(A116)-1)*1,Master!$D$30:$G$229,4,FALSE)</f>
        <v>Transferi za socijalnu zaštitu</v>
      </c>
      <c r="C116" s="650"/>
      <c r="D116" s="650"/>
      <c r="E116" s="650"/>
      <c r="F116" s="650"/>
      <c r="G116" s="405">
        <v>97141355</v>
      </c>
      <c r="H116" s="405">
        <v>98429725.790000007</v>
      </c>
      <c r="I116" s="405">
        <v>95251653.310000002</v>
      </c>
      <c r="J116" s="405">
        <v>93851854.439999998</v>
      </c>
      <c r="K116" s="405">
        <v>93523127.109999999</v>
      </c>
      <c r="L116" s="405">
        <v>95504288.459999993</v>
      </c>
      <c r="M116" s="405">
        <v>95280802.349999994</v>
      </c>
      <c r="N116" s="405">
        <v>96603528.989999995</v>
      </c>
      <c r="O116" s="405">
        <v>95268061.5</v>
      </c>
      <c r="P116" s="405">
        <v>98614821.090000004</v>
      </c>
      <c r="Q116" s="405">
        <v>96523058.439999998</v>
      </c>
      <c r="R116" s="405">
        <v>99726148.170000002</v>
      </c>
      <c r="S116" s="397">
        <f t="shared" si="26"/>
        <v>1155718424.6500001</v>
      </c>
      <c r="T116" s="372">
        <f t="shared" si="27"/>
        <v>13.45235153005401</v>
      </c>
      <c r="U116" s="161"/>
    </row>
    <row r="117" spans="1:21">
      <c r="A117" s="216" t="str">
        <f t="shared" si="25"/>
        <v>421p</v>
      </c>
      <c r="B117" s="621" t="str">
        <f>+VLOOKUP(LEFT($A117,LEN(A117)-1)*1,Master!$D$30:$G$229,4,FALSE)</f>
        <v>Prava iz oblasti socijalne zaštite</v>
      </c>
      <c r="C117" s="622"/>
      <c r="D117" s="622"/>
      <c r="E117" s="622"/>
      <c r="F117" s="622"/>
      <c r="G117" s="153">
        <v>20856536.469999999</v>
      </c>
      <c r="H117" s="153">
        <v>22407581.460000001</v>
      </c>
      <c r="I117" s="153">
        <v>21149012.300000001</v>
      </c>
      <c r="J117" s="153">
        <v>19806039.579999998</v>
      </c>
      <c r="K117" s="153">
        <v>19445770.109999999</v>
      </c>
      <c r="L117" s="153">
        <v>20225052.129999999</v>
      </c>
      <c r="M117" s="153">
        <v>20253590.73</v>
      </c>
      <c r="N117" s="153">
        <v>21220267.359999999</v>
      </c>
      <c r="O117" s="153">
        <v>19601806.600000001</v>
      </c>
      <c r="P117" s="153">
        <v>22363934.399999999</v>
      </c>
      <c r="Q117" s="153">
        <v>20815293.530000001</v>
      </c>
      <c r="R117" s="153">
        <v>21102271.25</v>
      </c>
      <c r="S117" s="312">
        <f t="shared" si="26"/>
        <v>249247155.91999999</v>
      </c>
      <c r="T117" s="329">
        <f t="shared" si="27"/>
        <v>2.9011914042275815</v>
      </c>
      <c r="U117" s="161"/>
    </row>
    <row r="118" spans="1:21">
      <c r="A118" s="216" t="str">
        <f t="shared" si="25"/>
        <v>422p</v>
      </c>
      <c r="B118" s="621" t="str">
        <f>+VLOOKUP(LEFT($A118,LEN(A118)-1)*1,Master!$D$30:$G$229,4,FALSE)</f>
        <v>Sredstva za tehnološke viškove</v>
      </c>
      <c r="C118" s="622"/>
      <c r="D118" s="622"/>
      <c r="E118" s="622"/>
      <c r="F118" s="622"/>
      <c r="G118" s="153">
        <v>2250500.08</v>
      </c>
      <c r="H118" s="153">
        <v>2117233.73</v>
      </c>
      <c r="I118" s="153">
        <v>2123814.2599999998</v>
      </c>
      <c r="J118" s="153">
        <v>2098727.21</v>
      </c>
      <c r="K118" s="153">
        <v>2047332.42</v>
      </c>
      <c r="L118" s="153">
        <v>2045934.44</v>
      </c>
      <c r="M118" s="153">
        <v>2028882.59</v>
      </c>
      <c r="N118" s="153">
        <v>2011024.49</v>
      </c>
      <c r="O118" s="153">
        <v>2036528.08</v>
      </c>
      <c r="P118" s="153">
        <v>1982494.63</v>
      </c>
      <c r="Q118" s="153">
        <v>1988950.09</v>
      </c>
      <c r="R118" s="153">
        <v>4274578.9800000004</v>
      </c>
      <c r="S118" s="312">
        <f t="shared" si="26"/>
        <v>27006001</v>
      </c>
      <c r="T118" s="329">
        <f t="shared" si="27"/>
        <v>0.31434492271161191</v>
      </c>
      <c r="U118" s="161"/>
    </row>
    <row r="119" spans="1:21">
      <c r="A119" s="216" t="str">
        <f t="shared" si="25"/>
        <v>423p</v>
      </c>
      <c r="B119" s="621" t="str">
        <f>+VLOOKUP(LEFT($A119,LEN(A119)-1)*1,Master!$D$30:$G$229,4,FALSE)</f>
        <v>Prava iz oblasti penzijskog i invalidskog osiguranja</v>
      </c>
      <c r="C119" s="622"/>
      <c r="D119" s="622"/>
      <c r="E119" s="622"/>
      <c r="F119" s="622"/>
      <c r="G119" s="153">
        <v>67994105.709999993</v>
      </c>
      <c r="H119" s="153">
        <v>70454777.719999999</v>
      </c>
      <c r="I119" s="153">
        <v>68464856.170000002</v>
      </c>
      <c r="J119" s="153">
        <v>68592650.549999997</v>
      </c>
      <c r="K119" s="153">
        <v>68677709.140000001</v>
      </c>
      <c r="L119" s="153">
        <v>69990850.709999993</v>
      </c>
      <c r="M119" s="153">
        <v>69868116.700000003</v>
      </c>
      <c r="N119" s="153">
        <v>69976942.370000005</v>
      </c>
      <c r="O119" s="153">
        <v>70260550.239999995</v>
      </c>
      <c r="P119" s="153">
        <v>70905453.709999993</v>
      </c>
      <c r="Q119" s="153">
        <v>70961492.019999996</v>
      </c>
      <c r="R119" s="153">
        <v>71057762.689999998</v>
      </c>
      <c r="S119" s="312">
        <f t="shared" si="26"/>
        <v>837205267.73000002</v>
      </c>
      <c r="T119" s="329">
        <f t="shared" si="27"/>
        <v>9.7449165160862279</v>
      </c>
      <c r="U119" s="161"/>
    </row>
    <row r="120" spans="1:21">
      <c r="A120" s="216" t="str">
        <f t="shared" si="25"/>
        <v>424p</v>
      </c>
      <c r="B120" s="621" t="str">
        <f>+VLOOKUP(LEFT($A120,LEN(A120)-1)*1,Master!$D$30:$G$229,4,FALSE)</f>
        <v>Ostala prava iz oblasti zdravstvene zaštite</v>
      </c>
      <c r="C120" s="622"/>
      <c r="D120" s="622"/>
      <c r="E120" s="622"/>
      <c r="F120" s="622"/>
      <c r="G120" s="153">
        <v>3974578.08</v>
      </c>
      <c r="H120" s="153">
        <v>1964311.09</v>
      </c>
      <c r="I120" s="153">
        <v>1964311.09</v>
      </c>
      <c r="J120" s="153">
        <v>1964311.09</v>
      </c>
      <c r="K120" s="153">
        <v>1964311.09</v>
      </c>
      <c r="L120" s="153">
        <v>1964311.09</v>
      </c>
      <c r="M120" s="153">
        <v>1964311.09</v>
      </c>
      <c r="N120" s="153">
        <v>1964311.09</v>
      </c>
      <c r="O120" s="153">
        <v>1964311.09</v>
      </c>
      <c r="P120" s="153">
        <v>1956977.76</v>
      </c>
      <c r="Q120" s="153">
        <v>1956977.76</v>
      </c>
      <c r="R120" s="153">
        <v>1956977.68</v>
      </c>
      <c r="S120" s="312">
        <f t="shared" si="26"/>
        <v>25560000</v>
      </c>
      <c r="T120" s="329">
        <f t="shared" si="27"/>
        <v>0.2975137349846354</v>
      </c>
      <c r="U120" s="161"/>
    </row>
    <row r="121" spans="1:21">
      <c r="A121" s="216" t="str">
        <f t="shared" si="25"/>
        <v>425p</v>
      </c>
      <c r="B121" s="621" t="str">
        <f>+VLOOKUP(LEFT($A121,LEN(A121)-1)*1,Master!$D$30:$G$229,4,FALSE)</f>
        <v>Ostala prava iz zdravstvenog osiguranja</v>
      </c>
      <c r="C121" s="622"/>
      <c r="D121" s="622"/>
      <c r="E121" s="622"/>
      <c r="F121" s="622"/>
      <c r="G121" s="153">
        <v>2065634.66</v>
      </c>
      <c r="H121" s="153">
        <v>1485821.79</v>
      </c>
      <c r="I121" s="153">
        <v>1549659.49</v>
      </c>
      <c r="J121" s="153">
        <v>1390126.01</v>
      </c>
      <c r="K121" s="153">
        <v>1388004.35</v>
      </c>
      <c r="L121" s="153">
        <v>1278140.0900000001</v>
      </c>
      <c r="M121" s="153">
        <v>1165901.24</v>
      </c>
      <c r="N121" s="153">
        <v>1430983.6799999999</v>
      </c>
      <c r="O121" s="153">
        <v>1404865.49</v>
      </c>
      <c r="P121" s="153">
        <v>1405960.59</v>
      </c>
      <c r="Q121" s="153">
        <v>800345.04</v>
      </c>
      <c r="R121" s="153">
        <v>1334557.57</v>
      </c>
      <c r="S121" s="312">
        <f t="shared" si="26"/>
        <v>16700000</v>
      </c>
      <c r="T121" s="329">
        <f t="shared" si="27"/>
        <v>0.19438495204395195</v>
      </c>
      <c r="U121" s="161"/>
    </row>
    <row r="122" spans="1:21">
      <c r="A122" s="216" t="str">
        <f t="shared" si="25"/>
        <v>43p</v>
      </c>
      <c r="B122" s="629" t="str">
        <f>+VLOOKUP(LEFT($A122,LEN(A122)-1)*1,Master!$D$30:$G$229,4,FALSE)</f>
        <v>Transferi institucijama, pojedincima, nevladinom i javnom sektoru</v>
      </c>
      <c r="C122" s="630"/>
      <c r="D122" s="630"/>
      <c r="E122" s="630"/>
      <c r="F122" s="630"/>
      <c r="G122" s="398">
        <v>41078999.899999999</v>
      </c>
      <c r="H122" s="398">
        <v>37609091.899999999</v>
      </c>
      <c r="I122" s="398">
        <v>41480698.100000001</v>
      </c>
      <c r="J122" s="398">
        <v>41025293.770000003</v>
      </c>
      <c r="K122" s="398">
        <v>40405028.439999998</v>
      </c>
      <c r="L122" s="398">
        <v>41871311.990000002</v>
      </c>
      <c r="M122" s="398">
        <v>42872116.689999998</v>
      </c>
      <c r="N122" s="398">
        <v>35806003.100000001</v>
      </c>
      <c r="O122" s="398">
        <v>40548918.93</v>
      </c>
      <c r="P122" s="398">
        <v>37943306.299999997</v>
      </c>
      <c r="Q122" s="398">
        <v>38223430.82</v>
      </c>
      <c r="R122" s="398">
        <v>60844726.189999998</v>
      </c>
      <c r="S122" s="397">
        <f t="shared" si="26"/>
        <v>499708926.13</v>
      </c>
      <c r="T122" s="372">
        <f t="shared" si="27"/>
        <v>5.8165206971086691</v>
      </c>
      <c r="U122" s="161"/>
    </row>
    <row r="123" spans="1:21">
      <c r="A123" s="216" t="str">
        <f t="shared" si="25"/>
        <v>44p</v>
      </c>
      <c r="B123" s="629" t="str">
        <f>+VLOOKUP(LEFT($A123,LEN(A123)-1)*1,Master!$D$30:$G$229,4,FALSE)</f>
        <v>Kapitalni izdaci</v>
      </c>
      <c r="C123" s="630"/>
      <c r="D123" s="630"/>
      <c r="E123" s="630"/>
      <c r="F123" s="630"/>
      <c r="G123" s="398">
        <v>31738678.649999999</v>
      </c>
      <c r="H123" s="398">
        <v>25631144.73</v>
      </c>
      <c r="I123" s="398">
        <v>33300001.57</v>
      </c>
      <c r="J123" s="398">
        <v>33365285.109999999</v>
      </c>
      <c r="K123" s="398">
        <v>24719670.920000002</v>
      </c>
      <c r="L123" s="398">
        <v>31084265.129999999</v>
      </c>
      <c r="M123" s="398">
        <v>26903212.780000001</v>
      </c>
      <c r="N123" s="398">
        <v>25873496.329999998</v>
      </c>
      <c r="O123" s="398">
        <v>28685724.789999999</v>
      </c>
      <c r="P123" s="398">
        <v>27169656.829999998</v>
      </c>
      <c r="Q123" s="398">
        <v>24795938.859999999</v>
      </c>
      <c r="R123" s="398">
        <v>34836107.229999997</v>
      </c>
      <c r="S123" s="397">
        <f t="shared" si="26"/>
        <v>348103182.93000001</v>
      </c>
      <c r="T123" s="372">
        <f t="shared" si="27"/>
        <v>4.0518575161793464</v>
      </c>
      <c r="U123" s="161"/>
    </row>
    <row r="124" spans="1:21">
      <c r="A124" s="216" t="str">
        <f t="shared" si="25"/>
        <v>451p</v>
      </c>
      <c r="B124" s="631" t="str">
        <f>+VLOOKUP(LEFT($A124,LEN(A124)-1)*1,Master!$D$30:$G$229,4,FALSE)</f>
        <v>Pozajmice i krediti</v>
      </c>
      <c r="C124" s="632"/>
      <c r="D124" s="632"/>
      <c r="E124" s="632"/>
      <c r="F124" s="632"/>
      <c r="G124" s="153">
        <v>0</v>
      </c>
      <c r="H124" s="153">
        <v>0</v>
      </c>
      <c r="I124" s="153">
        <v>0</v>
      </c>
      <c r="J124" s="153">
        <v>0</v>
      </c>
      <c r="K124" s="153">
        <v>0</v>
      </c>
      <c r="L124" s="153">
        <v>0</v>
      </c>
      <c r="M124" s="153">
        <v>0</v>
      </c>
      <c r="N124" s="153">
        <v>0</v>
      </c>
      <c r="O124" s="153">
        <v>0</v>
      </c>
      <c r="P124" s="153">
        <v>0</v>
      </c>
      <c r="Q124" s="153">
        <v>0</v>
      </c>
      <c r="R124" s="153">
        <v>0</v>
      </c>
      <c r="S124" s="312">
        <f t="shared" si="26"/>
        <v>0</v>
      </c>
      <c r="T124" s="329">
        <f t="shared" si="27"/>
        <v>0</v>
      </c>
      <c r="U124" s="161"/>
    </row>
    <row r="125" spans="1:21">
      <c r="A125" s="216" t="str">
        <f t="shared" si="25"/>
        <v>47p</v>
      </c>
      <c r="B125" s="631" t="str">
        <f>+VLOOKUP(LEFT($A125,LEN(A125)-1)*1,Master!$D$30:$G$229,4,FALSE)</f>
        <v>Rezerve</v>
      </c>
      <c r="C125" s="632"/>
      <c r="D125" s="632"/>
      <c r="E125" s="632"/>
      <c r="F125" s="632"/>
      <c r="G125" s="225">
        <v>2894146.88</v>
      </c>
      <c r="H125" s="225">
        <v>907850.84</v>
      </c>
      <c r="I125" s="225">
        <v>17727166.02</v>
      </c>
      <c r="J125" s="225">
        <v>263440.75</v>
      </c>
      <c r="K125" s="225">
        <v>98122.52</v>
      </c>
      <c r="L125" s="225">
        <v>848129.05</v>
      </c>
      <c r="M125" s="225">
        <v>124843.75</v>
      </c>
      <c r="N125" s="225">
        <v>8652.3799999999992</v>
      </c>
      <c r="O125" s="225">
        <v>229771.06</v>
      </c>
      <c r="P125" s="225">
        <v>98060.44</v>
      </c>
      <c r="Q125" s="225">
        <v>1138140.83</v>
      </c>
      <c r="R125" s="225">
        <v>10391438</v>
      </c>
      <c r="S125" s="312">
        <f t="shared" si="26"/>
        <v>34729762.520000003</v>
      </c>
      <c r="T125" s="329">
        <f t="shared" si="27"/>
        <v>0.4042480971226371</v>
      </c>
      <c r="U125" s="161"/>
    </row>
    <row r="126" spans="1:21">
      <c r="A126" s="216" t="str">
        <f t="shared" si="25"/>
        <v>462p</v>
      </c>
      <c r="B126" s="631" t="str">
        <f>+VLOOKUP(LEFT($A126,LEN(A126)-1)*1,Master!$D$30:$G$229,4,FALSE)</f>
        <v>Otplata garancija</v>
      </c>
      <c r="C126" s="632"/>
      <c r="D126" s="632"/>
      <c r="E126" s="632"/>
      <c r="F126" s="632"/>
      <c r="G126" s="153">
        <v>0.16</v>
      </c>
      <c r="H126" s="153">
        <v>0.16</v>
      </c>
      <c r="I126" s="153">
        <v>0.16</v>
      </c>
      <c r="J126" s="153">
        <v>0.16</v>
      </c>
      <c r="K126" s="153">
        <v>0.16</v>
      </c>
      <c r="L126" s="153">
        <v>0.16</v>
      </c>
      <c r="M126" s="153">
        <v>0.16</v>
      </c>
      <c r="N126" s="153">
        <v>0.16</v>
      </c>
      <c r="O126" s="153">
        <v>0.16</v>
      </c>
      <c r="P126" s="153">
        <v>0.16</v>
      </c>
      <c r="Q126" s="153">
        <v>0.16</v>
      </c>
      <c r="R126" s="153">
        <v>0.24</v>
      </c>
      <c r="S126" s="312">
        <f t="shared" si="26"/>
        <v>2</v>
      </c>
      <c r="T126" s="329">
        <f t="shared" si="27"/>
        <v>2.3279634975323588E-8</v>
      </c>
      <c r="U126" s="161"/>
    </row>
    <row r="127" spans="1:21">
      <c r="A127" s="247" t="str">
        <f t="shared" si="25"/>
        <v>4630p</v>
      </c>
      <c r="B127" s="631" t="str">
        <f>+VLOOKUP(LEFT($A127,LEN(A127)-1)*1,Master!$D$30:$G$229,4,FALSE)</f>
        <v>Otplata obaveza iz prethodnog perioda</v>
      </c>
      <c r="C127" s="632"/>
      <c r="D127" s="632"/>
      <c r="E127" s="632"/>
      <c r="F127" s="632"/>
      <c r="G127" s="253">
        <v>445847.340000002</v>
      </c>
      <c r="H127" s="225">
        <v>425335.56000000198</v>
      </c>
      <c r="I127" s="225">
        <v>423298.80000000203</v>
      </c>
      <c r="J127" s="225">
        <v>352947.54000000103</v>
      </c>
      <c r="K127" s="225">
        <v>579675.09000000602</v>
      </c>
      <c r="L127" s="225">
        <v>251229.40999999901</v>
      </c>
      <c r="M127" s="225">
        <v>677561.4</v>
      </c>
      <c r="N127" s="225">
        <v>142809.45000000001</v>
      </c>
      <c r="O127" s="225">
        <v>1234560.1399999999</v>
      </c>
      <c r="P127" s="225">
        <v>400357.60000000201</v>
      </c>
      <c r="Q127" s="225">
        <v>255410.41999999899</v>
      </c>
      <c r="R127" s="225">
        <v>403142.25</v>
      </c>
      <c r="S127" s="317">
        <f t="shared" si="26"/>
        <v>5592175.0000000102</v>
      </c>
      <c r="T127" s="342">
        <f t="shared" si="27"/>
        <v>6.5091896359065204E-2</v>
      </c>
      <c r="U127" s="161"/>
    </row>
    <row r="128" spans="1:21">
      <c r="A128" s="216" t="str">
        <f t="shared" si="25"/>
        <v>1005p</v>
      </c>
      <c r="B128" s="631" t="str">
        <f>+VLOOKUP(LEFT($A128,LEN(A128)-1)*1,Master!$D$30:$G$229,4,FALSE)</f>
        <v>Neto povećanje obaveza</v>
      </c>
      <c r="C128" s="632"/>
      <c r="D128" s="632"/>
      <c r="E128" s="632"/>
      <c r="F128" s="632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27"/>
        <v>0</v>
      </c>
      <c r="U128" s="161"/>
    </row>
    <row r="129" spans="1:22">
      <c r="A129" s="247" t="str">
        <f t="shared" si="25"/>
        <v>1000p</v>
      </c>
      <c r="B129" s="645" t="str">
        <f>+VLOOKUP(LEFT($A129,LEN(A129)-1)*1,Master!$D$30:$G$226,4,FALSE)</f>
        <v>Suficit / deficit</v>
      </c>
      <c r="C129" s="646"/>
      <c r="D129" s="646"/>
      <c r="E129" s="646"/>
      <c r="F129" s="646"/>
      <c r="G129" s="388">
        <v>-113636610.67</v>
      </c>
      <c r="H129" s="400">
        <v>-80316211.069999993</v>
      </c>
      <c r="I129" s="388">
        <v>-26505441.7380509</v>
      </c>
      <c r="J129" s="388">
        <v>18031924.160950702</v>
      </c>
      <c r="K129" s="388">
        <v>-25123758.780495401</v>
      </c>
      <c r="L129" s="388">
        <v>-28494005.395772401</v>
      </c>
      <c r="M129" s="388">
        <v>14363071.933354201</v>
      </c>
      <c r="N129" s="388">
        <v>50200085.108328097</v>
      </c>
      <c r="O129" s="388">
        <v>10327854.7086519</v>
      </c>
      <c r="P129" s="388">
        <v>4900469.7884257399</v>
      </c>
      <c r="Q129" s="388">
        <v>-21454982.505203702</v>
      </c>
      <c r="R129" s="388">
        <v>-80634801.502476603</v>
      </c>
      <c r="S129" s="406">
        <f t="shared" si="26"/>
        <v>-278342405.96228802</v>
      </c>
      <c r="T129" s="381">
        <f t="shared" si="27"/>
        <v>-3.2398548044776989</v>
      </c>
      <c r="U129" s="161"/>
    </row>
    <row r="130" spans="1:22">
      <c r="A130" s="247" t="str">
        <f t="shared" si="25"/>
        <v>1001p</v>
      </c>
      <c r="B130" s="647" t="str">
        <f>+VLOOKUP(LEFT($A130,LEN(A130)-1)*1,Master!$D$30:$G$226,4,FALSE)</f>
        <v>Primarni suficit/deficit</v>
      </c>
      <c r="C130" s="648"/>
      <c r="D130" s="648"/>
      <c r="E130" s="648"/>
      <c r="F130" s="648"/>
      <c r="G130" s="407">
        <v>-105171634.02</v>
      </c>
      <c r="H130" s="407">
        <v>-77619718.659999996</v>
      </c>
      <c r="I130" s="407">
        <v>-4301870.8380508795</v>
      </c>
      <c r="J130" s="407">
        <v>67765638.670950696</v>
      </c>
      <c r="K130" s="407">
        <v>-21455079.1104954</v>
      </c>
      <c r="L130" s="407">
        <v>-13507836.335772401</v>
      </c>
      <c r="M130" s="407">
        <v>21702156.133354198</v>
      </c>
      <c r="N130" s="407">
        <v>52682743.068328097</v>
      </c>
      <c r="O130" s="407">
        <v>31995568.778651901</v>
      </c>
      <c r="P130" s="407">
        <v>20376187.548425701</v>
      </c>
      <c r="Q130" s="407">
        <v>-13863165.5752037</v>
      </c>
      <c r="R130" s="407">
        <v>-62114355.542476602</v>
      </c>
      <c r="S130" s="406">
        <f t="shared" si="26"/>
        <v>-103511365.88228799</v>
      </c>
      <c r="T130" s="381">
        <f t="shared" si="27"/>
        <v>-1.204853406768414</v>
      </c>
      <c r="U130" s="161"/>
    </row>
    <row r="131" spans="1:22">
      <c r="A131" s="247" t="str">
        <f t="shared" si="25"/>
        <v>46p</v>
      </c>
      <c r="B131" s="649" t="str">
        <f>+VLOOKUP(LEFT($A131,LEN(A131)-1)*1,Master!$D$30:$G$226,4,FALSE)</f>
        <v>Otplata dugova</v>
      </c>
      <c r="C131" s="650"/>
      <c r="D131" s="650"/>
      <c r="E131" s="650"/>
      <c r="F131" s="650"/>
      <c r="G131" s="405">
        <v>38776677.729999997</v>
      </c>
      <c r="H131" s="405">
        <v>6623849.54</v>
      </c>
      <c r="I131" s="405">
        <v>8538883.3599999994</v>
      </c>
      <c r="J131" s="405">
        <v>77955174.939999998</v>
      </c>
      <c r="K131" s="405">
        <v>12713349.220000001</v>
      </c>
      <c r="L131" s="405">
        <v>71941312.400000006</v>
      </c>
      <c r="M131" s="408">
        <v>42612513.939999998</v>
      </c>
      <c r="N131" s="405">
        <v>6821797.4299999997</v>
      </c>
      <c r="O131" s="405">
        <v>10991740.380000001</v>
      </c>
      <c r="P131" s="405">
        <v>10748760.470000001</v>
      </c>
      <c r="Q131" s="405">
        <v>25887272.059999999</v>
      </c>
      <c r="R131" s="405">
        <v>69983127.530000001</v>
      </c>
      <c r="S131" s="409">
        <f t="shared" si="26"/>
        <v>383594459</v>
      </c>
      <c r="T131" s="383">
        <f t="shared" si="27"/>
        <v>4.4649694920383647</v>
      </c>
      <c r="U131" s="161"/>
      <c r="V131" s="358"/>
    </row>
    <row r="132" spans="1:22">
      <c r="A132" s="247" t="str">
        <f t="shared" si="25"/>
        <v>4611p</v>
      </c>
      <c r="B132" s="635" t="str">
        <f>+VLOOKUP(LEFT($A132,LEN(A132)-1)*1,Master!$D$30:$G$226,4,FALSE)</f>
        <v>Otplata hartija od vrijednosti i kredita rezidentima</v>
      </c>
      <c r="C132" s="636"/>
      <c r="D132" s="636"/>
      <c r="E132" s="636"/>
      <c r="F132" s="636"/>
      <c r="G132" s="253">
        <v>1689177.73</v>
      </c>
      <c r="H132" s="253">
        <v>1011346.87</v>
      </c>
      <c r="I132" s="253">
        <v>4628146.62</v>
      </c>
      <c r="J132" s="253">
        <v>51690881.789999999</v>
      </c>
      <c r="K132" s="253">
        <v>2155005.5699999998</v>
      </c>
      <c r="L132" s="253">
        <v>13538484.6</v>
      </c>
      <c r="M132" s="352">
        <v>1714623.39</v>
      </c>
      <c r="N132" s="352">
        <v>1043364.38</v>
      </c>
      <c r="O132" s="352">
        <v>5060550.79</v>
      </c>
      <c r="P132" s="352">
        <v>5885.87</v>
      </c>
      <c r="Q132" s="352">
        <v>1058130.49</v>
      </c>
      <c r="R132" s="352">
        <v>14218860.9</v>
      </c>
      <c r="S132" s="317">
        <f t="shared" si="26"/>
        <v>97814459</v>
      </c>
      <c r="T132" s="342">
        <f t="shared" si="27"/>
        <v>1.1385424504143775</v>
      </c>
      <c r="U132" s="161"/>
    </row>
    <row r="133" spans="1:22">
      <c r="A133" s="247" t="str">
        <f t="shared" si="25"/>
        <v>4612p</v>
      </c>
      <c r="B133" s="631" t="str">
        <f>+VLOOKUP(LEFT($A133,LEN(A133)-1)*1,Master!$D$30:$G$226,4,FALSE)</f>
        <v>Otplata hartija od vrijednosti i kredita nerezidentima</v>
      </c>
      <c r="C133" s="632"/>
      <c r="D133" s="632"/>
      <c r="E133" s="632"/>
      <c r="F133" s="632"/>
      <c r="G133" s="253">
        <v>37087500</v>
      </c>
      <c r="H133" s="253">
        <v>5612502.6699999999</v>
      </c>
      <c r="I133" s="253">
        <v>3910736.74</v>
      </c>
      <c r="J133" s="253">
        <v>26264293.149999999</v>
      </c>
      <c r="K133" s="253">
        <v>10558343.65</v>
      </c>
      <c r="L133" s="253">
        <v>58402827.799999997</v>
      </c>
      <c r="M133" s="352">
        <v>40897890.549999997</v>
      </c>
      <c r="N133" s="352">
        <v>5778433.0499999998</v>
      </c>
      <c r="O133" s="352">
        <v>5931189.5899999999</v>
      </c>
      <c r="P133" s="352">
        <v>10742874.6</v>
      </c>
      <c r="Q133" s="352">
        <v>24829141.57</v>
      </c>
      <c r="R133" s="352">
        <v>55764266.630000003</v>
      </c>
      <c r="S133" s="317">
        <f t="shared" si="26"/>
        <v>285780000</v>
      </c>
      <c r="T133" s="342">
        <f t="shared" si="27"/>
        <v>3.3264270416239876</v>
      </c>
      <c r="U133" s="161"/>
    </row>
    <row r="134" spans="1:22">
      <c r="A134" s="247" t="str">
        <f t="shared" si="25"/>
        <v>4418p</v>
      </c>
      <c r="B134" s="617" t="str">
        <f>+VLOOKUP(LEFT($A134,LEN(A134)-1)*1,Master!$D$30:$G$226,4,FALSE)</f>
        <v>Izdaci za kupovinu hartija od vrijednosti</v>
      </c>
      <c r="C134" s="618"/>
      <c r="D134" s="618"/>
      <c r="E134" s="618"/>
      <c r="F134" s="618"/>
      <c r="G134" s="388">
        <v>2848333.42</v>
      </c>
      <c r="H134" s="388">
        <v>0</v>
      </c>
      <c r="I134" s="388">
        <v>21979568.16</v>
      </c>
      <c r="J134" s="388">
        <v>0</v>
      </c>
      <c r="K134" s="388">
        <v>0</v>
      </c>
      <c r="L134" s="388">
        <v>7607131.5800000001</v>
      </c>
      <c r="M134" s="388">
        <v>1743970.28</v>
      </c>
      <c r="N134" s="388">
        <v>0</v>
      </c>
      <c r="O134" s="388">
        <v>0</v>
      </c>
      <c r="P134" s="388">
        <v>0</v>
      </c>
      <c r="Q134" s="388">
        <v>0</v>
      </c>
      <c r="R134" s="388">
        <v>997.56</v>
      </c>
      <c r="S134" s="406">
        <f t="shared" si="26"/>
        <v>34180001</v>
      </c>
      <c r="T134" s="381">
        <f t="shared" si="27"/>
        <v>0.3978489733680976</v>
      </c>
      <c r="U134" s="161"/>
      <c r="V134" s="358"/>
    </row>
    <row r="135" spans="1:22">
      <c r="A135" s="247" t="s">
        <v>21</v>
      </c>
      <c r="B135" s="617" t="s">
        <v>22</v>
      </c>
      <c r="C135" s="618"/>
      <c r="D135" s="618"/>
      <c r="E135" s="618"/>
      <c r="F135" s="618"/>
      <c r="G135" s="410">
        <v>1237500.6399999999</v>
      </c>
      <c r="H135" s="410">
        <v>737500.86</v>
      </c>
      <c r="I135" s="410">
        <v>781055.11</v>
      </c>
      <c r="J135" s="410">
        <v>739805.87</v>
      </c>
      <c r="K135" s="410">
        <v>754731.99</v>
      </c>
      <c r="L135" s="410">
        <v>758709.4</v>
      </c>
      <c r="M135" s="410">
        <v>149560.95999999999</v>
      </c>
      <c r="N135" s="410">
        <v>41845.08</v>
      </c>
      <c r="O135" s="410">
        <v>830950.94</v>
      </c>
      <c r="P135" s="410">
        <v>959461.25</v>
      </c>
      <c r="Q135" s="410">
        <v>446667.9</v>
      </c>
      <c r="R135" s="410">
        <v>512218</v>
      </c>
      <c r="S135" s="406">
        <f t="shared" si="26"/>
        <v>7950008</v>
      </c>
      <c r="T135" s="381">
        <f t="shared" si="27"/>
        <v>9.2536642145451167E-2</v>
      </c>
      <c r="U135" s="161"/>
    </row>
    <row r="136" spans="1:22">
      <c r="A136" s="247" t="str">
        <f>+CONCATENATE(A60,"p")</f>
        <v>1002p</v>
      </c>
      <c r="B136" s="633" t="str">
        <f>+VLOOKUP(LEFT($A136,LEN(A136)-1)*1,Master!$D$30:$G$226,4,FALSE)</f>
        <v>Nedostajuća sredstva</v>
      </c>
      <c r="C136" s="634"/>
      <c r="D136" s="634"/>
      <c r="E136" s="634"/>
      <c r="F136" s="634"/>
      <c r="G136" s="411">
        <v>-156499122.46000001</v>
      </c>
      <c r="H136" s="411">
        <v>-87677561.469999999</v>
      </c>
      <c r="I136" s="411">
        <v>-57804948.368050903</v>
      </c>
      <c r="J136" s="411">
        <v>-60663056.649049297</v>
      </c>
      <c r="K136" s="411">
        <v>-38591839.990495399</v>
      </c>
      <c r="L136" s="411">
        <v>-108801158.77577201</v>
      </c>
      <c r="M136" s="411">
        <v>-30142973.246645801</v>
      </c>
      <c r="N136" s="411">
        <v>43336442.598328099</v>
      </c>
      <c r="O136" s="411">
        <v>-1494836.6113481</v>
      </c>
      <c r="P136" s="411">
        <v>-6807751.9315742599</v>
      </c>
      <c r="Q136" s="411">
        <v>-47788922.465203702</v>
      </c>
      <c r="R136" s="411">
        <v>-151131144.59247699</v>
      </c>
      <c r="S136" s="412">
        <f t="shared" si="26"/>
        <v>-704066873.96228802</v>
      </c>
      <c r="T136" s="385">
        <f t="shared" si="27"/>
        <v>-8.1952099120296129</v>
      </c>
      <c r="U136" s="161"/>
    </row>
    <row r="137" spans="1:22">
      <c r="A137" s="247" t="str">
        <f>+CONCATENATE(A61,"p")</f>
        <v>1003p</v>
      </c>
      <c r="B137" s="617" t="str">
        <f>+VLOOKUP(LEFT($A137,LEN(A137)-1)*1,Master!$D$30:$G$226,4,FALSE)</f>
        <v>Finansiranje</v>
      </c>
      <c r="C137" s="618"/>
      <c r="D137" s="618"/>
      <c r="E137" s="618"/>
      <c r="F137" s="618"/>
      <c r="G137" s="388">
        <v>156499122.46000001</v>
      </c>
      <c r="H137" s="388">
        <v>87677561.469999999</v>
      </c>
      <c r="I137" s="388">
        <v>57804948.368050903</v>
      </c>
      <c r="J137" s="388">
        <v>60663056.649049297</v>
      </c>
      <c r="K137" s="388">
        <v>38591839.990495399</v>
      </c>
      <c r="L137" s="388">
        <v>108801158.77577201</v>
      </c>
      <c r="M137" s="388">
        <v>30142973.246645801</v>
      </c>
      <c r="N137" s="388">
        <v>-43336442.598328099</v>
      </c>
      <c r="O137" s="388">
        <v>1494836.6113481</v>
      </c>
      <c r="P137" s="388">
        <v>6807751.9315742599</v>
      </c>
      <c r="Q137" s="388">
        <v>47788922.465203702</v>
      </c>
      <c r="R137" s="388">
        <v>151131144.59247699</v>
      </c>
      <c r="S137" s="413">
        <f t="shared" si="26"/>
        <v>704066873.96228802</v>
      </c>
      <c r="T137" s="387">
        <f t="shared" si="27"/>
        <v>8.1952099120296129</v>
      </c>
      <c r="U137" s="161"/>
    </row>
    <row r="138" spans="1:22">
      <c r="A138" s="247" t="str">
        <f>+CONCATENATE(A62,"p")</f>
        <v>7511p</v>
      </c>
      <c r="B138" s="635" t="str">
        <f>+VLOOKUP(LEFT($A138,LEN(A138)-1)*1,Master!$D$30:$G$226,4,FALSE)</f>
        <v>Pozajmice i krediti od domaćih izvora</v>
      </c>
      <c r="C138" s="636"/>
      <c r="D138" s="636"/>
      <c r="E138" s="636"/>
      <c r="F138" s="636"/>
      <c r="G138" s="253">
        <v>0</v>
      </c>
      <c r="H138" s="253">
        <v>0</v>
      </c>
      <c r="I138" s="253">
        <v>0</v>
      </c>
      <c r="J138" s="253">
        <v>0</v>
      </c>
      <c r="K138" s="253">
        <v>0</v>
      </c>
      <c r="L138" s="253">
        <v>0</v>
      </c>
      <c r="M138" s="253">
        <v>0</v>
      </c>
      <c r="N138" s="253">
        <v>0</v>
      </c>
      <c r="O138" s="253">
        <v>50000000</v>
      </c>
      <c r="P138" s="253">
        <v>0</v>
      </c>
      <c r="Q138" s="253">
        <v>50000000</v>
      </c>
      <c r="R138" s="253">
        <v>0</v>
      </c>
      <c r="S138" s="317">
        <f t="shared" si="26"/>
        <v>100000000</v>
      </c>
      <c r="T138" s="342">
        <f t="shared" si="27"/>
        <v>1.1639817487661792</v>
      </c>
      <c r="U138" s="161"/>
    </row>
    <row r="139" spans="1:22">
      <c r="A139" s="247" t="str">
        <f>+CONCATENATE(A63,"p")</f>
        <v>7512p</v>
      </c>
      <c r="B139" s="631" t="str">
        <f>+VLOOKUP(LEFT($A139,LEN(A139)-1)*1,Master!$D$30:$G$226,4,FALSE)</f>
        <v>Pozajmice i krediti od inostranih izvora</v>
      </c>
      <c r="C139" s="632"/>
      <c r="D139" s="632"/>
      <c r="E139" s="632"/>
      <c r="F139" s="632"/>
      <c r="G139" s="253">
        <v>0</v>
      </c>
      <c r="H139" s="253">
        <v>0</v>
      </c>
      <c r="I139" s="253">
        <v>100000000</v>
      </c>
      <c r="J139" s="253">
        <v>0</v>
      </c>
      <c r="K139" s="253">
        <v>0</v>
      </c>
      <c r="L139" s="253">
        <v>288318968.70999998</v>
      </c>
      <c r="M139" s="253">
        <v>0</v>
      </c>
      <c r="N139" s="253">
        <v>0</v>
      </c>
      <c r="O139" s="253">
        <v>0</v>
      </c>
      <c r="P139" s="253">
        <v>0</v>
      </c>
      <c r="Q139" s="253">
        <v>0</v>
      </c>
      <c r="R139" s="253">
        <v>0</v>
      </c>
      <c r="S139" s="317">
        <f t="shared" si="26"/>
        <v>388318968.70999998</v>
      </c>
      <c r="T139" s="342">
        <f t="shared" si="27"/>
        <v>4.5199619227814507</v>
      </c>
      <c r="U139" s="161"/>
    </row>
    <row r="140" spans="1:22">
      <c r="A140" s="247" t="str">
        <f>+CONCATENATE(A64,"p")</f>
        <v>72p</v>
      </c>
      <c r="B140" s="631" t="str">
        <f>+VLOOKUP(LEFT($A140,LEN(A140)-1)*1,Master!$D$30:$G$226,4,FALSE)</f>
        <v>Primici od prodaje imovine</v>
      </c>
      <c r="C140" s="632"/>
      <c r="D140" s="632"/>
      <c r="E140" s="632"/>
      <c r="F140" s="632"/>
      <c r="G140" s="253">
        <v>500000</v>
      </c>
      <c r="H140" s="253">
        <v>500000</v>
      </c>
      <c r="I140" s="253">
        <v>500000</v>
      </c>
      <c r="J140" s="253">
        <v>500000</v>
      </c>
      <c r="K140" s="253">
        <v>500000</v>
      </c>
      <c r="L140" s="253">
        <v>500000</v>
      </c>
      <c r="M140" s="253">
        <v>500000</v>
      </c>
      <c r="N140" s="253">
        <v>500000</v>
      </c>
      <c r="O140" s="253">
        <v>500000</v>
      </c>
      <c r="P140" s="253">
        <v>500000</v>
      </c>
      <c r="Q140" s="253">
        <v>500000</v>
      </c>
      <c r="R140" s="253">
        <v>500000</v>
      </c>
      <c r="S140" s="317">
        <f t="shared" si="26"/>
        <v>6000000</v>
      </c>
      <c r="T140" s="342">
        <f t="shared" si="27"/>
        <v>6.9838904925970766E-2</v>
      </c>
      <c r="U140" s="161"/>
    </row>
    <row r="141" spans="1:22">
      <c r="A141" s="247" t="s">
        <v>23</v>
      </c>
      <c r="B141" s="243" t="s">
        <v>20</v>
      </c>
      <c r="C141" s="244"/>
      <c r="D141" s="244"/>
      <c r="E141" s="244"/>
      <c r="F141" s="244"/>
      <c r="G141" s="253">
        <v>812325</v>
      </c>
      <c r="H141" s="253">
        <v>812325</v>
      </c>
      <c r="I141" s="253">
        <v>812325</v>
      </c>
      <c r="J141" s="253">
        <v>812325</v>
      </c>
      <c r="K141" s="253">
        <v>812325</v>
      </c>
      <c r="L141" s="253">
        <v>812325</v>
      </c>
      <c r="M141" s="253">
        <v>812325</v>
      </c>
      <c r="N141" s="253">
        <v>812325</v>
      </c>
      <c r="O141" s="253">
        <v>812325</v>
      </c>
      <c r="P141" s="253">
        <v>812325</v>
      </c>
      <c r="Q141" s="253">
        <v>812325</v>
      </c>
      <c r="R141" s="253">
        <v>812329</v>
      </c>
      <c r="S141" s="317">
        <f t="shared" si="26"/>
        <v>9747904</v>
      </c>
      <c r="T141" s="342">
        <f t="shared" si="27"/>
        <v>0.11346382344724834</v>
      </c>
      <c r="U141" s="161"/>
    </row>
    <row r="142" spans="1:22">
      <c r="A142" s="247" t="str">
        <f t="shared" ref="A142" si="28">+CONCATENATE(A66,"p")</f>
        <v>1004p</v>
      </c>
      <c r="B142" s="262" t="str">
        <f>+VLOOKUP(LEFT($A142,LEN(A142)-1)*1,Master!$D$30:$G$226,4,FALSE)</f>
        <v>Povećanje / smanjenje depozita</v>
      </c>
      <c r="C142" s="263"/>
      <c r="D142" s="263"/>
      <c r="E142" s="263"/>
      <c r="F142" s="263"/>
      <c r="G142" s="264">
        <v>155186797.46000001</v>
      </c>
      <c r="H142" s="264">
        <v>86365236.469999999</v>
      </c>
      <c r="I142" s="264">
        <v>-43507376.631949097</v>
      </c>
      <c r="J142" s="264">
        <v>59350731.649049297</v>
      </c>
      <c r="K142" s="264">
        <v>37279514.990495399</v>
      </c>
      <c r="L142" s="264">
        <v>-180830134.934228</v>
      </c>
      <c r="M142" s="264">
        <v>28830648.246645801</v>
      </c>
      <c r="N142" s="264">
        <v>-44648767.598328099</v>
      </c>
      <c r="O142" s="264">
        <v>-49817488.3886519</v>
      </c>
      <c r="P142" s="264">
        <v>5495426.9315742599</v>
      </c>
      <c r="Q142" s="264">
        <v>-3523402.5347963301</v>
      </c>
      <c r="R142" s="264">
        <v>149818815.59247699</v>
      </c>
      <c r="S142" s="324">
        <f t="shared" si="26"/>
        <v>200000001.25228801</v>
      </c>
      <c r="T142" s="347">
        <f t="shared" si="27"/>
        <v>2.3279635121087625</v>
      </c>
      <c r="U142" s="161"/>
    </row>
    <row r="144" spans="1:22">
      <c r="G144" s="172"/>
    </row>
    <row r="145" spans="7:19">
      <c r="G145" s="172"/>
      <c r="H145" s="172"/>
      <c r="I145" s="172"/>
      <c r="J145" s="172"/>
      <c r="K145" s="172"/>
      <c r="L145" s="172"/>
      <c r="M145" s="172"/>
      <c r="N145" s="172"/>
      <c r="O145" s="172"/>
      <c r="P145" s="172"/>
      <c r="Q145" s="172"/>
      <c r="R145" s="172"/>
    </row>
    <row r="146" spans="7:19">
      <c r="N146" s="172"/>
    </row>
    <row r="149" spans="7:19">
      <c r="S149" s="172"/>
    </row>
    <row r="150" spans="7:19">
      <c r="S150" s="172"/>
    </row>
  </sheetData>
  <sheetProtection algorithmName="SHA-512" hashValue="Vfi41jFAIOpDJIzqyBIzv7EjIwNFIhLSVg9XzW6o+jEJuXzjce6tWHmSqq3crGRasjoLOcLp09RNtZI0+PK6YA==" saltValue="jVpQYnzFDN2evhzcSRcREw==" spinCount="100000" sheet="1" objects="1" scenarios="1"/>
  <mergeCells count="117">
    <mergeCell ref="B134:F134"/>
    <mergeCell ref="B135:F135"/>
    <mergeCell ref="B136:F136"/>
    <mergeCell ref="B137:F137"/>
    <mergeCell ref="B138:F138"/>
    <mergeCell ref="B139:F139"/>
    <mergeCell ref="B140:F140"/>
    <mergeCell ref="B83:F85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2" orientation="landscape" r:id="rId1"/>
  <ignoredErrors>
    <ignoredError sqref="G40:H40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49" r:id="rId4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50" r:id="rId5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pageSetUpPr fitToPage="1"/>
  </sheetPr>
  <dimension ref="A1:Z150"/>
  <sheetViews>
    <sheetView zoomScale="90" zoomScaleNormal="90" workbookViewId="0">
      <pane ySplit="1" topLeftCell="A98" activePane="bottomLeft" state="frozen"/>
      <selection pane="bottomLeft" activeCell="T7" sqref="T7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6.85546875" style="173" customWidth="1"/>
    <col min="22" max="23" width="19.85546875" style="129" customWidth="1"/>
    <col min="24" max="24" width="14.5703125" style="129" customWidth="1"/>
    <col min="25" max="16384" width="9.140625" style="129"/>
  </cols>
  <sheetData>
    <row r="1" spans="1:24" s="127" customFormat="1" ht="3" customHeight="1">
      <c r="A1" s="130"/>
      <c r="G1" s="127" t="s">
        <v>6</v>
      </c>
      <c r="O1" s="127" t="s">
        <v>7</v>
      </c>
      <c r="U1" s="354"/>
    </row>
    <row r="2" spans="1:24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4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4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4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  <c r="U5" s="354"/>
    </row>
    <row r="6" spans="1:24">
      <c r="A6" s="136"/>
      <c r="B6" s="137"/>
      <c r="C6" s="137"/>
      <c r="D6" s="137"/>
      <c r="E6" s="137"/>
      <c r="F6" s="137"/>
      <c r="G6" s="138" t="s">
        <v>48</v>
      </c>
      <c r="H6" s="138" t="s">
        <v>49</v>
      </c>
      <c r="I6" s="138" t="s">
        <v>50</v>
      </c>
      <c r="J6" s="138" t="s">
        <v>51</v>
      </c>
      <c r="K6" s="138" t="s">
        <v>52</v>
      </c>
      <c r="L6" s="138" t="s">
        <v>53</v>
      </c>
      <c r="M6" s="138" t="s">
        <v>54</v>
      </c>
      <c r="N6" s="138" t="s">
        <v>55</v>
      </c>
      <c r="O6" s="138" t="s">
        <v>56</v>
      </c>
      <c r="P6" s="138" t="s">
        <v>57</v>
      </c>
      <c r="Q6" s="138" t="s">
        <v>58</v>
      </c>
      <c r="R6" s="138" t="s">
        <v>59</v>
      </c>
      <c r="S6" s="137"/>
      <c r="T6" s="137"/>
    </row>
    <row r="7" spans="1:24" ht="15" customHeight="1">
      <c r="A7" s="136"/>
      <c r="B7" s="584" t="str">
        <f>+Master!G252</f>
        <v>Ostvarenje budžeta</v>
      </c>
      <c r="C7" s="585"/>
      <c r="D7" s="585"/>
      <c r="E7" s="585"/>
      <c r="F7" s="585"/>
      <c r="G7" s="550">
        <v>2023</v>
      </c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4"/>
      <c r="S7" s="139" t="str">
        <f>+Master!G249</f>
        <v>BDP</v>
      </c>
      <c r="T7" s="140">
        <v>6963615000</v>
      </c>
    </row>
    <row r="8" spans="1:24" ht="16.5" customHeight="1">
      <c r="A8" s="136"/>
      <c r="B8" s="586"/>
      <c r="C8" s="587"/>
      <c r="D8" s="587"/>
      <c r="E8" s="587"/>
      <c r="F8" s="588"/>
      <c r="G8" s="141" t="str">
        <f>+[1]Master!G232</f>
        <v>Januar</v>
      </c>
      <c r="H8" s="141" t="str">
        <f>+[1]Master!G233</f>
        <v>Februar</v>
      </c>
      <c r="I8" s="141" t="str">
        <f>+[1]Master!G234</f>
        <v>Mart</v>
      </c>
      <c r="J8" s="141" t="str">
        <f>+[1]Master!G235</f>
        <v>April</v>
      </c>
      <c r="K8" s="141" t="str">
        <f>+[1]Master!G236</f>
        <v>Maj</v>
      </c>
      <c r="L8" s="141" t="str">
        <f>+[1]Master!G237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0" t="str">
        <f>+Master!G247</f>
        <v>Jan - Dec</v>
      </c>
      <c r="T8" s="554"/>
    </row>
    <row r="9" spans="1:24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4">
      <c r="A10" s="145">
        <v>7</v>
      </c>
      <c r="B10" s="570" t="str">
        <f>+VLOOKUP($A10,Master!$D$30:$G$226,4,FALSE)</f>
        <v>Prihodi budžeta</v>
      </c>
      <c r="C10" s="571"/>
      <c r="D10" s="571"/>
      <c r="E10" s="571"/>
      <c r="F10" s="571"/>
      <c r="G10" s="146">
        <f>+G11+G19+SUM(G24:G28)</f>
        <v>167639562.44999999</v>
      </c>
      <c r="H10" s="146">
        <f t="shared" ref="H10:L10" si="1">+H11+H19+SUM(H24:H28)</f>
        <v>142406833.72</v>
      </c>
      <c r="I10" s="146">
        <f t="shared" si="1"/>
        <v>232411249.91</v>
      </c>
      <c r="J10" s="146">
        <f t="shared" si="1"/>
        <v>254923419.53999999</v>
      </c>
      <c r="K10" s="146">
        <f t="shared" si="1"/>
        <v>186627846.50999999</v>
      </c>
      <c r="L10" s="146">
        <f t="shared" si="1"/>
        <v>252458486.69999999</v>
      </c>
      <c r="M10" s="146">
        <f t="shared" ref="M10:R10" si="2">+M11+M19+SUM(M24:M28)</f>
        <v>207966597.41999999</v>
      </c>
      <c r="N10" s="146">
        <f t="shared" si="2"/>
        <v>243418911.19</v>
      </c>
      <c r="O10" s="146">
        <f t="shared" si="2"/>
        <v>215896743.77000001</v>
      </c>
      <c r="P10" s="146">
        <f t="shared" si="2"/>
        <v>220012875.28999999</v>
      </c>
      <c r="Q10" s="146">
        <f t="shared" si="2"/>
        <v>188891736.36000001</v>
      </c>
      <c r="R10" s="146">
        <f t="shared" si="2"/>
        <v>253804047.09</v>
      </c>
      <c r="S10" s="279">
        <f>+SUM(G10:R10)</f>
        <v>2566458309.9499998</v>
      </c>
      <c r="T10" s="325">
        <f>+S10/$T$7*100</f>
        <v>36.855258510845303</v>
      </c>
      <c r="V10" s="357"/>
    </row>
    <row r="11" spans="1:24">
      <c r="A11" s="145">
        <v>711</v>
      </c>
      <c r="B11" s="560" t="str">
        <f>+VLOOKUP($A11,Master!$D$30:$G$226,4,FALSE)</f>
        <v>Porezi</v>
      </c>
      <c r="C11" s="561"/>
      <c r="D11" s="561"/>
      <c r="E11" s="561"/>
      <c r="F11" s="561"/>
      <c r="G11" s="149">
        <f t="shared" ref="G11:L11" si="3">+SUM(G12:G18)</f>
        <v>103490146.19</v>
      </c>
      <c r="H11" s="149">
        <f t="shared" si="3"/>
        <v>91059566.450000003</v>
      </c>
      <c r="I11" s="149">
        <f t="shared" si="3"/>
        <v>151829456.91999999</v>
      </c>
      <c r="J11" s="149">
        <f t="shared" si="3"/>
        <v>191461569.71000001</v>
      </c>
      <c r="K11" s="149">
        <f t="shared" si="3"/>
        <v>130851714.41</v>
      </c>
      <c r="L11" s="149">
        <f t="shared" si="3"/>
        <v>131511620.45999999</v>
      </c>
      <c r="M11" s="149">
        <f t="shared" ref="M11:R11" si="4">+SUM(M12:M18)</f>
        <v>143616587.00999999</v>
      </c>
      <c r="N11" s="149">
        <f t="shared" si="4"/>
        <v>165353455.13</v>
      </c>
      <c r="O11" s="149">
        <f t="shared" si="4"/>
        <v>156517964.88</v>
      </c>
      <c r="P11" s="149">
        <f t="shared" si="4"/>
        <v>146031901.31</v>
      </c>
      <c r="Q11" s="149">
        <f t="shared" si="4"/>
        <v>117280381.45999999</v>
      </c>
      <c r="R11" s="150">
        <f t="shared" si="4"/>
        <v>137012115.59999999</v>
      </c>
      <c r="S11" s="281">
        <f>+SUM(G11:R11)</f>
        <v>1666016479.53</v>
      </c>
      <c r="T11" s="327">
        <f t="shared" ref="T11:T66" si="5">+S11/$T$7*100</f>
        <v>23.9245920334481</v>
      </c>
      <c r="V11" s="161"/>
    </row>
    <row r="12" spans="1:24">
      <c r="A12" s="145">
        <v>7111</v>
      </c>
      <c r="B12" s="562" t="str">
        <f>+VLOOKUP($A12,Master!$D$30:$G$226,4,FALSE)</f>
        <v>Porez na dohodak fizičkih lica</v>
      </c>
      <c r="C12" s="563"/>
      <c r="D12" s="563"/>
      <c r="E12" s="563"/>
      <c r="F12" s="563"/>
      <c r="G12" s="153">
        <v>1481487.87</v>
      </c>
      <c r="H12" s="153">
        <v>3944575.24</v>
      </c>
      <c r="I12" s="153">
        <v>4159428.24</v>
      </c>
      <c r="J12" s="153">
        <v>5386591.0599999996</v>
      </c>
      <c r="K12" s="153">
        <v>5224793.55</v>
      </c>
      <c r="L12" s="153">
        <v>5249731.58</v>
      </c>
      <c r="M12" s="153">
        <v>6015555</v>
      </c>
      <c r="N12" s="153">
        <v>5967013.5800000001</v>
      </c>
      <c r="O12" s="153">
        <v>5893920.4299999997</v>
      </c>
      <c r="P12" s="153">
        <v>6808747.9500000002</v>
      </c>
      <c r="Q12" s="153">
        <v>5681629.2400000002</v>
      </c>
      <c r="R12" s="153">
        <v>10598117.26</v>
      </c>
      <c r="S12" s="270">
        <f>+SUM(G12:R12)</f>
        <v>66411591</v>
      </c>
      <c r="T12" s="329">
        <f t="shared" si="5"/>
        <v>0.95369418039337295</v>
      </c>
    </row>
    <row r="13" spans="1:24">
      <c r="A13" s="145">
        <v>7112</v>
      </c>
      <c r="B13" s="562" t="str">
        <f>+VLOOKUP($A13,Master!$D$30:$G$226,4,FALSE)</f>
        <v>Porez na dobit pravnih lica</v>
      </c>
      <c r="C13" s="563"/>
      <c r="D13" s="563"/>
      <c r="E13" s="563"/>
      <c r="F13" s="563"/>
      <c r="G13" s="153">
        <v>1258566.3799999999</v>
      </c>
      <c r="H13" s="153">
        <v>3765090.36</v>
      </c>
      <c r="I13" s="153">
        <v>37663055.619999997</v>
      </c>
      <c r="J13" s="153">
        <v>77247366.689999998</v>
      </c>
      <c r="K13" s="153">
        <v>6981694.2800000003</v>
      </c>
      <c r="L13" s="153">
        <v>4688222.96</v>
      </c>
      <c r="M13" s="153">
        <v>4152071.33</v>
      </c>
      <c r="N13" s="153">
        <v>3369699.56</v>
      </c>
      <c r="O13" s="153">
        <v>1866160.69</v>
      </c>
      <c r="P13" s="153">
        <v>2296101.2799999998</v>
      </c>
      <c r="Q13" s="153">
        <v>3538790.81</v>
      </c>
      <c r="R13" s="153">
        <v>4457656.51</v>
      </c>
      <c r="S13" s="270">
        <f t="shared" ref="S13:S65" si="6">+SUM(G13:R13)</f>
        <v>151284476.47</v>
      </c>
      <c r="T13" s="329">
        <f t="shared" si="5"/>
        <v>2.17249914692297</v>
      </c>
      <c r="V13" s="161"/>
      <c r="W13" s="161"/>
      <c r="X13" s="358"/>
    </row>
    <row r="14" spans="1:24">
      <c r="A14" s="145">
        <v>7113</v>
      </c>
      <c r="B14" s="562" t="str">
        <f>+VLOOKUP($A14,Master!$D$30:$G$226,4,FALSE)</f>
        <v>Porez na promet nepokretnosti</v>
      </c>
      <c r="C14" s="563"/>
      <c r="D14" s="563"/>
      <c r="E14" s="563"/>
      <c r="F14" s="563"/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3">
        <v>0</v>
      </c>
      <c r="M14" s="153">
        <v>0</v>
      </c>
      <c r="N14" s="153">
        <v>0</v>
      </c>
      <c r="O14" s="153">
        <v>0</v>
      </c>
      <c r="P14" s="153">
        <v>0</v>
      </c>
      <c r="Q14" s="153">
        <v>0</v>
      </c>
      <c r="R14" s="153">
        <v>0</v>
      </c>
      <c r="S14" s="270">
        <f t="shared" si="6"/>
        <v>0</v>
      </c>
      <c r="T14" s="329">
        <f t="shared" si="5"/>
        <v>0</v>
      </c>
      <c r="V14" s="161"/>
      <c r="W14" s="161"/>
      <c r="X14" s="358"/>
    </row>
    <row r="15" spans="1:24">
      <c r="A15" s="145">
        <v>7114</v>
      </c>
      <c r="B15" s="562" t="str">
        <f>+VLOOKUP($A15,Master!$D$30:$G$226,4,FALSE)</f>
        <v>Porez na dodatu vrijednost</v>
      </c>
      <c r="C15" s="563"/>
      <c r="D15" s="563"/>
      <c r="E15" s="563"/>
      <c r="F15" s="563"/>
      <c r="G15" s="153">
        <v>79816016.629999995</v>
      </c>
      <c r="H15" s="153">
        <v>61023809.460000001</v>
      </c>
      <c r="I15" s="153">
        <v>80926297.079999998</v>
      </c>
      <c r="J15" s="153">
        <v>79500899.439999998</v>
      </c>
      <c r="K15" s="153">
        <v>87195794</v>
      </c>
      <c r="L15" s="153">
        <v>87124881.439999998</v>
      </c>
      <c r="M15" s="153">
        <v>92697116.170000002</v>
      </c>
      <c r="N15" s="153">
        <v>112001434.97</v>
      </c>
      <c r="O15" s="153">
        <v>109706758.48999999</v>
      </c>
      <c r="P15" s="153">
        <v>102950012.68000001</v>
      </c>
      <c r="Q15" s="153">
        <v>78394633.030000001</v>
      </c>
      <c r="R15" s="153">
        <v>87929424.079999998</v>
      </c>
      <c r="S15" s="270">
        <f t="shared" si="6"/>
        <v>1059267077.47</v>
      </c>
      <c r="T15" s="329">
        <f t="shared" si="5"/>
        <v>15.2114537847081</v>
      </c>
      <c r="V15" s="161"/>
      <c r="W15" s="161"/>
      <c r="X15" s="358"/>
    </row>
    <row r="16" spans="1:24">
      <c r="A16" s="145">
        <v>7115</v>
      </c>
      <c r="B16" s="562" t="str">
        <f>+VLOOKUP($A16,Master!$D$30:$G$226,4,FALSE)</f>
        <v>Akcize</v>
      </c>
      <c r="C16" s="563"/>
      <c r="D16" s="563"/>
      <c r="E16" s="563"/>
      <c r="F16" s="563"/>
      <c r="G16" s="153">
        <v>17494328.440000001</v>
      </c>
      <c r="H16" s="153">
        <v>18190262.670000002</v>
      </c>
      <c r="I16" s="153">
        <v>22619973.850000001</v>
      </c>
      <c r="J16" s="153">
        <v>24163018.859999999</v>
      </c>
      <c r="K16" s="153">
        <v>25793019.07</v>
      </c>
      <c r="L16" s="153">
        <v>28449742.41</v>
      </c>
      <c r="M16" s="153">
        <v>34815701.960000001</v>
      </c>
      <c r="N16" s="153">
        <v>37644944.32</v>
      </c>
      <c r="O16" s="153">
        <v>33046282.23</v>
      </c>
      <c r="P16" s="153">
        <v>28234460.510000002</v>
      </c>
      <c r="Q16" s="153">
        <v>24175706.739999998</v>
      </c>
      <c r="R16" s="153">
        <v>28494203.899999999</v>
      </c>
      <c r="S16" s="270">
        <f t="shared" si="6"/>
        <v>323121644.95999998</v>
      </c>
      <c r="T16" s="329">
        <f t="shared" si="5"/>
        <v>4.64014229620678</v>
      </c>
      <c r="V16" s="161"/>
      <c r="W16" s="161"/>
      <c r="X16" s="358"/>
    </row>
    <row r="17" spans="1:24">
      <c r="A17" s="145">
        <v>7116</v>
      </c>
      <c r="B17" s="562" t="str">
        <f>+VLOOKUP($A17,Master!$D$30:$G$226,4,FALSE)</f>
        <v>Porez na međunarodnu trgovinu i transakcije</v>
      </c>
      <c r="C17" s="563"/>
      <c r="D17" s="563"/>
      <c r="E17" s="563"/>
      <c r="F17" s="563"/>
      <c r="G17" s="153">
        <v>2467588.1800000002</v>
      </c>
      <c r="H17" s="153">
        <v>3220443.49</v>
      </c>
      <c r="I17" s="153">
        <v>5443960.21</v>
      </c>
      <c r="J17" s="153">
        <v>4088105.68</v>
      </c>
      <c r="K17" s="153">
        <v>4535373.51</v>
      </c>
      <c r="L17" s="153">
        <v>4729381.13</v>
      </c>
      <c r="M17" s="153">
        <v>4795015.53</v>
      </c>
      <c r="N17" s="153">
        <v>5109171.41</v>
      </c>
      <c r="O17" s="153">
        <v>4643119.99</v>
      </c>
      <c r="P17" s="153">
        <v>4489829.42</v>
      </c>
      <c r="Q17" s="153">
        <v>4266242.05</v>
      </c>
      <c r="R17" s="153">
        <v>4403080.1100000003</v>
      </c>
      <c r="S17" s="270">
        <f t="shared" si="6"/>
        <v>52191310.710000001</v>
      </c>
      <c r="T17" s="329">
        <f t="shared" si="5"/>
        <v>0.74948587350104801</v>
      </c>
      <c r="V17" s="161"/>
      <c r="W17" s="161"/>
      <c r="X17" s="358"/>
    </row>
    <row r="18" spans="1:24">
      <c r="A18" s="145">
        <v>7118</v>
      </c>
      <c r="B18" s="562" t="str">
        <f>+VLOOKUP($A18,Master!$D$30:$G$226,4,FALSE)</f>
        <v>Ostali državni porezi</v>
      </c>
      <c r="C18" s="563"/>
      <c r="D18" s="563"/>
      <c r="E18" s="563"/>
      <c r="F18" s="563"/>
      <c r="G18" s="153">
        <v>972158.69</v>
      </c>
      <c r="H18" s="153">
        <v>915385.23</v>
      </c>
      <c r="I18" s="153">
        <v>1016741.92</v>
      </c>
      <c r="J18" s="153">
        <v>1075587.98</v>
      </c>
      <c r="K18" s="153">
        <v>1121040</v>
      </c>
      <c r="L18" s="153">
        <v>1269660.94</v>
      </c>
      <c r="M18" s="153">
        <v>1141127.02</v>
      </c>
      <c r="N18" s="153">
        <v>1261191.29</v>
      </c>
      <c r="O18" s="153">
        <v>1361723.05</v>
      </c>
      <c r="P18" s="153">
        <v>1252749.47</v>
      </c>
      <c r="Q18" s="153">
        <v>1223379.5900000001</v>
      </c>
      <c r="R18" s="153">
        <v>1129633.74</v>
      </c>
      <c r="S18" s="270">
        <f t="shared" si="6"/>
        <v>13740378.92</v>
      </c>
      <c r="T18" s="329">
        <f t="shared" si="5"/>
        <v>0.197316751715883</v>
      </c>
      <c r="V18" s="161"/>
      <c r="W18" s="161"/>
      <c r="X18" s="358"/>
    </row>
    <row r="19" spans="1:24">
      <c r="A19" s="145">
        <v>712</v>
      </c>
      <c r="B19" s="566" t="str">
        <f>+VLOOKUP($A19,Master!$D$30:$G$226,4,FALSE)</f>
        <v>Doprinosi</v>
      </c>
      <c r="C19" s="567"/>
      <c r="D19" s="567"/>
      <c r="E19" s="567"/>
      <c r="F19" s="567"/>
      <c r="G19" s="156">
        <v>15617329.630000001</v>
      </c>
      <c r="H19" s="156">
        <v>41494879.259999998</v>
      </c>
      <c r="I19" s="156">
        <v>42670635.130000003</v>
      </c>
      <c r="J19" s="156">
        <f t="shared" ref="J19:R19" si="7">SUM(J20:J23)</f>
        <v>47597807.859999999</v>
      </c>
      <c r="K19" s="156">
        <f t="shared" si="7"/>
        <v>45975315.240000002</v>
      </c>
      <c r="L19" s="156">
        <f t="shared" si="7"/>
        <v>48052163.109999999</v>
      </c>
      <c r="M19" s="156">
        <f t="shared" si="7"/>
        <v>48400583.619999997</v>
      </c>
      <c r="N19" s="156">
        <f t="shared" si="7"/>
        <v>49792973.810000002</v>
      </c>
      <c r="O19" s="156">
        <f t="shared" si="7"/>
        <v>48149305.770000003</v>
      </c>
      <c r="P19" s="156">
        <f t="shared" si="7"/>
        <v>51603762.280000001</v>
      </c>
      <c r="Q19" s="156">
        <f t="shared" si="7"/>
        <v>47289989.950000003</v>
      </c>
      <c r="R19" s="156">
        <f t="shared" si="7"/>
        <v>89085844.590000004</v>
      </c>
      <c r="S19" s="284">
        <f t="shared" si="6"/>
        <v>575730590.25</v>
      </c>
      <c r="T19" s="330">
        <f t="shared" si="5"/>
        <v>8.2676970258981903</v>
      </c>
      <c r="V19" s="161"/>
      <c r="W19" s="161"/>
      <c r="X19" s="358"/>
    </row>
    <row r="20" spans="1:24">
      <c r="A20" s="145">
        <v>7121</v>
      </c>
      <c r="B20" s="562" t="str">
        <f>+VLOOKUP($A20,Master!$D$30:$G$226,4,FALSE)</f>
        <v>Doprinosi za penzijsko i invalidsko osiguranje</v>
      </c>
      <c r="C20" s="563"/>
      <c r="D20" s="563"/>
      <c r="E20" s="563"/>
      <c r="F20" s="563"/>
      <c r="G20" s="153">
        <v>14209639.380000001</v>
      </c>
      <c r="H20" s="153">
        <v>37909924.049999997</v>
      </c>
      <c r="I20" s="153">
        <v>39108292.090000004</v>
      </c>
      <c r="J20" s="153">
        <v>43483738.68</v>
      </c>
      <c r="K20" s="153">
        <v>41997766.549999997</v>
      </c>
      <c r="L20" s="153">
        <v>44039789.280000001</v>
      </c>
      <c r="M20" s="153">
        <v>44449178.460000001</v>
      </c>
      <c r="N20" s="153">
        <v>45814075.689999998</v>
      </c>
      <c r="O20" s="153">
        <v>43602487.670000002</v>
      </c>
      <c r="P20" s="153">
        <v>47259866.420000002</v>
      </c>
      <c r="Q20" s="153">
        <v>43114463.939999998</v>
      </c>
      <c r="R20" s="153">
        <v>81523024.159999996</v>
      </c>
      <c r="S20" s="270">
        <f t="shared" si="6"/>
        <v>526512246.37</v>
      </c>
      <c r="T20" s="329">
        <f t="shared" si="5"/>
        <v>7.5609040185306098</v>
      </c>
      <c r="V20" s="161"/>
      <c r="W20" s="161"/>
      <c r="X20" s="358"/>
    </row>
    <row r="21" spans="1:24">
      <c r="A21" s="145">
        <v>7122</v>
      </c>
      <c r="B21" s="562" t="str">
        <f>+VLOOKUP($A21,Master!$D$30:$G$226,4,FALSE)</f>
        <v>Doprinosi za zdravstveno osiguranje</v>
      </c>
      <c r="C21" s="563"/>
      <c r="D21" s="563"/>
      <c r="E21" s="563"/>
      <c r="F21" s="563"/>
      <c r="G21" s="153">
        <v>302309.90000000002</v>
      </c>
      <c r="H21" s="153">
        <v>645770.62</v>
      </c>
      <c r="I21" s="153">
        <v>422256.94</v>
      </c>
      <c r="J21" s="153">
        <v>537238.13</v>
      </c>
      <c r="K21" s="153">
        <v>599016.13</v>
      </c>
      <c r="L21" s="153">
        <v>555487.37</v>
      </c>
      <c r="M21" s="153">
        <v>488484.82</v>
      </c>
      <c r="N21" s="153">
        <v>429326.82</v>
      </c>
      <c r="O21" s="153">
        <v>1028891.14</v>
      </c>
      <c r="P21" s="153">
        <v>464431.04</v>
      </c>
      <c r="Q21" s="153">
        <v>591360.93000000005</v>
      </c>
      <c r="R21" s="153">
        <v>965969</v>
      </c>
      <c r="S21" s="270">
        <f t="shared" si="6"/>
        <v>7030542.8399999999</v>
      </c>
      <c r="T21" s="329">
        <f t="shared" si="5"/>
        <v>0.10096110770052601</v>
      </c>
      <c r="V21" s="161"/>
      <c r="W21" s="161"/>
      <c r="X21" s="358"/>
    </row>
    <row r="22" spans="1:24">
      <c r="A22" s="145">
        <v>7123</v>
      </c>
      <c r="B22" s="562" t="str">
        <f>+VLOOKUP($A22,Master!$D$30:$G$226,4,FALSE)</f>
        <v>Doprinosi za osiguranje od nezaposlenosti</v>
      </c>
      <c r="C22" s="563"/>
      <c r="D22" s="563"/>
      <c r="E22" s="563"/>
      <c r="F22" s="563"/>
      <c r="G22" s="153">
        <v>658854.47</v>
      </c>
      <c r="H22" s="153">
        <v>1731553.43</v>
      </c>
      <c r="I22" s="153">
        <v>1770290.32</v>
      </c>
      <c r="J22" s="153">
        <v>2000792.34</v>
      </c>
      <c r="K22" s="153">
        <v>1915310.31</v>
      </c>
      <c r="L22" s="153">
        <v>1979006.25</v>
      </c>
      <c r="M22" s="153">
        <v>1993336.72</v>
      </c>
      <c r="N22" s="153">
        <v>2115793.1</v>
      </c>
      <c r="O22" s="153">
        <v>2051057.28</v>
      </c>
      <c r="P22" s="153">
        <v>2219307.1800000002</v>
      </c>
      <c r="Q22" s="153">
        <v>2018981.01</v>
      </c>
      <c r="R22" s="153">
        <v>3765884.68</v>
      </c>
      <c r="S22" s="270">
        <f t="shared" si="6"/>
        <v>24220167.09</v>
      </c>
      <c r="T22" s="329">
        <f t="shared" si="5"/>
        <v>0.34781025501840601</v>
      </c>
    </row>
    <row r="23" spans="1:24">
      <c r="A23" s="145">
        <v>7124</v>
      </c>
      <c r="B23" s="562" t="str">
        <f>+VLOOKUP($A23,Master!$D$30:$G$226,4,FALSE)</f>
        <v>Ostali doprinosi</v>
      </c>
      <c r="C23" s="563"/>
      <c r="D23" s="563"/>
      <c r="E23" s="563"/>
      <c r="F23" s="563"/>
      <c r="G23" s="153">
        <v>446525.88</v>
      </c>
      <c r="H23" s="153">
        <v>1207631.1599999999</v>
      </c>
      <c r="I23" s="153">
        <v>1369795.78</v>
      </c>
      <c r="J23" s="153">
        <v>1576038.71</v>
      </c>
      <c r="K23" s="153">
        <v>1463222.25</v>
      </c>
      <c r="L23" s="153">
        <v>1477880.21</v>
      </c>
      <c r="M23" s="153">
        <v>1469583.62</v>
      </c>
      <c r="N23" s="153">
        <v>1433778.2</v>
      </c>
      <c r="O23" s="153">
        <v>1466869.68</v>
      </c>
      <c r="P23" s="153">
        <v>1660157.64</v>
      </c>
      <c r="Q23" s="153">
        <v>1565184.07</v>
      </c>
      <c r="R23" s="153">
        <v>2830966.75</v>
      </c>
      <c r="S23" s="270">
        <f t="shared" si="6"/>
        <v>17967633.949999999</v>
      </c>
      <c r="T23" s="329">
        <f t="shared" si="5"/>
        <v>0.25802164464864902</v>
      </c>
      <c r="V23" s="359"/>
      <c r="W23" s="359"/>
      <c r="X23" s="358"/>
    </row>
    <row r="24" spans="1:24">
      <c r="A24" s="145">
        <v>713</v>
      </c>
      <c r="B24" s="566" t="str">
        <f>+VLOOKUP($A24,Master!$D$30:$G$226,4,FALSE)</f>
        <v>Takse</v>
      </c>
      <c r="C24" s="567"/>
      <c r="D24" s="567"/>
      <c r="E24" s="567"/>
      <c r="F24" s="567"/>
      <c r="G24" s="159">
        <v>747597.88</v>
      </c>
      <c r="H24" s="159">
        <v>957673.57</v>
      </c>
      <c r="I24" s="159">
        <v>1088989.1200000001</v>
      </c>
      <c r="J24" s="159">
        <v>1037186.55</v>
      </c>
      <c r="K24" s="159">
        <v>1360645.21</v>
      </c>
      <c r="L24" s="159">
        <v>1440002.88</v>
      </c>
      <c r="M24" s="159">
        <v>1576889.58</v>
      </c>
      <c r="N24" s="159">
        <v>1784267.63</v>
      </c>
      <c r="O24" s="159">
        <v>1532937.43</v>
      </c>
      <c r="P24" s="159">
        <v>1531116.13</v>
      </c>
      <c r="Q24" s="159">
        <v>1288575.6000000001</v>
      </c>
      <c r="R24" s="159">
        <v>1671271.48</v>
      </c>
      <c r="S24" s="284">
        <f t="shared" si="6"/>
        <v>16017153.060000001</v>
      </c>
      <c r="T24" s="330">
        <f t="shared" si="5"/>
        <v>0.23001204202127801</v>
      </c>
    </row>
    <row r="25" spans="1:24">
      <c r="A25" s="145">
        <v>714</v>
      </c>
      <c r="B25" s="566" t="str">
        <f>+VLOOKUP($A25,Master!$D$30:$G$226,4,FALSE)</f>
        <v>Naknade</v>
      </c>
      <c r="C25" s="567"/>
      <c r="D25" s="567"/>
      <c r="E25" s="567"/>
      <c r="F25" s="567"/>
      <c r="G25" s="159">
        <v>11787074.77</v>
      </c>
      <c r="H25" s="159">
        <v>3748417.33</v>
      </c>
      <c r="I25" s="159">
        <v>3332694.04</v>
      </c>
      <c r="J25" s="159">
        <v>3365130.83</v>
      </c>
      <c r="K25" s="159">
        <v>4607961.24</v>
      </c>
      <c r="L25" s="159">
        <v>4411415.88</v>
      </c>
      <c r="M25" s="159">
        <v>4145262.4</v>
      </c>
      <c r="N25" s="159">
        <v>3786345.67</v>
      </c>
      <c r="O25" s="159">
        <v>3252285.31</v>
      </c>
      <c r="P25" s="159">
        <v>3955363.51</v>
      </c>
      <c r="Q25" s="159">
        <v>5546279.5099999998</v>
      </c>
      <c r="R25" s="159">
        <v>3779355.23</v>
      </c>
      <c r="S25" s="284">
        <f t="shared" si="6"/>
        <v>55717585.719999999</v>
      </c>
      <c r="T25" s="330">
        <f t="shared" si="5"/>
        <v>0.80012444283608397</v>
      </c>
    </row>
    <row r="26" spans="1:24">
      <c r="A26" s="145">
        <v>715</v>
      </c>
      <c r="B26" s="566" t="str">
        <f>+VLOOKUP($A26,Master!$D$30:$G$226,4,FALSE)</f>
        <v>Ostali prihodi</v>
      </c>
      <c r="C26" s="567"/>
      <c r="D26" s="567"/>
      <c r="E26" s="567"/>
      <c r="F26" s="567"/>
      <c r="G26" s="159">
        <v>34581504.68</v>
      </c>
      <c r="H26" s="159">
        <v>2085915.62</v>
      </c>
      <c r="I26" s="159">
        <v>3225147.62</v>
      </c>
      <c r="J26" s="159">
        <v>7985467.3899999997</v>
      </c>
      <c r="K26" s="159">
        <v>2083663.61</v>
      </c>
      <c r="L26" s="159">
        <v>62831828.380000003</v>
      </c>
      <c r="M26" s="159">
        <v>7395159.46</v>
      </c>
      <c r="N26" s="159">
        <v>20718448.5</v>
      </c>
      <c r="O26" s="159">
        <v>2202381.48</v>
      </c>
      <c r="P26" s="159">
        <v>14370883.220000001</v>
      </c>
      <c r="Q26" s="159">
        <v>15509901.460000001</v>
      </c>
      <c r="R26" s="159">
        <v>8722052.1400000006</v>
      </c>
      <c r="S26" s="284">
        <f t="shared" si="6"/>
        <v>181712353.56</v>
      </c>
      <c r="T26" s="330">
        <f t="shared" si="5"/>
        <v>2.60945433600221</v>
      </c>
    </row>
    <row r="27" spans="1:24">
      <c r="A27" s="145">
        <v>73</v>
      </c>
      <c r="B27" s="566" t="str">
        <f>+VLOOKUP($A27,Master!$D$30:$G$226,4,FALSE)</f>
        <v>Primici od otplate kredita i sredstva prenesena iz prethodne godine</v>
      </c>
      <c r="C27" s="567"/>
      <c r="D27" s="567"/>
      <c r="E27" s="567"/>
      <c r="F27" s="567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159">
        <v>0</v>
      </c>
      <c r="M27" s="159">
        <v>0</v>
      </c>
      <c r="N27" s="159">
        <v>0</v>
      </c>
      <c r="O27" s="159">
        <v>0</v>
      </c>
      <c r="P27" s="159">
        <v>0</v>
      </c>
      <c r="Q27" s="159">
        <v>0</v>
      </c>
      <c r="R27" s="159">
        <v>0</v>
      </c>
      <c r="S27" s="284">
        <f t="shared" si="6"/>
        <v>0</v>
      </c>
      <c r="T27" s="330">
        <f t="shared" si="5"/>
        <v>0</v>
      </c>
    </row>
    <row r="28" spans="1:24">
      <c r="A28" s="145">
        <v>74</v>
      </c>
      <c r="B28" s="568" t="str">
        <f>+VLOOKUP($A28,Master!$D$30:$G$226,4,FALSE)</f>
        <v>Donacije i transferi</v>
      </c>
      <c r="C28" s="569"/>
      <c r="D28" s="569"/>
      <c r="E28" s="569"/>
      <c r="F28" s="569"/>
      <c r="G28" s="159">
        <v>1415909.3</v>
      </c>
      <c r="H28" s="159">
        <v>3060381.49</v>
      </c>
      <c r="I28" s="159">
        <v>30264327.079999998</v>
      </c>
      <c r="J28" s="159">
        <v>3476257.2</v>
      </c>
      <c r="K28" s="159">
        <v>1748546.8</v>
      </c>
      <c r="L28" s="159">
        <v>4211455.99</v>
      </c>
      <c r="M28" s="159">
        <v>2832115.35</v>
      </c>
      <c r="N28" s="159">
        <v>1983420.45</v>
      </c>
      <c r="O28" s="159">
        <v>4241868.9000000004</v>
      </c>
      <c r="P28" s="159">
        <v>2519848.84</v>
      </c>
      <c r="Q28" s="159">
        <v>1976608.38</v>
      </c>
      <c r="R28" s="159">
        <v>13533408.050000001</v>
      </c>
      <c r="S28" s="284">
        <f t="shared" si="6"/>
        <v>71264147.829999998</v>
      </c>
      <c r="T28" s="331">
        <f t="shared" si="5"/>
        <v>1.0233786306393999</v>
      </c>
    </row>
    <row r="29" spans="1:24">
      <c r="A29" s="145">
        <v>4</v>
      </c>
      <c r="B29" s="570" t="str">
        <f>+VLOOKUP($A29,Master!$D$30:$G$226,4,FALSE)</f>
        <v>Izdaci budžeta</v>
      </c>
      <c r="C29" s="571"/>
      <c r="D29" s="571"/>
      <c r="E29" s="571"/>
      <c r="F29" s="571"/>
      <c r="G29" s="146">
        <f>+G30+G40+G46+SUM(G47:G51)</f>
        <v>114994087.69</v>
      </c>
      <c r="H29" s="146">
        <f t="shared" ref="H29:L29" si="8">+H30+H40+H46+SUM(H47:H51)</f>
        <v>170548361.66</v>
      </c>
      <c r="I29" s="146">
        <f t="shared" si="8"/>
        <v>193714169.75999999</v>
      </c>
      <c r="J29" s="146">
        <f t="shared" si="8"/>
        <v>205901011.37</v>
      </c>
      <c r="K29" s="146">
        <f t="shared" si="8"/>
        <v>189878174.31999999</v>
      </c>
      <c r="L29" s="146">
        <f t="shared" si="8"/>
        <v>196451004.61000001</v>
      </c>
      <c r="M29" s="146">
        <f t="shared" ref="M29:R29" si="9">+M30+M40+M46+SUM(M47:M51)</f>
        <v>223724427.05000001</v>
      </c>
      <c r="N29" s="146">
        <f t="shared" si="9"/>
        <v>200311830.40000001</v>
      </c>
      <c r="O29" s="146">
        <f t="shared" si="9"/>
        <v>231561744.97</v>
      </c>
      <c r="P29" s="146">
        <f t="shared" si="9"/>
        <v>213080411.16999999</v>
      </c>
      <c r="Q29" s="146">
        <f t="shared" si="9"/>
        <v>215248581.94</v>
      </c>
      <c r="R29" s="146">
        <f t="shared" si="9"/>
        <v>400109213.88999999</v>
      </c>
      <c r="S29" s="287">
        <f t="shared" si="6"/>
        <v>2555523018.8299999</v>
      </c>
      <c r="T29" s="332">
        <f t="shared" si="5"/>
        <v>36.698223822396798</v>
      </c>
    </row>
    <row r="30" spans="1:24">
      <c r="A30" s="145">
        <v>41</v>
      </c>
      <c r="B30" s="574" t="str">
        <f>+VLOOKUP($A30,Master!$D$30:$G$226,4,FALSE)</f>
        <v>Tekući izdaci</v>
      </c>
      <c r="C30" s="575"/>
      <c r="D30" s="575"/>
      <c r="E30" s="575"/>
      <c r="F30" s="575"/>
      <c r="G30" s="168">
        <f t="shared" ref="G30:L30" si="10">+SUM(G31:G39)</f>
        <v>53320798.630000003</v>
      </c>
      <c r="H30" s="168">
        <f t="shared" si="10"/>
        <v>71583540.930000007</v>
      </c>
      <c r="I30" s="168">
        <f t="shared" si="10"/>
        <v>83323034.129999995</v>
      </c>
      <c r="J30" s="168">
        <f t="shared" si="10"/>
        <v>95217473.650000006</v>
      </c>
      <c r="K30" s="168">
        <f t="shared" si="10"/>
        <v>92282783.609999999</v>
      </c>
      <c r="L30" s="168">
        <f t="shared" si="10"/>
        <v>78005206.319999993</v>
      </c>
      <c r="M30" s="168">
        <f t="shared" ref="M30:R30" si="11">+SUM(M31:M39)</f>
        <v>89291081.400000006</v>
      </c>
      <c r="N30" s="168">
        <f t="shared" si="11"/>
        <v>73763582.890000001</v>
      </c>
      <c r="O30" s="168">
        <f t="shared" si="11"/>
        <v>97193476.170000002</v>
      </c>
      <c r="P30" s="168">
        <f t="shared" si="11"/>
        <v>82133761.140000001</v>
      </c>
      <c r="Q30" s="168">
        <f t="shared" si="11"/>
        <v>92909057.409999996</v>
      </c>
      <c r="R30" s="169">
        <f t="shared" si="11"/>
        <v>164155229.81</v>
      </c>
      <c r="S30" s="289">
        <f t="shared" si="6"/>
        <v>1073179026.09</v>
      </c>
      <c r="T30" s="327">
        <f t="shared" si="5"/>
        <v>15.4112343386301</v>
      </c>
      <c r="U30" s="355"/>
    </row>
    <row r="31" spans="1:24">
      <c r="A31" s="145">
        <v>411</v>
      </c>
      <c r="B31" s="562" t="str">
        <f>+VLOOKUP($A31,Master!$D$30:$G$226,4,FALSE)</f>
        <v>Bruto zarade i doprinosi na teret poslodavca</v>
      </c>
      <c r="C31" s="563"/>
      <c r="D31" s="563"/>
      <c r="E31" s="563"/>
      <c r="F31" s="563"/>
      <c r="G31" s="153">
        <v>45778601.380000003</v>
      </c>
      <c r="H31" s="153">
        <v>54859279.479999997</v>
      </c>
      <c r="I31" s="153">
        <v>52148208.229999997</v>
      </c>
      <c r="J31" s="153">
        <v>53967761.119999997</v>
      </c>
      <c r="K31" s="153">
        <v>54201006.710000001</v>
      </c>
      <c r="L31" s="153">
        <v>53631381.200000003</v>
      </c>
      <c r="M31" s="153">
        <v>54042257.670000002</v>
      </c>
      <c r="N31" s="153">
        <v>51900966.359999999</v>
      </c>
      <c r="O31" s="153">
        <v>52967490.280000001</v>
      </c>
      <c r="P31" s="356">
        <v>52607962.630000003</v>
      </c>
      <c r="Q31" s="153">
        <v>53262059.859999999</v>
      </c>
      <c r="R31" s="153">
        <v>63771763.909999996</v>
      </c>
      <c r="S31" s="270">
        <f t="shared" si="6"/>
        <v>643138738.83000004</v>
      </c>
      <c r="T31" s="329">
        <f t="shared" si="5"/>
        <v>9.2357021292819894</v>
      </c>
      <c r="U31" s="355"/>
    </row>
    <row r="32" spans="1:24">
      <c r="A32" s="145">
        <v>412</v>
      </c>
      <c r="B32" s="562" t="str">
        <f>+VLOOKUP($A32,Master!$D$30:$G$226,4,FALSE)</f>
        <v>Ostala lična primanja</v>
      </c>
      <c r="C32" s="563"/>
      <c r="D32" s="563"/>
      <c r="E32" s="563"/>
      <c r="F32" s="563"/>
      <c r="G32" s="153">
        <v>299493.63</v>
      </c>
      <c r="H32" s="153">
        <v>1011550.84</v>
      </c>
      <c r="I32" s="153">
        <v>2090344.12</v>
      </c>
      <c r="J32" s="153">
        <v>1457765.06</v>
      </c>
      <c r="K32" s="153">
        <v>1372359.77</v>
      </c>
      <c r="L32" s="153">
        <v>1509812.18</v>
      </c>
      <c r="M32" s="153">
        <v>1584706.25</v>
      </c>
      <c r="N32" s="153">
        <v>1451954.59</v>
      </c>
      <c r="O32" s="153">
        <v>1491031.94</v>
      </c>
      <c r="P32" s="153">
        <v>1738182.76</v>
      </c>
      <c r="Q32" s="153">
        <v>1512560.25</v>
      </c>
      <c r="R32" s="153">
        <v>2898398.44</v>
      </c>
      <c r="S32" s="270">
        <f t="shared" si="6"/>
        <v>18418159.829999998</v>
      </c>
      <c r="T32" s="329">
        <f t="shared" si="5"/>
        <v>0.26449135729071799</v>
      </c>
      <c r="U32" s="355"/>
      <c r="V32" s="173"/>
    </row>
    <row r="33" spans="1:24">
      <c r="A33" s="145">
        <v>413</v>
      </c>
      <c r="B33" s="562" t="str">
        <f>+VLOOKUP($A33,Master!$D$30:$G$226,4,FALSE)</f>
        <v>Rashodi za materijal</v>
      </c>
      <c r="C33" s="563"/>
      <c r="D33" s="563"/>
      <c r="E33" s="563"/>
      <c r="F33" s="563"/>
      <c r="G33" s="153">
        <v>94282.16</v>
      </c>
      <c r="H33" s="153">
        <v>2773833.27</v>
      </c>
      <c r="I33" s="153">
        <v>5143114.03</v>
      </c>
      <c r="J33" s="153">
        <v>1985561.7</v>
      </c>
      <c r="K33" s="153">
        <v>3182782.03</v>
      </c>
      <c r="L33" s="153">
        <v>3141733.13</v>
      </c>
      <c r="M33" s="153">
        <v>5440332.5300000003</v>
      </c>
      <c r="N33" s="153">
        <v>3657357.97</v>
      </c>
      <c r="O33" s="153">
        <v>2712249.46</v>
      </c>
      <c r="P33" s="153">
        <v>2980903.44</v>
      </c>
      <c r="Q33" s="153">
        <v>3119936.27</v>
      </c>
      <c r="R33" s="153">
        <v>11505508.789999999</v>
      </c>
      <c r="S33" s="270">
        <f t="shared" si="6"/>
        <v>45737594.780000001</v>
      </c>
      <c r="T33" s="329">
        <f t="shared" si="5"/>
        <v>0.65680820636982395</v>
      </c>
      <c r="U33" s="355"/>
    </row>
    <row r="34" spans="1:24" s="267" customFormat="1">
      <c r="A34" s="272">
        <v>414</v>
      </c>
      <c r="B34" s="600" t="str">
        <f>+VLOOKUP($A34,Master!$D$30:$G$226,4,FALSE)</f>
        <v>Rashodi za usluge</v>
      </c>
      <c r="C34" s="601"/>
      <c r="D34" s="601"/>
      <c r="E34" s="601"/>
      <c r="F34" s="601"/>
      <c r="G34" s="153">
        <v>877592.34</v>
      </c>
      <c r="H34" s="153">
        <v>3752919.1</v>
      </c>
      <c r="I34" s="153">
        <v>6999568.0099999998</v>
      </c>
      <c r="J34" s="153">
        <v>5102568.46</v>
      </c>
      <c r="K34" s="153">
        <v>5116679.26</v>
      </c>
      <c r="L34" s="153">
        <v>5830436.9199999999</v>
      </c>
      <c r="M34" s="153">
        <v>6718533.9000000004</v>
      </c>
      <c r="N34" s="153">
        <v>3653259.46</v>
      </c>
      <c r="O34" s="153">
        <v>5416254.2699999996</v>
      </c>
      <c r="P34" s="153">
        <v>7914517.2699999996</v>
      </c>
      <c r="Q34" s="153">
        <v>4538639.66</v>
      </c>
      <c r="R34" s="153">
        <v>16484846.84</v>
      </c>
      <c r="S34" s="270">
        <f t="shared" si="6"/>
        <v>72405815.489999995</v>
      </c>
      <c r="T34" s="329">
        <f t="shared" si="5"/>
        <v>1.0397733862368901</v>
      </c>
      <c r="U34" s="355"/>
    </row>
    <row r="35" spans="1:24">
      <c r="A35" s="145">
        <v>415</v>
      </c>
      <c r="B35" s="562" t="str">
        <f>+VLOOKUP($A35,Master!$D$30:$G$226,4,FALSE)</f>
        <v>Rashodi za tekuće održavanje</v>
      </c>
      <c r="C35" s="563"/>
      <c r="D35" s="563"/>
      <c r="E35" s="563"/>
      <c r="F35" s="563"/>
      <c r="G35" s="153">
        <v>4072.04</v>
      </c>
      <c r="H35" s="153">
        <v>554177.94999999995</v>
      </c>
      <c r="I35" s="153">
        <v>3339189.76</v>
      </c>
      <c r="J35" s="153">
        <v>1157173.79</v>
      </c>
      <c r="K35" s="153">
        <v>1740589.31</v>
      </c>
      <c r="L35" s="153">
        <v>2282051.2599999998</v>
      </c>
      <c r="M35" s="153">
        <v>2332626.6800000002</v>
      </c>
      <c r="N35" s="153">
        <v>2092555.94</v>
      </c>
      <c r="O35" s="153">
        <v>2849519.48</v>
      </c>
      <c r="P35" s="153">
        <v>4021885.51</v>
      </c>
      <c r="Q35" s="153">
        <v>1422107.55</v>
      </c>
      <c r="R35" s="153">
        <v>8369217.7199999997</v>
      </c>
      <c r="S35" s="270">
        <f t="shared" si="6"/>
        <v>30165166.989999998</v>
      </c>
      <c r="T35" s="329">
        <f t="shared" si="5"/>
        <v>0.43318257815804001</v>
      </c>
      <c r="U35" s="355"/>
    </row>
    <row r="36" spans="1:24">
      <c r="A36" s="145">
        <v>416</v>
      </c>
      <c r="B36" s="562" t="str">
        <f>+VLOOKUP($A36,Master!$D$30:$G$226,4,FALSE)</f>
        <v>Kamate</v>
      </c>
      <c r="C36" s="563"/>
      <c r="D36" s="563"/>
      <c r="E36" s="563"/>
      <c r="F36" s="563"/>
      <c r="G36" s="153">
        <v>3966895.76</v>
      </c>
      <c r="H36" s="153">
        <v>2431066.79</v>
      </c>
      <c r="I36" s="153">
        <v>1735632.81</v>
      </c>
      <c r="J36" s="153">
        <v>23140004.239999998</v>
      </c>
      <c r="K36" s="153">
        <v>14675383.51</v>
      </c>
      <c r="L36" s="153">
        <v>2918464.11</v>
      </c>
      <c r="M36" s="153">
        <v>7564242.8499999996</v>
      </c>
      <c r="N36" s="153">
        <v>3788551.1</v>
      </c>
      <c r="O36" s="153">
        <v>19220007.579999998</v>
      </c>
      <c r="P36" s="153">
        <v>2174027.4</v>
      </c>
      <c r="Q36" s="153">
        <v>16506464.789999999</v>
      </c>
      <c r="R36" s="153">
        <v>26422235.300000001</v>
      </c>
      <c r="S36" s="270">
        <f t="shared" si="6"/>
        <v>124542976.23999999</v>
      </c>
      <c r="T36" s="329">
        <f t="shared" si="5"/>
        <v>1.7884816469606699</v>
      </c>
      <c r="U36" s="355"/>
      <c r="V36" s="173"/>
    </row>
    <row r="37" spans="1:24">
      <c r="A37" s="145">
        <v>417</v>
      </c>
      <c r="B37" s="562" t="str">
        <f>+VLOOKUP($A37,Master!$D$30:$G$226,4,FALSE)</f>
        <v>Renta</v>
      </c>
      <c r="C37" s="563"/>
      <c r="D37" s="563"/>
      <c r="E37" s="563"/>
      <c r="F37" s="563"/>
      <c r="G37" s="153">
        <v>2378.37</v>
      </c>
      <c r="H37" s="153">
        <v>930382.84</v>
      </c>
      <c r="I37" s="153">
        <v>862022.11</v>
      </c>
      <c r="J37" s="153">
        <v>1148346.6499999999</v>
      </c>
      <c r="K37" s="153">
        <v>781961.46</v>
      </c>
      <c r="L37" s="153">
        <v>1115410.29</v>
      </c>
      <c r="M37" s="153">
        <v>855063.86</v>
      </c>
      <c r="N37" s="153">
        <v>945550.46</v>
      </c>
      <c r="O37" s="153">
        <v>592418.56999999995</v>
      </c>
      <c r="P37" s="153">
        <v>1474426.95</v>
      </c>
      <c r="Q37" s="153">
        <v>625555.81000000006</v>
      </c>
      <c r="R37" s="153">
        <v>2362235.2200000002</v>
      </c>
      <c r="S37" s="270">
        <f t="shared" si="6"/>
        <v>11695752.59</v>
      </c>
      <c r="T37" s="329">
        <f t="shared" si="5"/>
        <v>0.16795518692518199</v>
      </c>
      <c r="U37" s="355"/>
      <c r="V37" s="173"/>
    </row>
    <row r="38" spans="1:24">
      <c r="A38" s="145">
        <v>418</v>
      </c>
      <c r="B38" s="562" t="str">
        <f>+VLOOKUP($A38,Master!$D$30:$G$226,4,FALSE)</f>
        <v>Subvencije</v>
      </c>
      <c r="C38" s="563"/>
      <c r="D38" s="563"/>
      <c r="E38" s="563"/>
      <c r="F38" s="563"/>
      <c r="G38" s="153">
        <v>1880948.3</v>
      </c>
      <c r="H38" s="153">
        <v>2045866.64</v>
      </c>
      <c r="I38" s="153">
        <v>5710797.71</v>
      </c>
      <c r="J38" s="153">
        <v>3990567.18</v>
      </c>
      <c r="K38" s="153">
        <v>5567662.9800000004</v>
      </c>
      <c r="L38" s="153">
        <v>4067863.54</v>
      </c>
      <c r="M38" s="153">
        <v>5321623.71</v>
      </c>
      <c r="N38" s="153">
        <v>3321549.46</v>
      </c>
      <c r="O38" s="153">
        <v>8105489.0899999999</v>
      </c>
      <c r="P38" s="153">
        <v>4531530.57</v>
      </c>
      <c r="Q38" s="153">
        <v>8099742.5</v>
      </c>
      <c r="R38" s="153">
        <v>21736324.34</v>
      </c>
      <c r="S38" s="270">
        <f t="shared" si="6"/>
        <v>74379966.019999996</v>
      </c>
      <c r="T38" s="329">
        <f t="shared" si="5"/>
        <v>1.0681228933535201</v>
      </c>
      <c r="U38" s="355"/>
    </row>
    <row r="39" spans="1:24">
      <c r="A39" s="145">
        <v>419</v>
      </c>
      <c r="B39" s="562" t="str">
        <f>+VLOOKUP($A39,Master!$D$30:$G$226,4,FALSE)</f>
        <v>Ostali izdaci</v>
      </c>
      <c r="C39" s="563"/>
      <c r="D39" s="563"/>
      <c r="E39" s="563"/>
      <c r="F39" s="563"/>
      <c r="G39" s="153">
        <v>416534.65</v>
      </c>
      <c r="H39" s="153">
        <v>3224464.02</v>
      </c>
      <c r="I39" s="153">
        <v>5294157.3499999996</v>
      </c>
      <c r="J39" s="153">
        <v>3267725.45</v>
      </c>
      <c r="K39" s="153">
        <v>5644358.5800000001</v>
      </c>
      <c r="L39" s="153">
        <v>3508053.69</v>
      </c>
      <c r="M39" s="153">
        <v>5431693.9500000002</v>
      </c>
      <c r="N39" s="153">
        <v>2951837.55</v>
      </c>
      <c r="O39" s="153">
        <v>3839015.5</v>
      </c>
      <c r="P39" s="153">
        <v>4690324.6100000003</v>
      </c>
      <c r="Q39" s="153">
        <v>3821990.72</v>
      </c>
      <c r="R39" s="153">
        <v>10604699.25</v>
      </c>
      <c r="S39" s="270">
        <f t="shared" si="6"/>
        <v>52694855.32</v>
      </c>
      <c r="T39" s="329">
        <f t="shared" si="5"/>
        <v>0.75671695405331796</v>
      </c>
      <c r="U39" s="355"/>
      <c r="V39" s="173"/>
    </row>
    <row r="40" spans="1:24">
      <c r="A40" s="145">
        <v>42</v>
      </c>
      <c r="B40" s="576" t="str">
        <f>+VLOOKUP($A40,Master!$D$30:$G$226,4,FALSE)</f>
        <v>Transferi za socijalnu zaštitu</v>
      </c>
      <c r="C40" s="577"/>
      <c r="D40" s="577"/>
      <c r="E40" s="577"/>
      <c r="F40" s="577"/>
      <c r="G40" s="174">
        <f>+SUM(G41:G45)</f>
        <v>58447908.409999996</v>
      </c>
      <c r="H40" s="174">
        <f t="shared" ref="H40:L40" si="12">+SUM(H41:H45)</f>
        <v>66349683.090000004</v>
      </c>
      <c r="I40" s="174">
        <f t="shared" si="12"/>
        <v>68141527.620000005</v>
      </c>
      <c r="J40" s="174">
        <f t="shared" si="12"/>
        <v>65511040.719999999</v>
      </c>
      <c r="K40" s="174">
        <f t="shared" si="12"/>
        <v>64802740.460000001</v>
      </c>
      <c r="L40" s="174">
        <f t="shared" si="12"/>
        <v>68662273.439999998</v>
      </c>
      <c r="M40" s="174">
        <f t="shared" ref="M40:R40" si="13">+SUM(M41:M45)</f>
        <v>68456466.989999995</v>
      </c>
      <c r="N40" s="174">
        <f t="shared" si="13"/>
        <v>69385673.090000004</v>
      </c>
      <c r="O40" s="174">
        <f t="shared" si="13"/>
        <v>69024963.099999994</v>
      </c>
      <c r="P40" s="174">
        <f t="shared" si="13"/>
        <v>74279759.519999996</v>
      </c>
      <c r="Q40" s="174">
        <f t="shared" si="13"/>
        <v>73220935.459999993</v>
      </c>
      <c r="R40" s="174">
        <f t="shared" si="13"/>
        <v>78274560.489999995</v>
      </c>
      <c r="S40" s="333">
        <f t="shared" si="6"/>
        <v>824557532.38999999</v>
      </c>
      <c r="T40" s="334">
        <f t="shared" si="5"/>
        <v>11.840940838774101</v>
      </c>
      <c r="U40" s="355"/>
    </row>
    <row r="41" spans="1:24">
      <c r="A41" s="145">
        <v>421</v>
      </c>
      <c r="B41" s="562" t="str">
        <f>+VLOOKUP($A41,Master!$D$30:$G$226,4,FALSE)</f>
        <v>Prava iz oblasti socijalne zaštite</v>
      </c>
      <c r="C41" s="563"/>
      <c r="D41" s="563"/>
      <c r="E41" s="563"/>
      <c r="F41" s="563"/>
      <c r="G41" s="153">
        <v>15193246.93</v>
      </c>
      <c r="H41" s="153">
        <v>18599658.190000001</v>
      </c>
      <c r="I41" s="153">
        <v>18659851.780000001</v>
      </c>
      <c r="J41" s="153">
        <v>16981103.48</v>
      </c>
      <c r="K41" s="153">
        <v>16251190.1</v>
      </c>
      <c r="L41" s="153">
        <v>17123077.960000001</v>
      </c>
      <c r="M41" s="153">
        <v>17264195.690000001</v>
      </c>
      <c r="N41" s="153">
        <v>17458330.420000002</v>
      </c>
      <c r="O41" s="153">
        <v>17224133.52</v>
      </c>
      <c r="P41" s="153">
        <v>18298777.300000001</v>
      </c>
      <c r="Q41" s="153">
        <v>18265292.149999999</v>
      </c>
      <c r="R41" s="153">
        <v>18568343.829999998</v>
      </c>
      <c r="S41" s="270">
        <f t="shared" si="6"/>
        <v>209887201.34999999</v>
      </c>
      <c r="T41" s="329">
        <f t="shared" si="5"/>
        <v>3.0140552191641801</v>
      </c>
      <c r="U41" s="355"/>
    </row>
    <row r="42" spans="1:24">
      <c r="A42" s="145">
        <v>422</v>
      </c>
      <c r="B42" s="562" t="str">
        <f>+VLOOKUP($A42,Master!$D$30:$G$226,4,FALSE)</f>
        <v>Sredstva za tehnološke viškove</v>
      </c>
      <c r="C42" s="563"/>
      <c r="D42" s="563"/>
      <c r="E42" s="563"/>
      <c r="F42" s="563"/>
      <c r="G42" s="153">
        <v>0</v>
      </c>
      <c r="H42" s="153">
        <v>2161292.37</v>
      </c>
      <c r="I42" s="153">
        <v>2136078.06</v>
      </c>
      <c r="J42" s="153">
        <v>2131572.67</v>
      </c>
      <c r="K42" s="153">
        <v>2059702.37</v>
      </c>
      <c r="L42" s="153">
        <v>2014179.75</v>
      </c>
      <c r="M42" s="153">
        <v>1987831.61</v>
      </c>
      <c r="N42" s="153">
        <v>1996083.34</v>
      </c>
      <c r="O42" s="153">
        <v>1966211.21</v>
      </c>
      <c r="P42" s="153">
        <v>1935600.93</v>
      </c>
      <c r="Q42" s="153">
        <v>1952446.41</v>
      </c>
      <c r="R42" s="153">
        <v>3362791.1</v>
      </c>
      <c r="S42" s="270">
        <f t="shared" si="6"/>
        <v>23703789.82</v>
      </c>
      <c r="T42" s="329">
        <f t="shared" si="5"/>
        <v>0.34039489288250402</v>
      </c>
      <c r="U42" s="355"/>
      <c r="V42" s="173"/>
    </row>
    <row r="43" spans="1:24">
      <c r="A43" s="145">
        <v>423</v>
      </c>
      <c r="B43" s="562" t="str">
        <f>+VLOOKUP($A43,Master!$D$30:$G$226,4,FALSE)</f>
        <v>Prava iz oblasti penzijskog i invalidskog osiguranja</v>
      </c>
      <c r="C43" s="563"/>
      <c r="D43" s="563"/>
      <c r="E43" s="563"/>
      <c r="F43" s="563"/>
      <c r="G43" s="153">
        <v>42310100.469999999</v>
      </c>
      <c r="H43" s="153">
        <v>43436982.68</v>
      </c>
      <c r="I43" s="153">
        <v>43546253.729999997</v>
      </c>
      <c r="J43" s="153">
        <v>43640005.299999997</v>
      </c>
      <c r="K43" s="153">
        <v>43423554.060000002</v>
      </c>
      <c r="L43" s="153">
        <v>46909923.619999997</v>
      </c>
      <c r="M43" s="356">
        <v>47073242.119999997</v>
      </c>
      <c r="N43" s="153">
        <v>47269857.899999999</v>
      </c>
      <c r="O43" s="153">
        <v>47134576.520000003</v>
      </c>
      <c r="P43" s="153">
        <v>49444502.93</v>
      </c>
      <c r="Q43" s="153">
        <v>49638526.68</v>
      </c>
      <c r="R43" s="153">
        <v>49983172.299999997</v>
      </c>
      <c r="S43" s="270">
        <f t="shared" si="6"/>
        <v>553810698.30999994</v>
      </c>
      <c r="T43" s="329">
        <f t="shared" si="5"/>
        <v>7.9529195440873703</v>
      </c>
      <c r="U43" s="355"/>
    </row>
    <row r="44" spans="1:24">
      <c r="A44" s="145">
        <v>424</v>
      </c>
      <c r="B44" s="562" t="str">
        <f>+VLOOKUP($A44,Master!$D$30:$G$226,4,FALSE)</f>
        <v>Ostala prava iz oblasti zdravstvene zaštite</v>
      </c>
      <c r="C44" s="563"/>
      <c r="D44" s="563"/>
      <c r="E44" s="563"/>
      <c r="F44" s="563"/>
      <c r="G44" s="153">
        <v>944561.01</v>
      </c>
      <c r="H44" s="153">
        <v>1204935.98</v>
      </c>
      <c r="I44" s="153">
        <v>2523574.06</v>
      </c>
      <c r="J44" s="153">
        <v>1805827.9</v>
      </c>
      <c r="K44" s="153">
        <v>1743976.95</v>
      </c>
      <c r="L44" s="153">
        <v>1880360.39</v>
      </c>
      <c r="M44" s="153">
        <v>1043937.75</v>
      </c>
      <c r="N44" s="153">
        <v>1574190.59</v>
      </c>
      <c r="O44" s="153">
        <v>996710.96</v>
      </c>
      <c r="P44" s="153">
        <v>2181527.52</v>
      </c>
      <c r="Q44" s="153">
        <v>1297199.3</v>
      </c>
      <c r="R44" s="153">
        <v>3362791.1</v>
      </c>
      <c r="S44" s="270">
        <f t="shared" si="6"/>
        <v>20559593.510000002</v>
      </c>
      <c r="T44" s="329">
        <f t="shared" si="5"/>
        <v>0.29524311022364103</v>
      </c>
      <c r="U44" s="355"/>
    </row>
    <row r="45" spans="1:24" s="267" customFormat="1">
      <c r="A45" s="272">
        <v>425</v>
      </c>
      <c r="B45" s="602" t="str">
        <f>+VLOOKUP($A45,Master!$D$30:$G$226,4,FALSE)</f>
        <v>Ostala prava iz zdravstvenog osiguranja</v>
      </c>
      <c r="C45" s="603"/>
      <c r="D45" s="603"/>
      <c r="E45" s="603"/>
      <c r="F45" s="603"/>
      <c r="G45" s="153">
        <v>0</v>
      </c>
      <c r="H45" s="153">
        <v>946813.87</v>
      </c>
      <c r="I45" s="153">
        <v>1275769.99</v>
      </c>
      <c r="J45" s="153">
        <v>952531.37</v>
      </c>
      <c r="K45" s="153">
        <v>1324316.98</v>
      </c>
      <c r="L45" s="153">
        <v>734731.72</v>
      </c>
      <c r="M45" s="153">
        <v>1087259.82</v>
      </c>
      <c r="N45" s="153">
        <v>1087210.8400000001</v>
      </c>
      <c r="O45" s="153">
        <v>1703330.89</v>
      </c>
      <c r="P45" s="153">
        <v>2419350.84</v>
      </c>
      <c r="Q45" s="153">
        <v>2067470.92</v>
      </c>
      <c r="R45" s="153">
        <v>2997462.16</v>
      </c>
      <c r="S45" s="270">
        <f t="shared" si="6"/>
        <v>16596249.4</v>
      </c>
      <c r="T45" s="329">
        <f t="shared" si="5"/>
        <v>0.23832807241640999</v>
      </c>
      <c r="U45" s="355"/>
    </row>
    <row r="46" spans="1:24">
      <c r="A46" s="145">
        <v>43</v>
      </c>
      <c r="B46" s="580" t="str">
        <f>+VLOOKUP($A46,Master!$D$30:$G$226,4,FALSE)</f>
        <v>Transferi institucijama, pojedincima, nevladinom i javnom sektoru</v>
      </c>
      <c r="C46" s="581"/>
      <c r="D46" s="581"/>
      <c r="E46" s="581"/>
      <c r="F46" s="581"/>
      <c r="G46" s="159">
        <v>1844828.68</v>
      </c>
      <c r="H46" s="159">
        <v>24913818.260000002</v>
      </c>
      <c r="I46" s="159">
        <v>29326859.449999999</v>
      </c>
      <c r="J46" s="159">
        <v>33935011.719999999</v>
      </c>
      <c r="K46" s="159">
        <v>22605169.219999999</v>
      </c>
      <c r="L46" s="159">
        <v>32396931.329999998</v>
      </c>
      <c r="M46" s="159">
        <v>42596767.619999997</v>
      </c>
      <c r="N46" s="159">
        <v>30808862.149999999</v>
      </c>
      <c r="O46" s="159">
        <v>36649454.560000002</v>
      </c>
      <c r="P46" s="159">
        <v>29874334.260000002</v>
      </c>
      <c r="Q46" s="159">
        <v>24735752.079999998</v>
      </c>
      <c r="R46" s="159">
        <v>71009194.980000004</v>
      </c>
      <c r="S46" s="284">
        <f t="shared" si="6"/>
        <v>380696984.31</v>
      </c>
      <c r="T46" s="330">
        <f t="shared" si="5"/>
        <v>5.4669447450785302</v>
      </c>
      <c r="U46" s="355"/>
    </row>
    <row r="47" spans="1:24">
      <c r="A47" s="145">
        <v>44</v>
      </c>
      <c r="B47" s="580" t="str">
        <f>+VLOOKUP($A47,Master!$D$30:$G$226,4,FALSE)</f>
        <v>Kapitalni izdaci</v>
      </c>
      <c r="C47" s="581"/>
      <c r="D47" s="581"/>
      <c r="E47" s="581"/>
      <c r="F47" s="581"/>
      <c r="G47" s="159">
        <v>420202.34</v>
      </c>
      <c r="H47" s="159">
        <v>4450440.01</v>
      </c>
      <c r="I47" s="159">
        <v>10096779.050000001</v>
      </c>
      <c r="J47" s="159">
        <v>7075145.9400000004</v>
      </c>
      <c r="K47" s="159">
        <v>8044220.4299999997</v>
      </c>
      <c r="L47" s="159">
        <v>15100691.119999999</v>
      </c>
      <c r="M47" s="159">
        <v>16132994.560000001</v>
      </c>
      <c r="N47" s="159">
        <v>24259028.359999999</v>
      </c>
      <c r="O47" s="159">
        <v>28174115.57</v>
      </c>
      <c r="P47" s="159">
        <v>25086640.27</v>
      </c>
      <c r="Q47" s="159">
        <v>21000623.91</v>
      </c>
      <c r="R47" s="159">
        <v>78800869.299999997</v>
      </c>
      <c r="S47" s="284">
        <f t="shared" si="6"/>
        <v>238641750.86000001</v>
      </c>
      <c r="T47" s="330">
        <f t="shared" si="5"/>
        <v>3.4269808261944399</v>
      </c>
      <c r="U47" s="355"/>
      <c r="V47" s="173"/>
      <c r="W47" s="172"/>
      <c r="X47" s="172"/>
    </row>
    <row r="48" spans="1:24">
      <c r="A48" s="145">
        <v>451</v>
      </c>
      <c r="B48" s="604" t="str">
        <f>+VLOOKUP($A48,Master!$D$30:$G$226,4,FALSE)</f>
        <v>Pozajmice i krediti</v>
      </c>
      <c r="C48" s="605"/>
      <c r="D48" s="605"/>
      <c r="E48" s="605"/>
      <c r="F48" s="605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270">
        <f t="shared" si="6"/>
        <v>0</v>
      </c>
      <c r="T48" s="329">
        <f t="shared" si="5"/>
        <v>0</v>
      </c>
      <c r="U48" s="355"/>
      <c r="V48" s="172"/>
    </row>
    <row r="49" spans="1:21" s="267" customFormat="1">
      <c r="A49" s="272">
        <v>47</v>
      </c>
      <c r="B49" s="606" t="str">
        <f>+VLOOKUP($A49,Master!$D$30:$G$226,4,FALSE)</f>
        <v>Rezerve</v>
      </c>
      <c r="C49" s="607"/>
      <c r="D49" s="607"/>
      <c r="E49" s="607"/>
      <c r="F49" s="607"/>
      <c r="G49" s="153">
        <v>0</v>
      </c>
      <c r="H49" s="153">
        <v>198585.54</v>
      </c>
      <c r="I49" s="153">
        <v>1537951.44</v>
      </c>
      <c r="J49" s="153">
        <v>3354027.05</v>
      </c>
      <c r="K49" s="153">
        <v>1068089.2</v>
      </c>
      <c r="L49" s="153">
        <v>447785.86</v>
      </c>
      <c r="M49" s="153">
        <v>4451250.0999999996</v>
      </c>
      <c r="N49" s="153">
        <v>1094926.3500000001</v>
      </c>
      <c r="O49" s="153">
        <v>10000</v>
      </c>
      <c r="P49" s="153">
        <v>629087.52</v>
      </c>
      <c r="Q49" s="153">
        <v>67254.600000000006</v>
      </c>
      <c r="R49" s="153">
        <v>5408961.6500000004</v>
      </c>
      <c r="S49" s="270">
        <f t="shared" si="6"/>
        <v>18267919.309999999</v>
      </c>
      <c r="T49" s="329">
        <f t="shared" si="5"/>
        <v>0.26233384973178397</v>
      </c>
      <c r="U49" s="355"/>
    </row>
    <row r="50" spans="1:21">
      <c r="A50" s="145">
        <v>462</v>
      </c>
      <c r="B50" s="578" t="str">
        <f>+VLOOKUP($A50,Master!$D$30:$G$226,4,FALSE)</f>
        <v>Otplata garancija</v>
      </c>
      <c r="C50" s="579"/>
      <c r="D50" s="579"/>
      <c r="E50" s="579"/>
      <c r="F50" s="579"/>
      <c r="G50" s="153">
        <v>0</v>
      </c>
      <c r="H50" s="153">
        <v>1168915.48</v>
      </c>
      <c r="I50" s="153">
        <v>0</v>
      </c>
      <c r="J50" s="153">
        <v>0</v>
      </c>
      <c r="K50" s="153">
        <v>0</v>
      </c>
      <c r="L50" s="153">
        <v>0</v>
      </c>
      <c r="M50" s="153">
        <v>1644656.68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6"/>
        <v>2813572.16</v>
      </c>
      <c r="T50" s="329">
        <f t="shared" si="5"/>
        <v>4.0403901709097897E-2</v>
      </c>
      <c r="U50" s="355"/>
    </row>
    <row r="51" spans="1:21">
      <c r="A51" s="136">
        <v>4630</v>
      </c>
      <c r="B51" s="608" t="str">
        <f>+VLOOKUP($A51,Master!$D$30:$G$226,4,TRUE)</f>
        <v>Otplata obaveza iz prethodnog perioda</v>
      </c>
      <c r="C51" s="609"/>
      <c r="D51" s="609"/>
      <c r="E51" s="609"/>
      <c r="F51" s="609"/>
      <c r="G51" s="335">
        <v>960349.63</v>
      </c>
      <c r="H51" s="335">
        <v>1883378.35</v>
      </c>
      <c r="I51" s="335">
        <v>1288018.07</v>
      </c>
      <c r="J51" s="335">
        <v>808312.29</v>
      </c>
      <c r="K51" s="335">
        <v>1075171.3999999999</v>
      </c>
      <c r="L51" s="335">
        <v>1838116.54</v>
      </c>
      <c r="M51" s="335">
        <v>1151209.7</v>
      </c>
      <c r="N51" s="335">
        <v>999757.56</v>
      </c>
      <c r="O51" s="335">
        <v>509735.57</v>
      </c>
      <c r="P51" s="335">
        <v>1076828.46</v>
      </c>
      <c r="Q51" s="335">
        <v>3314958.48</v>
      </c>
      <c r="R51" s="335">
        <v>2460397.66</v>
      </c>
      <c r="S51" s="290">
        <f t="shared" si="6"/>
        <v>17366233.710000001</v>
      </c>
      <c r="T51" s="337">
        <f t="shared" si="5"/>
        <v>0.24938532227873</v>
      </c>
      <c r="U51" s="355"/>
    </row>
    <row r="52" spans="1:21">
      <c r="A52" s="128">
        <v>1005</v>
      </c>
      <c r="B52" s="610" t="str">
        <f>+VLOOKUP($A52,Master!$D$30:$G$228,4,FALSE)</f>
        <v>Neto povećanje obaveza</v>
      </c>
      <c r="C52" s="611"/>
      <c r="D52" s="611"/>
      <c r="E52" s="611"/>
      <c r="F52" s="611"/>
      <c r="G52" s="183">
        <v>0</v>
      </c>
      <c r="H52" s="153">
        <v>0</v>
      </c>
      <c r="I52" s="153">
        <v>0</v>
      </c>
      <c r="J52" s="153">
        <v>0</v>
      </c>
      <c r="K52" s="153">
        <v>0</v>
      </c>
      <c r="L52" s="153">
        <v>0</v>
      </c>
      <c r="M52" s="153">
        <v>0</v>
      </c>
      <c r="N52" s="153">
        <v>0</v>
      </c>
      <c r="O52" s="153">
        <v>0</v>
      </c>
      <c r="P52" s="153">
        <v>0</v>
      </c>
      <c r="Q52" s="153">
        <v>0</v>
      </c>
      <c r="R52" s="356">
        <v>0</v>
      </c>
      <c r="S52" s="292">
        <f t="shared" si="6"/>
        <v>0</v>
      </c>
      <c r="T52" s="338">
        <f t="shared" si="5"/>
        <v>0</v>
      </c>
    </row>
    <row r="53" spans="1:21">
      <c r="A53" s="136">
        <v>1000</v>
      </c>
      <c r="B53" s="596" t="str">
        <f>+VLOOKUP($A53,Master!$D$30:$G$226,4,FALSE)</f>
        <v>Suficit / deficit</v>
      </c>
      <c r="C53" s="597"/>
      <c r="D53" s="597"/>
      <c r="E53" s="597"/>
      <c r="F53" s="597"/>
      <c r="G53" s="146">
        <f t="shared" ref="G53:R53" si="14">+G10-G29</f>
        <v>52645474.759999998</v>
      </c>
      <c r="H53" s="146">
        <f t="shared" si="14"/>
        <v>-28141527.940000001</v>
      </c>
      <c r="I53" s="146">
        <f t="shared" si="14"/>
        <v>38697080.149999999</v>
      </c>
      <c r="J53" s="146">
        <f t="shared" si="14"/>
        <v>49022408.170000002</v>
      </c>
      <c r="K53" s="146">
        <f t="shared" si="14"/>
        <v>-3250327.8099999698</v>
      </c>
      <c r="L53" s="146">
        <f t="shared" si="14"/>
        <v>56007482.090000004</v>
      </c>
      <c r="M53" s="146">
        <f t="shared" si="14"/>
        <v>-15757829.630000001</v>
      </c>
      <c r="N53" s="146">
        <f t="shared" si="14"/>
        <v>43107080.789999999</v>
      </c>
      <c r="O53" s="146">
        <f t="shared" si="14"/>
        <v>-15665001.199999901</v>
      </c>
      <c r="P53" s="146">
        <f t="shared" si="14"/>
        <v>6932464.1200000001</v>
      </c>
      <c r="Q53" s="146">
        <f t="shared" si="14"/>
        <v>-26356845.579999998</v>
      </c>
      <c r="R53" s="146">
        <f t="shared" si="14"/>
        <v>-146305166.80000001</v>
      </c>
      <c r="S53" s="294">
        <f>SUM(G53:R53)</f>
        <v>10935291.120000301</v>
      </c>
      <c r="T53" s="340">
        <f t="shared" si="5"/>
        <v>0.157034688448461</v>
      </c>
    </row>
    <row r="54" spans="1:21">
      <c r="A54" s="136">
        <v>1001</v>
      </c>
      <c r="B54" s="598" t="str">
        <f>+VLOOKUP($A54,Master!$D$30:$G$226,4,FALSE)</f>
        <v>Primarni suficit/deficit</v>
      </c>
      <c r="C54" s="599"/>
      <c r="D54" s="599"/>
      <c r="E54" s="599"/>
      <c r="F54" s="599"/>
      <c r="G54" s="190">
        <f t="shared" ref="G54:R54" si="15">+G53+G36</f>
        <v>56612370.520000003</v>
      </c>
      <c r="H54" s="190">
        <f t="shared" si="15"/>
        <v>-25710461.149999999</v>
      </c>
      <c r="I54" s="190">
        <f t="shared" si="15"/>
        <v>40432712.960000001</v>
      </c>
      <c r="J54" s="190">
        <f t="shared" si="15"/>
        <v>72162412.410000101</v>
      </c>
      <c r="K54" s="190">
        <f t="shared" si="15"/>
        <v>11425055.699999999</v>
      </c>
      <c r="L54" s="190">
        <f t="shared" si="15"/>
        <v>58925946.200000003</v>
      </c>
      <c r="M54" s="190">
        <f t="shared" si="15"/>
        <v>-8193586.7799999705</v>
      </c>
      <c r="N54" s="190">
        <f t="shared" si="15"/>
        <v>46895631.890000001</v>
      </c>
      <c r="O54" s="190">
        <f t="shared" si="15"/>
        <v>3555006.3800000702</v>
      </c>
      <c r="P54" s="190">
        <f t="shared" si="15"/>
        <v>9106491.5200000107</v>
      </c>
      <c r="Q54" s="190">
        <f t="shared" si="15"/>
        <v>-9850380.7900000103</v>
      </c>
      <c r="R54" s="190">
        <f t="shared" si="15"/>
        <v>-119882931.5</v>
      </c>
      <c r="S54" s="294">
        <f t="shared" si="6"/>
        <v>135478267.36000001</v>
      </c>
      <c r="T54" s="340">
        <f t="shared" si="5"/>
        <v>1.94551633540913</v>
      </c>
    </row>
    <row r="55" spans="1:21">
      <c r="A55" s="136">
        <v>46</v>
      </c>
      <c r="B55" s="612" t="str">
        <f>+VLOOKUP($A55,Master!$D$30:$G$226,4,FALSE)</f>
        <v>Otplata dugova</v>
      </c>
      <c r="C55" s="613"/>
      <c r="D55" s="613"/>
      <c r="E55" s="613"/>
      <c r="F55" s="613"/>
      <c r="G55" s="174">
        <f t="shared" ref="G55:L55" si="16">+SUM(G56:G57)</f>
        <v>29896704.300000001</v>
      </c>
      <c r="H55" s="174">
        <f t="shared" si="16"/>
        <v>5811024.9299999997</v>
      </c>
      <c r="I55" s="174">
        <f t="shared" si="16"/>
        <v>8077109.9900000002</v>
      </c>
      <c r="J55" s="159">
        <f t="shared" si="16"/>
        <v>7902599.2300000004</v>
      </c>
      <c r="K55" s="174">
        <f t="shared" si="16"/>
        <v>91927760.939999998</v>
      </c>
      <c r="L55" s="174">
        <f t="shared" si="16"/>
        <v>16027590.800000001</v>
      </c>
      <c r="M55" s="174">
        <f t="shared" ref="M55:R55" si="17">+SUM(M56:M57)</f>
        <v>31852596.969999999</v>
      </c>
      <c r="N55" s="174">
        <f t="shared" si="17"/>
        <v>6400171.3600000003</v>
      </c>
      <c r="O55" s="174">
        <f t="shared" si="17"/>
        <v>16517635.09</v>
      </c>
      <c r="P55" s="174">
        <f t="shared" si="17"/>
        <v>8209323.5700000003</v>
      </c>
      <c r="Q55" s="174">
        <f t="shared" si="17"/>
        <v>53661950.479999997</v>
      </c>
      <c r="R55" s="174">
        <f t="shared" si="17"/>
        <v>24921546.210000001</v>
      </c>
      <c r="S55" s="296">
        <f t="shared" si="6"/>
        <v>301206013.87</v>
      </c>
      <c r="T55" s="341">
        <f t="shared" si="5"/>
        <v>4.3254260017246802</v>
      </c>
    </row>
    <row r="56" spans="1:21">
      <c r="A56" s="136">
        <v>4611</v>
      </c>
      <c r="B56" s="594" t="str">
        <f>+VLOOKUP($A56,Master!$D$30:$G$226,4,FALSE)</f>
        <v>Otplata hartija od vrijednosti i kredita rezidentima</v>
      </c>
      <c r="C56" s="595"/>
      <c r="D56" s="595"/>
      <c r="E56" s="595"/>
      <c r="F56" s="595"/>
      <c r="G56" s="176">
        <v>1871833.35</v>
      </c>
      <c r="H56" s="176">
        <v>2400192.8199999998</v>
      </c>
      <c r="I56" s="176">
        <v>1348967.54</v>
      </c>
      <c r="J56" s="176">
        <v>2419307.02</v>
      </c>
      <c r="K56" s="176">
        <v>44621033.689999998</v>
      </c>
      <c r="L56" s="176">
        <v>3730449.01</v>
      </c>
      <c r="M56" s="176">
        <v>2461406.0099999998</v>
      </c>
      <c r="N56" s="176">
        <v>2439964.73</v>
      </c>
      <c r="O56" s="176">
        <v>738279.52</v>
      </c>
      <c r="P56" s="176">
        <v>3094863.43</v>
      </c>
      <c r="Q56" s="176">
        <v>8658506.2599999998</v>
      </c>
      <c r="R56" s="176">
        <v>750761.52</v>
      </c>
      <c r="S56" s="298">
        <f t="shared" si="6"/>
        <v>74535564.900000006</v>
      </c>
      <c r="T56" s="342">
        <f t="shared" si="5"/>
        <v>1.07035734887698</v>
      </c>
    </row>
    <row r="57" spans="1:21">
      <c r="A57" s="136">
        <v>4612</v>
      </c>
      <c r="B57" s="582" t="str">
        <f>+VLOOKUP($A57,Master!$D$30:$G$226,4,FALSE)</f>
        <v>Otplata hartija od vrijednosti i kredita nerezidentima</v>
      </c>
      <c r="C57" s="583"/>
      <c r="D57" s="583"/>
      <c r="E57" s="583"/>
      <c r="F57" s="583"/>
      <c r="G57" s="176">
        <v>28024870.949999999</v>
      </c>
      <c r="H57" s="176">
        <v>3410832.11</v>
      </c>
      <c r="I57" s="176">
        <v>6728142.4500000002</v>
      </c>
      <c r="J57" s="176">
        <v>5483292.21</v>
      </c>
      <c r="K57" s="176">
        <v>47306727.25</v>
      </c>
      <c r="L57" s="176">
        <v>12297141.789999999</v>
      </c>
      <c r="M57" s="176">
        <v>29391190.960000001</v>
      </c>
      <c r="N57" s="176">
        <v>3960206.63</v>
      </c>
      <c r="O57" s="176">
        <v>15779355.57</v>
      </c>
      <c r="P57" s="176">
        <v>5114460.1399999997</v>
      </c>
      <c r="Q57" s="176">
        <v>45003444.219999999</v>
      </c>
      <c r="R57" s="176">
        <v>24170784.690000001</v>
      </c>
      <c r="S57" s="298">
        <f t="shared" si="6"/>
        <v>226670448.97</v>
      </c>
      <c r="T57" s="342">
        <f t="shared" si="5"/>
        <v>3.2550686528476902</v>
      </c>
    </row>
    <row r="58" spans="1:21">
      <c r="A58" s="136">
        <v>4418</v>
      </c>
      <c r="B58" s="572" t="str">
        <f>+VLOOKUP($A58,Master!$D$30:$G$226,4,FALSE)</f>
        <v>Izdaci za kupovinu hartija od vrijednosti</v>
      </c>
      <c r="C58" s="573"/>
      <c r="D58" s="573"/>
      <c r="E58" s="573"/>
      <c r="F58" s="573"/>
      <c r="G58" s="300">
        <v>0</v>
      </c>
      <c r="H58" s="300">
        <v>496372.98</v>
      </c>
      <c r="I58" s="300">
        <v>0</v>
      </c>
      <c r="J58" s="300">
        <v>0</v>
      </c>
      <c r="K58" s="300">
        <v>118566.42</v>
      </c>
      <c r="L58" s="300">
        <v>0</v>
      </c>
      <c r="M58" s="300">
        <v>105927.36</v>
      </c>
      <c r="N58" s="300">
        <v>0</v>
      </c>
      <c r="O58" s="300">
        <v>0</v>
      </c>
      <c r="P58" s="300">
        <v>0</v>
      </c>
      <c r="Q58" s="300">
        <v>0</v>
      </c>
      <c r="R58" s="300">
        <v>138179.85999999999</v>
      </c>
      <c r="S58" s="296">
        <f>SUM(G58:R58)</f>
        <v>859046.62</v>
      </c>
      <c r="T58" s="343">
        <f t="shared" si="5"/>
        <v>1.23362164622829E-2</v>
      </c>
    </row>
    <row r="59" spans="1:21">
      <c r="A59" s="145">
        <v>451</v>
      </c>
      <c r="B59" s="572" t="str">
        <f>+VLOOKUP($A59,Master!$D$30:$G$226,4,FALSE)</f>
        <v>Pozajmice i krediti</v>
      </c>
      <c r="C59" s="573"/>
      <c r="D59" s="573"/>
      <c r="E59" s="573"/>
      <c r="F59" s="573"/>
      <c r="G59" s="300">
        <v>261400.02</v>
      </c>
      <c r="H59" s="300">
        <v>1079076.3400000001</v>
      </c>
      <c r="I59" s="300">
        <v>383792.67</v>
      </c>
      <c r="J59" s="300">
        <v>3534657.89</v>
      </c>
      <c r="K59" s="300">
        <v>510581.47</v>
      </c>
      <c r="L59" s="300">
        <v>1213521.05</v>
      </c>
      <c r="M59" s="300">
        <v>435818</v>
      </c>
      <c r="N59" s="300">
        <v>428660.4</v>
      </c>
      <c r="O59" s="300">
        <v>929669.85</v>
      </c>
      <c r="P59" s="300">
        <v>512417.52</v>
      </c>
      <c r="Q59" s="300">
        <v>0</v>
      </c>
      <c r="R59" s="300">
        <v>822000.46</v>
      </c>
      <c r="S59" s="296">
        <f>SUM(G59:R59)</f>
        <v>10111595.67</v>
      </c>
      <c r="T59" s="343">
        <f t="shared" si="5"/>
        <v>0.14520612742088701</v>
      </c>
    </row>
    <row r="60" spans="1:21">
      <c r="A60" s="136">
        <v>1002</v>
      </c>
      <c r="B60" s="592" t="str">
        <f>+VLOOKUP($A60,Master!$D$30:$G$226,4,FALSE)</f>
        <v>Nedostajuća sredstva</v>
      </c>
      <c r="C60" s="593"/>
      <c r="D60" s="593"/>
      <c r="E60" s="593"/>
      <c r="F60" s="593"/>
      <c r="G60" s="197">
        <f>+G53-G55-G58-G59</f>
        <v>22487370.440000001</v>
      </c>
      <c r="H60" s="197">
        <f t="shared" ref="H60:S60" si="18">+H53-H55-H58-H59</f>
        <v>-35528002.189999998</v>
      </c>
      <c r="I60" s="197">
        <f t="shared" si="18"/>
        <v>30236177.489999998</v>
      </c>
      <c r="J60" s="197">
        <f t="shared" si="18"/>
        <v>37585151.049999997</v>
      </c>
      <c r="K60" s="197">
        <f t="shared" si="18"/>
        <v>-95807236.640000001</v>
      </c>
      <c r="L60" s="197">
        <f t="shared" si="18"/>
        <v>38766370.240000002</v>
      </c>
      <c r="M60" s="197">
        <f t="shared" si="18"/>
        <v>-48152171.960000001</v>
      </c>
      <c r="N60" s="197">
        <f t="shared" si="18"/>
        <v>36278249.030000001</v>
      </c>
      <c r="O60" s="197">
        <f t="shared" si="18"/>
        <v>-33112306.1399999</v>
      </c>
      <c r="P60" s="197">
        <f t="shared" si="18"/>
        <v>-1789276.97</v>
      </c>
      <c r="Q60" s="197">
        <f t="shared" si="18"/>
        <v>-80018796.060000002</v>
      </c>
      <c r="R60" s="197">
        <f t="shared" si="18"/>
        <v>-172186893.33000001</v>
      </c>
      <c r="S60" s="296">
        <f t="shared" si="18"/>
        <v>-301241365.04000002</v>
      </c>
      <c r="T60" s="344">
        <f t="shared" si="5"/>
        <v>-4.32593365715939</v>
      </c>
    </row>
    <row r="61" spans="1:21">
      <c r="A61" s="136">
        <v>1003</v>
      </c>
      <c r="B61" s="570" t="str">
        <f>+VLOOKUP($A61,Master!$D$30:$G$226,4,FALSE)</f>
        <v>Finansiranje</v>
      </c>
      <c r="C61" s="571"/>
      <c r="D61" s="571"/>
      <c r="E61" s="571"/>
      <c r="F61" s="571"/>
      <c r="G61" s="146">
        <f>+SUM(G62:G66)</f>
        <v>-22487370.440000001</v>
      </c>
      <c r="H61" s="146">
        <f t="shared" ref="H61:L61" si="19">+SUM(H62:H66)</f>
        <v>35528002.189999998</v>
      </c>
      <c r="I61" s="146">
        <f t="shared" si="19"/>
        <v>-30236177.489999998</v>
      </c>
      <c r="J61" s="146">
        <f t="shared" si="19"/>
        <v>-37585151.049999997</v>
      </c>
      <c r="K61" s="146">
        <f t="shared" si="19"/>
        <v>95807236.640000001</v>
      </c>
      <c r="L61" s="146">
        <f t="shared" si="19"/>
        <v>-38766370.240000002</v>
      </c>
      <c r="M61" s="146">
        <f t="shared" ref="M61:R61" si="20">+SUM(M62:M66)</f>
        <v>48152171.960000001</v>
      </c>
      <c r="N61" s="146">
        <f t="shared" si="20"/>
        <v>-36278249.030000001</v>
      </c>
      <c r="O61" s="146">
        <f t="shared" si="20"/>
        <v>33112306.1399999</v>
      </c>
      <c r="P61" s="146">
        <f t="shared" si="20"/>
        <v>1789276.97</v>
      </c>
      <c r="Q61" s="146">
        <f t="shared" si="20"/>
        <v>80018796.060000002</v>
      </c>
      <c r="R61" s="146">
        <f t="shared" si="20"/>
        <v>172186893.33000001</v>
      </c>
      <c r="S61" s="305">
        <f t="shared" si="6"/>
        <v>301241365.04000002</v>
      </c>
      <c r="T61" s="345">
        <f t="shared" si="5"/>
        <v>4.32593365715939</v>
      </c>
    </row>
    <row r="62" spans="1:21">
      <c r="A62" s="136">
        <v>7511</v>
      </c>
      <c r="B62" s="594" t="str">
        <f>+VLOOKUP($A62,Master!$D$30:$G$226,4,FALSE)</f>
        <v>Pozajmice i krediti od domaćih izvora</v>
      </c>
      <c r="C62" s="595"/>
      <c r="D62" s="595"/>
      <c r="E62" s="595"/>
      <c r="F62" s="595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176">
        <v>0</v>
      </c>
      <c r="N62" s="176">
        <v>0</v>
      </c>
      <c r="O62" s="176">
        <v>0</v>
      </c>
      <c r="P62" s="176">
        <v>0</v>
      </c>
      <c r="Q62" s="176">
        <v>0</v>
      </c>
      <c r="R62" s="176">
        <v>159000000</v>
      </c>
      <c r="S62" s="298">
        <f t="shared" si="6"/>
        <v>159000000</v>
      </c>
      <c r="T62" s="342">
        <f t="shared" si="5"/>
        <v>2.2832968221247198</v>
      </c>
    </row>
    <row r="63" spans="1:21">
      <c r="A63" s="136">
        <v>7512</v>
      </c>
      <c r="B63" s="582" t="str">
        <f>+VLOOKUP($A63,Master!$D$30:$G$226,4,FALSE)</f>
        <v>Pozajmice i krediti od inostranih izvora</v>
      </c>
      <c r="C63" s="583"/>
      <c r="D63" s="583"/>
      <c r="E63" s="583"/>
      <c r="F63" s="583"/>
      <c r="G63" s="176">
        <v>552374.85</v>
      </c>
      <c r="H63" s="176">
        <v>1145846.25</v>
      </c>
      <c r="I63" s="176">
        <v>101672892.59999999</v>
      </c>
      <c r="J63" s="176">
        <v>3774255.58</v>
      </c>
      <c r="K63" s="176">
        <v>1498639.75</v>
      </c>
      <c r="L63" s="176">
        <v>6593805.25</v>
      </c>
      <c r="M63" s="176">
        <v>944562.51</v>
      </c>
      <c r="N63" s="176">
        <v>360304.63</v>
      </c>
      <c r="O63" s="176">
        <v>4619241.13</v>
      </c>
      <c r="P63" s="176">
        <v>4602266.9400000004</v>
      </c>
      <c r="Q63" s="176">
        <v>3301590.39</v>
      </c>
      <c r="R63" s="176">
        <v>30166242.690000001</v>
      </c>
      <c r="S63" s="298">
        <f t="shared" si="6"/>
        <v>159232022.56999999</v>
      </c>
      <c r="T63" s="342">
        <f t="shared" si="5"/>
        <v>2.28662874914825</v>
      </c>
    </row>
    <row r="64" spans="1:21">
      <c r="A64" s="136">
        <v>72</v>
      </c>
      <c r="B64" s="582" t="str">
        <f>+VLOOKUP($A64,Master!$D$30:$G$226,4,FALSE)</f>
        <v>Primici od prodaje imovine</v>
      </c>
      <c r="C64" s="583"/>
      <c r="D64" s="583"/>
      <c r="E64" s="583"/>
      <c r="F64" s="583"/>
      <c r="G64" s="176">
        <v>664808.06000000006</v>
      </c>
      <c r="H64" s="176">
        <v>77041.679999999993</v>
      </c>
      <c r="I64" s="176">
        <v>167618.51</v>
      </c>
      <c r="J64" s="176">
        <v>155425.62</v>
      </c>
      <c r="K64" s="176">
        <v>634641.06000000006</v>
      </c>
      <c r="L64" s="176">
        <v>183706.77</v>
      </c>
      <c r="M64" s="176">
        <v>178782.18</v>
      </c>
      <c r="N64" s="176">
        <v>287660.99</v>
      </c>
      <c r="O64" s="176">
        <v>67504.679999999993</v>
      </c>
      <c r="P64" s="176">
        <v>61500.47</v>
      </c>
      <c r="Q64" s="176">
        <v>29821.41</v>
      </c>
      <c r="R64" s="176">
        <v>209358.1</v>
      </c>
      <c r="S64" s="298">
        <f t="shared" si="6"/>
        <v>2717869.53</v>
      </c>
      <c r="T64" s="342">
        <f t="shared" si="5"/>
        <v>3.90295777408717E-2</v>
      </c>
    </row>
    <row r="65" spans="1:20">
      <c r="A65" s="136">
        <v>73</v>
      </c>
      <c r="B65" s="582" t="s">
        <v>20</v>
      </c>
      <c r="C65" s="583"/>
      <c r="D65" s="583"/>
      <c r="E65" s="583"/>
      <c r="F65" s="583"/>
      <c r="G65" s="176">
        <v>157428.76999999999</v>
      </c>
      <c r="H65" s="176">
        <v>2017853.4</v>
      </c>
      <c r="I65" s="176">
        <v>1080976.03</v>
      </c>
      <c r="J65" s="176">
        <v>1004336.85</v>
      </c>
      <c r="K65" s="176">
        <v>1142213.31</v>
      </c>
      <c r="L65" s="176">
        <v>2980226.31</v>
      </c>
      <c r="M65" s="176">
        <v>323305.51</v>
      </c>
      <c r="N65" s="176">
        <v>580066.93999999994</v>
      </c>
      <c r="O65" s="176">
        <v>819934.54</v>
      </c>
      <c r="P65" s="176">
        <v>714145.76</v>
      </c>
      <c r="Q65" s="176">
        <v>829356.05</v>
      </c>
      <c r="R65" s="176">
        <v>2208210.4</v>
      </c>
      <c r="S65" s="298">
        <f t="shared" si="6"/>
        <v>13858053.869999999</v>
      </c>
      <c r="T65" s="342">
        <f t="shared" si="5"/>
        <v>0.19900660605159801</v>
      </c>
    </row>
    <row r="66" spans="1:20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-23861982.120000001</v>
      </c>
      <c r="H66" s="204">
        <f t="shared" ref="H66:L66" si="21">-H60-SUM(H62:H65)</f>
        <v>32287260.859999999</v>
      </c>
      <c r="I66" s="204">
        <f t="shared" si="21"/>
        <v>-133157664.63</v>
      </c>
      <c r="J66" s="204">
        <f t="shared" si="21"/>
        <v>-42519169.100000001</v>
      </c>
      <c r="K66" s="204">
        <f t="shared" si="21"/>
        <v>92531742.519999996</v>
      </c>
      <c r="L66" s="204">
        <f t="shared" si="21"/>
        <v>-48524108.57</v>
      </c>
      <c r="M66" s="204">
        <f t="shared" ref="M66:S66" si="22">-M60-SUM(M62:M65)</f>
        <v>46705521.759999998</v>
      </c>
      <c r="N66" s="204">
        <f t="shared" si="22"/>
        <v>-37506281.590000004</v>
      </c>
      <c r="O66" s="204">
        <f t="shared" si="22"/>
        <v>27605625.789999899</v>
      </c>
      <c r="P66" s="204">
        <f t="shared" si="22"/>
        <v>-3588636.2</v>
      </c>
      <c r="Q66" s="204">
        <f t="shared" si="22"/>
        <v>75858028.209999993</v>
      </c>
      <c r="R66" s="204">
        <f t="shared" si="22"/>
        <v>-19396917.859999999</v>
      </c>
      <c r="S66" s="360">
        <f t="shared" si="22"/>
        <v>-33566580.930000201</v>
      </c>
      <c r="T66" s="347">
        <f t="shared" si="5"/>
        <v>-0.482028097906048</v>
      </c>
    </row>
    <row r="67" spans="1:20">
      <c r="R67" s="207"/>
    </row>
    <row r="68" spans="1:20">
      <c r="G68" s="172"/>
    </row>
    <row r="69" spans="1:20" hidden="1">
      <c r="G69" s="17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172"/>
    </row>
    <row r="81" spans="1:26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6">
      <c r="G82" s="210" t="str">
        <f t="shared" ref="G82:R82" si="23">+CONCATENATE(G6,"p")</f>
        <v>2023-01p</v>
      </c>
      <c r="H82" s="210" t="str">
        <f t="shared" si="23"/>
        <v>2023-02p</v>
      </c>
      <c r="I82" s="210" t="str">
        <f t="shared" si="23"/>
        <v>2023-03p</v>
      </c>
      <c r="J82" s="210" t="str">
        <f t="shared" si="23"/>
        <v>2023-04p</v>
      </c>
      <c r="K82" s="210" t="str">
        <f t="shared" si="23"/>
        <v>2023-05p</v>
      </c>
      <c r="L82" s="210" t="str">
        <f t="shared" si="23"/>
        <v>2023-06p</v>
      </c>
      <c r="M82" s="210" t="str">
        <f t="shared" si="23"/>
        <v>2023-07p</v>
      </c>
      <c r="N82" s="210" t="str">
        <f t="shared" si="23"/>
        <v>2023-08p</v>
      </c>
      <c r="O82" s="210" t="str">
        <f t="shared" si="23"/>
        <v>2023-09p</v>
      </c>
      <c r="P82" s="210" t="str">
        <f t="shared" si="23"/>
        <v>2023-10p</v>
      </c>
      <c r="Q82" s="210" t="str">
        <f t="shared" si="23"/>
        <v>2023-11p</v>
      </c>
      <c r="R82" s="210" t="str">
        <f t="shared" si="23"/>
        <v>2023-12p</v>
      </c>
    </row>
    <row r="83" spans="1:26" ht="15.75" customHeight="1">
      <c r="B83" s="637" t="str">
        <f>+Master!G253</f>
        <v>Plan ostvarenja budžeta</v>
      </c>
      <c r="C83" s="638"/>
      <c r="D83" s="638"/>
      <c r="E83" s="638"/>
      <c r="F83" s="638"/>
      <c r="G83" s="614">
        <v>2023</v>
      </c>
      <c r="H83" s="615"/>
      <c r="I83" s="615"/>
      <c r="J83" s="615"/>
      <c r="K83" s="615"/>
      <c r="L83" s="615"/>
      <c r="M83" s="615"/>
      <c r="N83" s="615"/>
      <c r="O83" s="615"/>
      <c r="P83" s="615"/>
      <c r="Q83" s="615"/>
      <c r="R83" s="616"/>
      <c r="S83" s="211" t="str">
        <f>+S7</f>
        <v>BDP</v>
      </c>
      <c r="T83" s="212">
        <v>6624340418</v>
      </c>
    </row>
    <row r="84" spans="1:26" ht="15.75" customHeight="1">
      <c r="B84" s="639"/>
      <c r="C84" s="640"/>
      <c r="D84" s="640"/>
      <c r="E84" s="640"/>
      <c r="F84" s="641"/>
      <c r="G84" s="179" t="str">
        <f t="shared" ref="G84:R84" si="24">+G8</f>
        <v>Januar</v>
      </c>
      <c r="H84" s="179" t="str">
        <f t="shared" si="24"/>
        <v>Februar</v>
      </c>
      <c r="I84" s="179" t="str">
        <f t="shared" si="24"/>
        <v>Mart</v>
      </c>
      <c r="J84" s="179" t="str">
        <f t="shared" si="24"/>
        <v>April</v>
      </c>
      <c r="K84" s="179" t="str">
        <f t="shared" si="24"/>
        <v>Maj</v>
      </c>
      <c r="L84" s="179" t="str">
        <f t="shared" si="24"/>
        <v>Jun</v>
      </c>
      <c r="M84" s="179" t="str">
        <f t="shared" si="24"/>
        <v>Jul</v>
      </c>
      <c r="N84" s="179" t="str">
        <f t="shared" si="24"/>
        <v>Avgust</v>
      </c>
      <c r="O84" s="179" t="str">
        <f t="shared" si="24"/>
        <v>Septembar</v>
      </c>
      <c r="P84" s="179" t="str">
        <f t="shared" si="24"/>
        <v>Oktobar</v>
      </c>
      <c r="Q84" s="179" t="str">
        <f t="shared" si="24"/>
        <v>Novembar</v>
      </c>
      <c r="R84" s="179" t="str">
        <f t="shared" si="24"/>
        <v>Decembar</v>
      </c>
      <c r="S84" s="614" t="str">
        <f>+Master!G247</f>
        <v>Jan - Dec</v>
      </c>
      <c r="T84" s="616">
        <f>+T8</f>
        <v>0</v>
      </c>
    </row>
    <row r="85" spans="1:26">
      <c r="B85" s="642"/>
      <c r="C85" s="643"/>
      <c r="D85" s="643"/>
      <c r="E85" s="643"/>
      <c r="F85" s="644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6">
      <c r="A86" s="216" t="str">
        <f t="shared" ref="A86:A134" si="25">+CONCATENATE(A10,"p")</f>
        <v>7p</v>
      </c>
      <c r="B86" s="617" t="str">
        <f>+VLOOKUP(LEFT($A86,LEN(A86)-1)*1,Master!$D$30:$G$226,4,FALSE)</f>
        <v>Prihodi budžeta</v>
      </c>
      <c r="C86" s="618"/>
      <c r="D86" s="618"/>
      <c r="E86" s="618"/>
      <c r="F86" s="618"/>
      <c r="G86" s="217">
        <f t="shared" ref="G86:L86" si="26">+G87+G95+SUM(G100:G104)</f>
        <v>153112731.452407</v>
      </c>
      <c r="H86" s="217">
        <f t="shared" si="26"/>
        <v>127832756.555481</v>
      </c>
      <c r="I86" s="217">
        <f t="shared" si="26"/>
        <v>201740232.630254</v>
      </c>
      <c r="J86" s="217">
        <f t="shared" si="26"/>
        <v>197163981.770235</v>
      </c>
      <c r="K86" s="217">
        <f t="shared" si="26"/>
        <v>158296327.97128701</v>
      </c>
      <c r="L86" s="217">
        <f t="shared" si="26"/>
        <v>167200464.48127499</v>
      </c>
      <c r="M86" s="217">
        <f t="shared" ref="M86:R86" si="27">+M87+M95+SUM(M100:M104)</f>
        <v>181861975.69392899</v>
      </c>
      <c r="N86" s="217">
        <f t="shared" si="27"/>
        <v>202109513.213029</v>
      </c>
      <c r="O86" s="217">
        <f t="shared" si="27"/>
        <v>185021882.21583501</v>
      </c>
      <c r="P86" s="217">
        <f t="shared" si="27"/>
        <v>177565269.23911199</v>
      </c>
      <c r="Q86" s="217">
        <f t="shared" si="27"/>
        <v>168967337.33965001</v>
      </c>
      <c r="R86" s="217">
        <f t="shared" si="27"/>
        <v>226593742.01140201</v>
      </c>
      <c r="S86" s="309">
        <f>+SUM(G86:R86)</f>
        <v>2147466214.5739</v>
      </c>
      <c r="T86" s="348">
        <f>+S86/$T$83*100</f>
        <v>32.417811873597103</v>
      </c>
      <c r="U86" s="129"/>
    </row>
    <row r="87" spans="1:26">
      <c r="A87" s="216" t="str">
        <f t="shared" si="25"/>
        <v>711p</v>
      </c>
      <c r="B87" s="619" t="str">
        <f>+VLOOKUP(LEFT($A87,LEN(A87)-1)*1,Master!$D$30:$G$226,4,FALSE)</f>
        <v>Porezi</v>
      </c>
      <c r="C87" s="620"/>
      <c r="D87" s="620"/>
      <c r="E87" s="620"/>
      <c r="F87" s="620"/>
      <c r="G87" s="220">
        <f t="shared" ref="G87:L87" si="28">+SUM(G88:G94)</f>
        <v>89053259.196490705</v>
      </c>
      <c r="H87" s="220">
        <f t="shared" si="28"/>
        <v>86133720.726993397</v>
      </c>
      <c r="I87" s="220">
        <f t="shared" si="28"/>
        <v>151611174.865978</v>
      </c>
      <c r="J87" s="220">
        <f t="shared" si="28"/>
        <v>145526098.37503299</v>
      </c>
      <c r="K87" s="220">
        <f t="shared" si="28"/>
        <v>114721167.872878</v>
      </c>
      <c r="L87" s="220">
        <f t="shared" si="28"/>
        <v>116649816.059074</v>
      </c>
      <c r="M87" s="220">
        <f t="shared" ref="M87:R87" si="29">+SUM(M88:M94)</f>
        <v>123219445.944518</v>
      </c>
      <c r="N87" s="220">
        <f t="shared" si="29"/>
        <v>144506632.21079001</v>
      </c>
      <c r="O87" s="220">
        <f t="shared" si="29"/>
        <v>130700085.51141199</v>
      </c>
      <c r="P87" s="220">
        <f t="shared" si="29"/>
        <v>120588265.76124699</v>
      </c>
      <c r="Q87" s="220">
        <f t="shared" si="29"/>
        <v>112197774.085566</v>
      </c>
      <c r="R87" s="221">
        <f t="shared" si="29"/>
        <v>130556572.94447701</v>
      </c>
      <c r="S87" s="311">
        <f t="shared" ref="S87:S142" si="30">+SUM(G87:R87)</f>
        <v>1465464013.55446</v>
      </c>
      <c r="T87" s="327">
        <f t="shared" ref="T87:T142" si="31">+S87/$T$83*100</f>
        <v>22.1224140228727</v>
      </c>
      <c r="V87" s="172"/>
    </row>
    <row r="88" spans="1:26">
      <c r="A88" s="216" t="str">
        <f t="shared" si="25"/>
        <v>7111p</v>
      </c>
      <c r="B88" s="621" t="str">
        <f>+VLOOKUP(LEFT($A88,LEN(A88)-1)*1,Master!$D$30:$G$229,4,FALSE)</f>
        <v>Porez na dohodak fizičkih lica</v>
      </c>
      <c r="C88" s="622"/>
      <c r="D88" s="622"/>
      <c r="E88" s="622"/>
      <c r="F88" s="622"/>
      <c r="G88" s="225">
        <v>2070902.7064199301</v>
      </c>
      <c r="H88" s="225">
        <v>4571441.50546207</v>
      </c>
      <c r="I88" s="225">
        <v>4416792.2892746199</v>
      </c>
      <c r="J88" s="225">
        <v>5257739.5478638299</v>
      </c>
      <c r="K88" s="225">
        <v>4986046.1475269897</v>
      </c>
      <c r="L88" s="225">
        <v>4944578.7228755299</v>
      </c>
      <c r="M88" s="225">
        <v>5364995.4780979399</v>
      </c>
      <c r="N88" s="225">
        <v>5116178.4586188002</v>
      </c>
      <c r="O88" s="225">
        <v>5045281.5655734101</v>
      </c>
      <c r="P88" s="225">
        <v>5285963.7322472502</v>
      </c>
      <c r="Q88" s="225">
        <v>4877225.8311620504</v>
      </c>
      <c r="R88" s="225">
        <v>9102707.6780775897</v>
      </c>
      <c r="S88" s="312">
        <f t="shared" si="30"/>
        <v>61039853.663199998</v>
      </c>
      <c r="T88" s="329">
        <f t="shared" si="31"/>
        <v>0.921448020656356</v>
      </c>
      <c r="V88" s="172"/>
    </row>
    <row r="89" spans="1:26">
      <c r="A89" s="216" t="str">
        <f t="shared" si="25"/>
        <v>7112p</v>
      </c>
      <c r="B89" s="621" t="str">
        <f>+VLOOKUP(LEFT($A89,LEN(A89)-1)*1,Master!$D$30:$G$229,4,FALSE)</f>
        <v>Porez na dobit pravnih lica</v>
      </c>
      <c r="C89" s="622"/>
      <c r="D89" s="622"/>
      <c r="E89" s="622"/>
      <c r="F89" s="622"/>
      <c r="G89" s="225">
        <v>534161.88979689102</v>
      </c>
      <c r="H89" s="225">
        <v>2931735.7925026799</v>
      </c>
      <c r="I89" s="225">
        <v>52182708.518122502</v>
      </c>
      <c r="J89" s="225">
        <v>38816261.383036897</v>
      </c>
      <c r="K89" s="225">
        <v>2899918.0051999898</v>
      </c>
      <c r="L89" s="225">
        <v>4080555.7993856599</v>
      </c>
      <c r="M89" s="225">
        <v>2527233.3334094598</v>
      </c>
      <c r="N89" s="225">
        <v>3169336.8152234601</v>
      </c>
      <c r="O89" s="225">
        <v>3538278.3583860602</v>
      </c>
      <c r="P89" s="225">
        <v>1664293.4786487301</v>
      </c>
      <c r="Q89" s="225">
        <v>2887333.7182166702</v>
      </c>
      <c r="R89" s="225">
        <v>6416604.0733927703</v>
      </c>
      <c r="S89" s="312">
        <f t="shared" si="30"/>
        <v>121648421.16532201</v>
      </c>
      <c r="T89" s="329">
        <f t="shared" si="31"/>
        <v>1.83638541332768</v>
      </c>
      <c r="V89" s="172"/>
    </row>
    <row r="90" spans="1:26">
      <c r="A90" s="216" t="str">
        <f t="shared" si="25"/>
        <v>7113p</v>
      </c>
      <c r="B90" s="621" t="str">
        <f>+VLOOKUP(LEFT($A90,LEN(A90)-1)*1,Master!$D$30:$G$229,4,FALSE)</f>
        <v>Porez na promet nepokretnosti</v>
      </c>
      <c r="C90" s="622"/>
      <c r="D90" s="622"/>
      <c r="E90" s="622"/>
      <c r="F90" s="622"/>
      <c r="G90" s="225">
        <v>0</v>
      </c>
      <c r="H90" s="225">
        <v>0</v>
      </c>
      <c r="I90" s="225">
        <v>0</v>
      </c>
      <c r="J90" s="225">
        <v>0</v>
      </c>
      <c r="K90" s="225">
        <v>0</v>
      </c>
      <c r="L90" s="225">
        <v>0</v>
      </c>
      <c r="M90" s="225">
        <v>0</v>
      </c>
      <c r="N90" s="225">
        <v>0</v>
      </c>
      <c r="O90" s="225">
        <v>0</v>
      </c>
      <c r="P90" s="225">
        <v>0</v>
      </c>
      <c r="Q90" s="225">
        <v>0</v>
      </c>
      <c r="R90" s="225">
        <v>0</v>
      </c>
      <c r="S90" s="312">
        <f t="shared" si="30"/>
        <v>0</v>
      </c>
      <c r="T90" s="329">
        <f t="shared" si="31"/>
        <v>0</v>
      </c>
      <c r="V90" s="172"/>
    </row>
    <row r="91" spans="1:26">
      <c r="A91" s="216" t="str">
        <f t="shared" si="25"/>
        <v>7114p</v>
      </c>
      <c r="B91" s="621" t="str">
        <f>+VLOOKUP(LEFT($A91,LEN(A91)-1)*1,Master!$D$30:$G$229,4,FALSE)</f>
        <v>Porez na dodatu vrijednost</v>
      </c>
      <c r="C91" s="622"/>
      <c r="D91" s="622"/>
      <c r="E91" s="622"/>
      <c r="F91" s="622"/>
      <c r="G91" s="225">
        <v>65000000</v>
      </c>
      <c r="H91" s="225">
        <v>59157257.036181301</v>
      </c>
      <c r="I91" s="225">
        <v>70779064.900745302</v>
      </c>
      <c r="J91" s="225">
        <v>77609564.1081063</v>
      </c>
      <c r="K91" s="225">
        <v>80764321.173744306</v>
      </c>
      <c r="L91" s="225">
        <v>82000000</v>
      </c>
      <c r="M91" s="225">
        <v>86587361.219999999</v>
      </c>
      <c r="N91" s="225">
        <v>99000000</v>
      </c>
      <c r="O91" s="225">
        <v>89355645.6962322</v>
      </c>
      <c r="P91" s="225">
        <v>85000000</v>
      </c>
      <c r="Q91" s="225">
        <v>80002523.512198806</v>
      </c>
      <c r="R91" s="225">
        <v>83726072.568305194</v>
      </c>
      <c r="S91" s="312">
        <f t="shared" si="30"/>
        <v>958981810.21551299</v>
      </c>
      <c r="T91" s="329">
        <f t="shared" si="31"/>
        <v>14.4766384228944</v>
      </c>
      <c r="V91" s="172"/>
    </row>
    <row r="92" spans="1:26">
      <c r="A92" s="216" t="str">
        <f t="shared" si="25"/>
        <v>7115p</v>
      </c>
      <c r="B92" s="621" t="str">
        <f>+VLOOKUP(LEFT($A92,LEN(A92)-1)*1,Master!$D$30:$G$229,4,FALSE)</f>
        <v>Akcize</v>
      </c>
      <c r="C92" s="622"/>
      <c r="D92" s="622"/>
      <c r="E92" s="622"/>
      <c r="F92" s="622"/>
      <c r="G92" s="225">
        <v>18950000</v>
      </c>
      <c r="H92" s="225">
        <v>16468285.8196883</v>
      </c>
      <c r="I92" s="225">
        <v>20008845.7876136</v>
      </c>
      <c r="J92" s="225">
        <v>19694697.412667502</v>
      </c>
      <c r="K92" s="225">
        <v>21753669.006241199</v>
      </c>
      <c r="L92" s="225">
        <v>20861971.0601958</v>
      </c>
      <c r="M92" s="225">
        <v>23890190.547238801</v>
      </c>
      <c r="N92" s="225">
        <v>31837007.557229199</v>
      </c>
      <c r="O92" s="225">
        <v>27952742.360335801</v>
      </c>
      <c r="P92" s="225">
        <v>24243081.612867899</v>
      </c>
      <c r="Q92" s="225">
        <v>19387116.282255899</v>
      </c>
      <c r="R92" s="225">
        <v>26404567.592340998</v>
      </c>
      <c r="S92" s="312">
        <f t="shared" si="30"/>
        <v>271452175.03867501</v>
      </c>
      <c r="T92" s="329">
        <f t="shared" si="31"/>
        <v>4.0977992963808303</v>
      </c>
      <c r="V92" s="172"/>
      <c r="X92" s="224"/>
      <c r="Y92" s="224"/>
      <c r="Z92" s="224"/>
    </row>
    <row r="93" spans="1:26">
      <c r="A93" s="216" t="str">
        <f t="shared" si="25"/>
        <v>7116p</v>
      </c>
      <c r="B93" s="621" t="str">
        <f>+VLOOKUP(LEFT($A93,LEN(A93)-1)*1,Master!$D$30:$G$229,4,FALSE)</f>
        <v>Porez na međunarodnu trgovinu i transakcije</v>
      </c>
      <c r="C93" s="622"/>
      <c r="D93" s="622"/>
      <c r="E93" s="622"/>
      <c r="F93" s="622"/>
      <c r="G93" s="225">
        <v>1690050.6290672501</v>
      </c>
      <c r="H93" s="225">
        <v>2149690.20710437</v>
      </c>
      <c r="I93" s="225">
        <v>3285503.6338270199</v>
      </c>
      <c r="J93" s="225">
        <v>3112309.39590549</v>
      </c>
      <c r="K93" s="225">
        <v>3395864.9730360899</v>
      </c>
      <c r="L93" s="225">
        <v>3721386.9341526702</v>
      </c>
      <c r="M93" s="225">
        <v>3649795.5179858198</v>
      </c>
      <c r="N93" s="225">
        <v>4254913.4315361399</v>
      </c>
      <c r="O93" s="225">
        <v>3771141.3156107399</v>
      </c>
      <c r="P93" s="225">
        <v>3431995.05291725</v>
      </c>
      <c r="Q93" s="225">
        <v>3902366.88881783</v>
      </c>
      <c r="R93" s="225">
        <v>3887332.1767584099</v>
      </c>
      <c r="S93" s="312">
        <f t="shared" si="30"/>
        <v>40252350.156719103</v>
      </c>
      <c r="T93" s="329">
        <f t="shared" si="31"/>
        <v>0.60764314055091895</v>
      </c>
      <c r="V93" s="172"/>
    </row>
    <row r="94" spans="1:26">
      <c r="A94" s="216" t="str">
        <f t="shared" si="25"/>
        <v>7118p</v>
      </c>
      <c r="B94" s="621" t="str">
        <f>+VLOOKUP(LEFT($A94,LEN(A94)-1)*1,Master!$D$30:$G$229,4,FALSE)</f>
        <v>Ostali državni porezi</v>
      </c>
      <c r="C94" s="622"/>
      <c r="D94" s="622"/>
      <c r="E94" s="622"/>
      <c r="F94" s="622"/>
      <c r="G94" s="225">
        <v>808143.97120662604</v>
      </c>
      <c r="H94" s="225">
        <v>855310.36605466797</v>
      </c>
      <c r="I94" s="225">
        <v>938259.73639494297</v>
      </c>
      <c r="J94" s="225">
        <v>1035526.5274534</v>
      </c>
      <c r="K94" s="225">
        <v>921348.56712938903</v>
      </c>
      <c r="L94" s="225">
        <v>1041323.54246402</v>
      </c>
      <c r="M94" s="225">
        <v>1199869.8477861001</v>
      </c>
      <c r="N94" s="225">
        <v>1129195.9481820301</v>
      </c>
      <c r="O94" s="225">
        <v>1036996.21527351</v>
      </c>
      <c r="P94" s="225">
        <v>962931.88456615095</v>
      </c>
      <c r="Q94" s="225">
        <v>1141207.85291422</v>
      </c>
      <c r="R94" s="225">
        <v>1019288.85560202</v>
      </c>
      <c r="S94" s="312">
        <f t="shared" si="30"/>
        <v>12089403.315027099</v>
      </c>
      <c r="T94" s="329">
        <f t="shared" si="31"/>
        <v>0.18249972906249101</v>
      </c>
      <c r="V94" s="172"/>
    </row>
    <row r="95" spans="1:26">
      <c r="A95" s="216" t="str">
        <f t="shared" si="25"/>
        <v>712p</v>
      </c>
      <c r="B95" s="623" t="str">
        <f>+VLOOKUP(LEFT($A95,LEN(A95)-1)*1,Master!$D$30:$G$229,4,FALSE)</f>
        <v>Doprinosi</v>
      </c>
      <c r="C95" s="624"/>
      <c r="D95" s="624"/>
      <c r="E95" s="624"/>
      <c r="F95" s="624"/>
      <c r="G95" s="228">
        <f>+SUM(G96:G99)</f>
        <v>14028547.954861199</v>
      </c>
      <c r="H95" s="228">
        <f t="shared" ref="H95:L95" si="32">+SUM(H96:H99)</f>
        <v>35494684.891336001</v>
      </c>
      <c r="I95" s="349">
        <f t="shared" si="32"/>
        <v>34746900.973094396</v>
      </c>
      <c r="J95" s="228">
        <f t="shared" si="32"/>
        <v>42833596.089660697</v>
      </c>
      <c r="K95" s="228">
        <f t="shared" si="32"/>
        <v>31865136.1666403</v>
      </c>
      <c r="L95" s="228">
        <f t="shared" si="32"/>
        <v>38887014.546536602</v>
      </c>
      <c r="M95" s="228">
        <f t="shared" ref="M95:R95" si="33">+SUM(M96:M99)</f>
        <v>41674957.146424197</v>
      </c>
      <c r="N95" s="228">
        <f t="shared" si="33"/>
        <v>39623582.115929499</v>
      </c>
      <c r="O95" s="228">
        <f t="shared" si="33"/>
        <v>38556106.773443103</v>
      </c>
      <c r="P95" s="228">
        <f t="shared" si="33"/>
        <v>41225764.800633103</v>
      </c>
      <c r="Q95" s="228">
        <f t="shared" si="33"/>
        <v>39258499.915648296</v>
      </c>
      <c r="R95" s="229">
        <f t="shared" si="33"/>
        <v>76561513.993557006</v>
      </c>
      <c r="S95" s="313">
        <f t="shared" si="30"/>
        <v>474756305.367764</v>
      </c>
      <c r="T95" s="330">
        <f t="shared" si="31"/>
        <v>7.1668464391976601</v>
      </c>
      <c r="V95" s="172"/>
    </row>
    <row r="96" spans="1:26">
      <c r="A96" s="216" t="str">
        <f t="shared" si="25"/>
        <v>7121p</v>
      </c>
      <c r="B96" s="621" t="str">
        <f>+VLOOKUP(LEFT($A96,LEN(A96)-1)*1,Master!$D$30:$G$229,4,FALSE)</f>
        <v>Doprinosi za penzijsko i invalidsko osiguranje</v>
      </c>
      <c r="C96" s="622"/>
      <c r="D96" s="622"/>
      <c r="E96" s="622"/>
      <c r="F96" s="622"/>
      <c r="G96" s="225">
        <v>12922296.768241201</v>
      </c>
      <c r="H96" s="225">
        <v>32778046.6403974</v>
      </c>
      <c r="I96" s="225">
        <v>31885035.7825852</v>
      </c>
      <c r="J96" s="225">
        <v>39517642.627177402</v>
      </c>
      <c r="K96" s="225">
        <v>29460956.519365199</v>
      </c>
      <c r="L96" s="225">
        <v>35997729.315968201</v>
      </c>
      <c r="M96" s="225">
        <v>38602836.994617499</v>
      </c>
      <c r="N96" s="225">
        <v>36676993.713693596</v>
      </c>
      <c r="O96" s="225">
        <v>35626366.833726302</v>
      </c>
      <c r="P96" s="225">
        <v>38068802.6926331</v>
      </c>
      <c r="Q96" s="225">
        <v>36305288.3078392</v>
      </c>
      <c r="R96" s="225">
        <v>70883550.649357796</v>
      </c>
      <c r="S96" s="312">
        <f t="shared" si="30"/>
        <v>438725546.84560198</v>
      </c>
      <c r="T96" s="329">
        <f t="shared" si="31"/>
        <v>6.62293178130572</v>
      </c>
      <c r="V96" s="172"/>
      <c r="W96" s="172"/>
    </row>
    <row r="97" spans="1:23">
      <c r="A97" s="216" t="str">
        <f t="shared" si="25"/>
        <v>7122p</v>
      </c>
      <c r="B97" s="621" t="str">
        <f>+VLOOKUP(LEFT($A97,LEN(A97)-1)*1,Master!$D$30:$G$229,4,FALSE)</f>
        <v>Doprinosi za zdravstveno osiguranje</v>
      </c>
      <c r="C97" s="622"/>
      <c r="D97" s="622"/>
      <c r="E97" s="622"/>
      <c r="F97" s="622"/>
      <c r="G97" s="225">
        <v>100023.86869410799</v>
      </c>
      <c r="H97" s="225">
        <v>100023.86869410799</v>
      </c>
      <c r="I97" s="225">
        <v>100023.86869410799</v>
      </c>
      <c r="J97" s="225">
        <v>100023.86869410799</v>
      </c>
      <c r="K97" s="225">
        <v>100023.86869410799</v>
      </c>
      <c r="L97" s="225">
        <v>100023.86869410799</v>
      </c>
      <c r="M97" s="225">
        <v>100023.86869410799</v>
      </c>
      <c r="N97" s="225">
        <v>100023.86869410799</v>
      </c>
      <c r="O97" s="225">
        <v>100023.86869410799</v>
      </c>
      <c r="P97" s="225">
        <v>100023.86869410799</v>
      </c>
      <c r="Q97" s="225">
        <v>100023.86869410799</v>
      </c>
      <c r="R97" s="225">
        <v>100023.86869410799</v>
      </c>
      <c r="S97" s="312">
        <f t="shared" si="30"/>
        <v>1200286.4243292999</v>
      </c>
      <c r="T97" s="329">
        <f t="shared" si="31"/>
        <v>1.8119334886048701E-2</v>
      </c>
      <c r="V97" s="172"/>
    </row>
    <row r="98" spans="1:23">
      <c r="A98" s="216" t="str">
        <f t="shared" si="25"/>
        <v>7123p</v>
      </c>
      <c r="B98" s="621" t="str">
        <f>+VLOOKUP(LEFT($A98,LEN(A98)-1)*1,Master!$D$30:$G$229,4,FALSE)</f>
        <v>Doprinosi za osiguranje od nezaposlenosti</v>
      </c>
      <c r="C98" s="622"/>
      <c r="D98" s="622"/>
      <c r="E98" s="622"/>
      <c r="F98" s="622"/>
      <c r="G98" s="225">
        <v>619197.91655976803</v>
      </c>
      <c r="H98" s="225">
        <v>1562283.5053246501</v>
      </c>
      <c r="I98" s="225">
        <v>1529231.40748649</v>
      </c>
      <c r="J98" s="225">
        <v>1852310.8045904001</v>
      </c>
      <c r="K98" s="225">
        <v>1381579.4426863701</v>
      </c>
      <c r="L98" s="225">
        <v>1646351.38656871</v>
      </c>
      <c r="M98" s="225">
        <v>1773247.4402761699</v>
      </c>
      <c r="N98" s="225">
        <v>1691805.2177619301</v>
      </c>
      <c r="O98" s="225">
        <v>1673177.75590837</v>
      </c>
      <c r="P98" s="225">
        <v>1765599.6533184899</v>
      </c>
      <c r="Q98" s="225">
        <v>1660050.53940289</v>
      </c>
      <c r="R98" s="225">
        <v>3206078.6416049502</v>
      </c>
      <c r="S98" s="312">
        <f t="shared" si="30"/>
        <v>20360913.711489201</v>
      </c>
      <c r="T98" s="329">
        <f t="shared" si="31"/>
        <v>0.30736514772343898</v>
      </c>
      <c r="V98" s="172"/>
    </row>
    <row r="99" spans="1:23">
      <c r="A99" s="216" t="str">
        <f t="shared" si="25"/>
        <v>7124p</v>
      </c>
      <c r="B99" s="621" t="str">
        <f>+VLOOKUP(LEFT($A99,LEN(A99)-1)*1,Master!$D$30:$G$229,4,FALSE)</f>
        <v>Ostali doprinosi</v>
      </c>
      <c r="C99" s="622"/>
      <c r="D99" s="622"/>
      <c r="E99" s="622"/>
      <c r="F99" s="622"/>
      <c r="G99" s="225">
        <v>387029.40136608301</v>
      </c>
      <c r="H99" s="225">
        <v>1054330.87691982</v>
      </c>
      <c r="I99" s="225">
        <v>1232609.9143286201</v>
      </c>
      <c r="J99" s="225">
        <v>1363618.78919883</v>
      </c>
      <c r="K99" s="225">
        <v>922576.33589464298</v>
      </c>
      <c r="L99" s="225">
        <v>1142909.9753056101</v>
      </c>
      <c r="M99" s="225">
        <v>1198848.84283639</v>
      </c>
      <c r="N99" s="225">
        <v>1154759.3157798699</v>
      </c>
      <c r="O99" s="225">
        <v>1156538.31511426</v>
      </c>
      <c r="P99" s="225">
        <v>1291338.5859874301</v>
      </c>
      <c r="Q99" s="225">
        <v>1193137.1997120699</v>
      </c>
      <c r="R99" s="225">
        <v>2371860.8339001499</v>
      </c>
      <c r="S99" s="312">
        <f t="shared" si="30"/>
        <v>14469558.3863438</v>
      </c>
      <c r="T99" s="329">
        <f t="shared" si="31"/>
        <v>0.21843017528245301</v>
      </c>
      <c r="V99" s="172"/>
    </row>
    <row r="100" spans="1:23">
      <c r="A100" s="216" t="str">
        <f t="shared" si="25"/>
        <v>713p</v>
      </c>
      <c r="B100" s="623" t="str">
        <f>+VLOOKUP(LEFT($A100,LEN(A100)-1)*1,Master!$D$30:$G$229,4,FALSE)</f>
        <v>Takse</v>
      </c>
      <c r="C100" s="624"/>
      <c r="D100" s="624"/>
      <c r="E100" s="624"/>
      <c r="F100" s="624"/>
      <c r="G100" s="232">
        <v>670553.327073197</v>
      </c>
      <c r="H100" s="232">
        <v>853610.81100259803</v>
      </c>
      <c r="I100" s="232">
        <v>866806.93435184704</v>
      </c>
      <c r="J100" s="232">
        <v>1045994.33421459</v>
      </c>
      <c r="K100" s="232">
        <v>975864.39322560804</v>
      </c>
      <c r="L100" s="232">
        <v>1069123.3509492599</v>
      </c>
      <c r="M100" s="232">
        <v>1754495.9179910701</v>
      </c>
      <c r="N100" s="232">
        <v>1873370.89011279</v>
      </c>
      <c r="O100" s="232">
        <v>1507509.8465881599</v>
      </c>
      <c r="P100" s="232">
        <v>1219130.6368902801</v>
      </c>
      <c r="Q100" s="232">
        <v>1025348.88298976</v>
      </c>
      <c r="R100" s="232">
        <v>1389128.89813584</v>
      </c>
      <c r="S100" s="313">
        <f t="shared" si="30"/>
        <v>14250938.223525001</v>
      </c>
      <c r="T100" s="330">
        <f t="shared" si="31"/>
        <v>0.21512991972456</v>
      </c>
      <c r="V100" s="172"/>
    </row>
    <row r="101" spans="1:23">
      <c r="A101" s="216" t="str">
        <f t="shared" si="25"/>
        <v>714p</v>
      </c>
      <c r="B101" s="623" t="str">
        <f>+VLOOKUP(LEFT($A101,LEN(A101)-1)*1,Master!$D$30:$G$229,4,FALSE)</f>
        <v>Naknade</v>
      </c>
      <c r="C101" s="624"/>
      <c r="D101" s="624"/>
      <c r="E101" s="624"/>
      <c r="F101" s="624"/>
      <c r="G101" s="232">
        <v>12301859.137453999</v>
      </c>
      <c r="H101" s="232">
        <v>1737839.0434846201</v>
      </c>
      <c r="I101" s="232">
        <v>2414564.26826989</v>
      </c>
      <c r="J101" s="232">
        <v>2360898.2221327</v>
      </c>
      <c r="K101" s="232">
        <v>1893341.2902315799</v>
      </c>
      <c r="L101" s="232">
        <v>3087651.9216982801</v>
      </c>
      <c r="M101" s="232">
        <v>2833106.8014261499</v>
      </c>
      <c r="N101" s="232">
        <v>1908379.2093100599</v>
      </c>
      <c r="O101" s="232">
        <v>2810433.9965217402</v>
      </c>
      <c r="P101" s="232">
        <v>3370011.6773951398</v>
      </c>
      <c r="Q101" s="232">
        <v>2865853.2964797998</v>
      </c>
      <c r="R101" s="232">
        <v>4104318.4117466202</v>
      </c>
      <c r="S101" s="313">
        <f t="shared" si="30"/>
        <v>41688257.276150502</v>
      </c>
      <c r="T101" s="330">
        <f t="shared" si="31"/>
        <v>0.62931936835361102</v>
      </c>
      <c r="V101" s="172"/>
    </row>
    <row r="102" spans="1:23">
      <c r="A102" s="216" t="str">
        <f t="shared" si="25"/>
        <v>715p</v>
      </c>
      <c r="B102" s="623" t="str">
        <f>+VLOOKUP(LEFT($A102,LEN(A102)-1)*1,Master!$D$30:$G$229,4,FALSE)</f>
        <v>Ostali prihodi</v>
      </c>
      <c r="C102" s="624"/>
      <c r="D102" s="624"/>
      <c r="E102" s="624"/>
      <c r="F102" s="624"/>
      <c r="G102" s="232">
        <v>35476989.500013798</v>
      </c>
      <c r="H102" s="232">
        <v>1666927.9695483099</v>
      </c>
      <c r="I102" s="232">
        <v>1797638.0792588701</v>
      </c>
      <c r="J102" s="232">
        <v>1832014.0594961599</v>
      </c>
      <c r="K102" s="232">
        <v>4733890.0403573504</v>
      </c>
      <c r="L102" s="232">
        <v>2822218.61254365</v>
      </c>
      <c r="M102" s="232">
        <v>9067540.6215341594</v>
      </c>
      <c r="N102" s="232">
        <v>9516386.4239806794</v>
      </c>
      <c r="O102" s="232">
        <v>8077599.8803823302</v>
      </c>
      <c r="P102" s="232">
        <v>7745200.275409</v>
      </c>
      <c r="Q102" s="232">
        <v>8762559.2854723595</v>
      </c>
      <c r="R102" s="232">
        <v>8676446.8240033798</v>
      </c>
      <c r="S102" s="313">
        <f t="shared" si="30"/>
        <v>100175411.572</v>
      </c>
      <c r="T102" s="330">
        <f t="shared" si="31"/>
        <v>1.51223224126282</v>
      </c>
      <c r="V102" s="172"/>
    </row>
    <row r="103" spans="1:23">
      <c r="A103" s="216" t="str">
        <f t="shared" si="25"/>
        <v>73p</v>
      </c>
      <c r="B103" s="623" t="str">
        <f>+VLOOKUP(LEFT($A103,LEN(A103)-1)*1,Master!$D$30:$G$229,4,FALSE)</f>
        <v>Primici od otplate kredita i sredstva prenesena iz prethodne godine</v>
      </c>
      <c r="C103" s="624"/>
      <c r="D103" s="624"/>
      <c r="E103" s="624"/>
      <c r="F103" s="624"/>
      <c r="G103" s="232">
        <v>81522.336514710099</v>
      </c>
      <c r="H103" s="232">
        <v>445973.11311571102</v>
      </c>
      <c r="I103" s="232">
        <v>303147.50930105901</v>
      </c>
      <c r="J103" s="232">
        <v>411671.29191968899</v>
      </c>
      <c r="K103" s="232">
        <v>953218.81017704203</v>
      </c>
      <c r="L103" s="232">
        <v>1530930.59269586</v>
      </c>
      <c r="M103" s="232">
        <v>158719.86425742201</v>
      </c>
      <c r="N103" s="232">
        <v>1527452.96512826</v>
      </c>
      <c r="O103" s="232">
        <v>216436.809710011</v>
      </c>
      <c r="P103" s="232">
        <v>263186.689759926</v>
      </c>
      <c r="Q103" s="232">
        <v>1703592.47571623</v>
      </c>
      <c r="R103" s="232">
        <v>2152051.5417040801</v>
      </c>
      <c r="S103" s="313">
        <f t="shared" si="30"/>
        <v>9747904</v>
      </c>
      <c r="T103" s="330">
        <f t="shared" si="31"/>
        <v>0.147152824053433</v>
      </c>
      <c r="V103" s="172"/>
      <c r="W103" s="172"/>
    </row>
    <row r="104" spans="1:23">
      <c r="A104" s="216" t="str">
        <f t="shared" si="25"/>
        <v>74p</v>
      </c>
      <c r="B104" s="625" t="str">
        <f>+VLOOKUP(LEFT($A104,LEN(A104)-1)*1,Master!$D$30:$G$229,4,FALSE)</f>
        <v>Donacije i transferi</v>
      </c>
      <c r="C104" s="626"/>
      <c r="D104" s="626"/>
      <c r="E104" s="626"/>
      <c r="F104" s="626"/>
      <c r="G104" s="232">
        <v>1500000</v>
      </c>
      <c r="H104" s="232">
        <v>1500000</v>
      </c>
      <c r="I104" s="232">
        <v>10000000</v>
      </c>
      <c r="J104" s="232">
        <v>3153709.39777778</v>
      </c>
      <c r="K104" s="232">
        <v>3153709.39777778</v>
      </c>
      <c r="L104" s="232">
        <v>3153709.39777778</v>
      </c>
      <c r="M104" s="232">
        <v>3153709.39777778</v>
      </c>
      <c r="N104" s="232">
        <v>3153709.39777778</v>
      </c>
      <c r="O104" s="232">
        <v>3153709.39777778</v>
      </c>
      <c r="P104" s="232">
        <v>3153709.39777778</v>
      </c>
      <c r="Q104" s="232">
        <v>3153709.39777778</v>
      </c>
      <c r="R104" s="232">
        <v>3153709.39777778</v>
      </c>
      <c r="S104" s="314">
        <f t="shared" si="30"/>
        <v>41383384.579999998</v>
      </c>
      <c r="T104" s="331">
        <f t="shared" si="31"/>
        <v>0.62471705813232303</v>
      </c>
      <c r="V104" s="172"/>
    </row>
    <row r="105" spans="1:23">
      <c r="A105" s="216" t="str">
        <f t="shared" si="25"/>
        <v>4p</v>
      </c>
      <c r="B105" s="617" t="str">
        <f>+VLOOKUP(LEFT($A105,LEN(A105)-1)*1,Master!$D$30:$G$229,4,FALSE)</f>
        <v>Izdaci budžeta</v>
      </c>
      <c r="C105" s="618"/>
      <c r="D105" s="618"/>
      <c r="E105" s="618"/>
      <c r="F105" s="618"/>
      <c r="G105" s="217">
        <f t="shared" ref="G105:L105" si="34">+G106+G116+G122+SUM(G123:G127)</f>
        <v>175509865.06</v>
      </c>
      <c r="H105" s="217">
        <f t="shared" si="34"/>
        <v>194904102.37</v>
      </c>
      <c r="I105" s="217">
        <f t="shared" si="34"/>
        <v>204056525.62</v>
      </c>
      <c r="J105" s="217">
        <f t="shared" si="34"/>
        <v>215049716.38</v>
      </c>
      <c r="K105" s="217">
        <f t="shared" si="34"/>
        <v>199767991.34</v>
      </c>
      <c r="L105" s="217">
        <f t="shared" si="34"/>
        <v>194478060.15000001</v>
      </c>
      <c r="M105" s="217">
        <f t="shared" ref="M105:R105" si="35">+M106+M116+M122+SUM(M123:M127)</f>
        <v>237229120.77000001</v>
      </c>
      <c r="N105" s="217">
        <f t="shared" si="35"/>
        <v>208577181.37</v>
      </c>
      <c r="O105" s="217">
        <f t="shared" si="35"/>
        <v>212332628.15000001</v>
      </c>
      <c r="P105" s="217">
        <f t="shared" si="35"/>
        <v>219165654.13999999</v>
      </c>
      <c r="Q105" s="217">
        <f t="shared" si="35"/>
        <v>215801622.55000001</v>
      </c>
      <c r="R105" s="217">
        <f t="shared" si="35"/>
        <v>236910680.68000001</v>
      </c>
      <c r="S105" s="315">
        <f t="shared" si="30"/>
        <v>2513783148.5799999</v>
      </c>
      <c r="T105" s="350">
        <f t="shared" si="31"/>
        <v>37.9476746356425</v>
      </c>
      <c r="V105" s="173"/>
    </row>
    <row r="106" spans="1:23">
      <c r="A106" s="216" t="str">
        <f t="shared" si="25"/>
        <v>41p</v>
      </c>
      <c r="B106" s="627" t="str">
        <f>+VLOOKUP(LEFT($A106,LEN(A106)-1)*1,Master!$D$30:$G$229,4,FALSE)</f>
        <v>Tekući izdaci</v>
      </c>
      <c r="C106" s="628"/>
      <c r="D106" s="628"/>
      <c r="E106" s="628"/>
      <c r="F106" s="628"/>
      <c r="G106" s="240">
        <f t="shared" ref="G106:L106" si="36">+SUM(G107:G115)</f>
        <v>71899625.829999998</v>
      </c>
      <c r="H106" s="240">
        <f t="shared" si="36"/>
        <v>80973595.030000001</v>
      </c>
      <c r="I106" s="240">
        <f t="shared" si="36"/>
        <v>81069361.989999995</v>
      </c>
      <c r="J106" s="240">
        <f t="shared" si="36"/>
        <v>100567396.8</v>
      </c>
      <c r="K106" s="240">
        <f t="shared" si="36"/>
        <v>84597904.260000005</v>
      </c>
      <c r="L106" s="240">
        <f t="shared" si="36"/>
        <v>78964000.510000005</v>
      </c>
      <c r="M106" s="240">
        <f t="shared" ref="M106:R106" si="37">+SUM(M107:M115)</f>
        <v>94970976.420000002</v>
      </c>
      <c r="N106" s="240">
        <f t="shared" si="37"/>
        <v>81866855.859999999</v>
      </c>
      <c r="O106" s="240">
        <f t="shared" si="37"/>
        <v>80815803.739999995</v>
      </c>
      <c r="P106" s="240">
        <f t="shared" si="37"/>
        <v>93936445.849999994</v>
      </c>
      <c r="Q106" s="240">
        <f t="shared" si="37"/>
        <v>91854698.299999997</v>
      </c>
      <c r="R106" s="241">
        <f t="shared" si="37"/>
        <v>112771922.59999999</v>
      </c>
      <c r="S106" s="311">
        <f t="shared" si="30"/>
        <v>1054288587.1900001</v>
      </c>
      <c r="T106" s="327">
        <f t="shared" si="31"/>
        <v>15.915374522801301</v>
      </c>
      <c r="V106" s="173"/>
      <c r="W106" s="173"/>
    </row>
    <row r="107" spans="1:23">
      <c r="A107" s="216" t="str">
        <f t="shared" si="25"/>
        <v>411p</v>
      </c>
      <c r="B107" s="621" t="str">
        <f>+VLOOKUP(LEFT($A107,LEN(A107)-1)*1,Master!$D$30:$G$229,4,FALSE)</f>
        <v>Bruto zarade i doprinosi na teret poslodavca</v>
      </c>
      <c r="C107" s="622"/>
      <c r="D107" s="622"/>
      <c r="E107" s="622"/>
      <c r="F107" s="622"/>
      <c r="G107" s="225">
        <v>40912611.520000003</v>
      </c>
      <c r="H107" s="225">
        <v>53719884.630000003</v>
      </c>
      <c r="I107" s="225">
        <v>53690308.509999998</v>
      </c>
      <c r="J107" s="225">
        <v>51811285.369999997</v>
      </c>
      <c r="K107" s="225">
        <v>51811014.990000002</v>
      </c>
      <c r="L107" s="225">
        <v>51811018.119999997</v>
      </c>
      <c r="M107" s="225">
        <v>51929663.729999997</v>
      </c>
      <c r="N107" s="225">
        <v>51915159.310000002</v>
      </c>
      <c r="O107" s="225">
        <v>51913746.32</v>
      </c>
      <c r="P107" s="225">
        <v>51913177.57</v>
      </c>
      <c r="Q107" s="225">
        <v>51907184.880000003</v>
      </c>
      <c r="R107" s="225">
        <f>63970907.57+366.55</f>
        <v>63971274.119999997</v>
      </c>
      <c r="S107" s="312">
        <f t="shared" si="30"/>
        <v>627306329.07000005</v>
      </c>
      <c r="T107" s="329">
        <f t="shared" si="31"/>
        <v>9.4697175792091102</v>
      </c>
      <c r="V107" s="361"/>
    </row>
    <row r="108" spans="1:23">
      <c r="A108" s="216" t="str">
        <f t="shared" si="25"/>
        <v>412p</v>
      </c>
      <c r="B108" s="621" t="str">
        <f>+VLOOKUP(LEFT($A108,LEN(A108)-1)*1,Master!$D$30:$G$229,4,FALSE)</f>
        <v>Ostala lična primanja</v>
      </c>
      <c r="C108" s="622"/>
      <c r="D108" s="622"/>
      <c r="E108" s="622"/>
      <c r="F108" s="622"/>
      <c r="G108" s="225">
        <v>1165964.51</v>
      </c>
      <c r="H108" s="225">
        <v>1655470.56</v>
      </c>
      <c r="I108" s="225">
        <v>1609325.46</v>
      </c>
      <c r="J108" s="225">
        <v>1540575.46</v>
      </c>
      <c r="K108" s="225">
        <v>1497392.13</v>
      </c>
      <c r="L108" s="225">
        <v>1495762.1</v>
      </c>
      <c r="M108" s="225">
        <v>1729357.35</v>
      </c>
      <c r="N108" s="225">
        <v>1675061.92</v>
      </c>
      <c r="O108" s="225">
        <v>1685727.83</v>
      </c>
      <c r="P108" s="225">
        <v>1678180.67</v>
      </c>
      <c r="Q108" s="225">
        <v>1850540.75</v>
      </c>
      <c r="R108" s="225">
        <v>2068660</v>
      </c>
      <c r="S108" s="312">
        <f t="shared" si="30"/>
        <v>19652018.739999998</v>
      </c>
      <c r="T108" s="329">
        <f t="shared" si="31"/>
        <v>0.296663780843758</v>
      </c>
      <c r="V108" s="361"/>
    </row>
    <row r="109" spans="1:23">
      <c r="A109" s="216" t="str">
        <f t="shared" si="25"/>
        <v>413p</v>
      </c>
      <c r="B109" s="621" t="str">
        <f>+VLOOKUP(LEFT($A109,LEN(A109)-1)*1,Master!$D$30:$G$229,4,FALSE)</f>
        <v>Rashodi za materijal</v>
      </c>
      <c r="C109" s="622"/>
      <c r="D109" s="622"/>
      <c r="E109" s="622"/>
      <c r="F109" s="622"/>
      <c r="G109" s="225">
        <v>5182242.0599999996</v>
      </c>
      <c r="H109" s="225">
        <v>3920733.41</v>
      </c>
      <c r="I109" s="225">
        <v>3493205.9</v>
      </c>
      <c r="J109" s="225">
        <v>3370769.67</v>
      </c>
      <c r="K109" s="225">
        <v>3856859.53</v>
      </c>
      <c r="L109" s="225">
        <v>5585838.6699999999</v>
      </c>
      <c r="M109" s="225">
        <v>7274194.5</v>
      </c>
      <c r="N109" s="225">
        <v>4335388.25</v>
      </c>
      <c r="O109" s="225">
        <v>4231272.2</v>
      </c>
      <c r="P109" s="225">
        <v>4144269.87</v>
      </c>
      <c r="Q109" s="225">
        <v>4526021.24</v>
      </c>
      <c r="R109" s="225">
        <f>3848934.29-43000</f>
        <v>3805934.29</v>
      </c>
      <c r="S109" s="312">
        <f t="shared" si="30"/>
        <v>53726729.590000004</v>
      </c>
      <c r="T109" s="329">
        <f t="shared" si="31"/>
        <v>0.81105025104100903</v>
      </c>
      <c r="V109" s="361"/>
    </row>
    <row r="110" spans="1:23">
      <c r="A110" s="216" t="str">
        <f t="shared" si="25"/>
        <v>414p</v>
      </c>
      <c r="B110" s="621" t="str">
        <f>+VLOOKUP(LEFT($A110,LEN(A110)-1)*1,Master!$D$30:$G$229,4,FALSE)</f>
        <v>Rashodi za usluge</v>
      </c>
      <c r="C110" s="622"/>
      <c r="D110" s="622"/>
      <c r="E110" s="622"/>
      <c r="F110" s="622"/>
      <c r="G110" s="225">
        <v>4903807</v>
      </c>
      <c r="H110" s="225">
        <v>5497012.4800000004</v>
      </c>
      <c r="I110" s="225">
        <v>5255623.43</v>
      </c>
      <c r="J110" s="225">
        <v>4569713.72</v>
      </c>
      <c r="K110" s="225">
        <v>4499440.6100000003</v>
      </c>
      <c r="L110" s="225">
        <v>4528417.79</v>
      </c>
      <c r="M110" s="225">
        <v>6713144.6699999999</v>
      </c>
      <c r="N110" s="225">
        <v>6175898.5099999998</v>
      </c>
      <c r="O110" s="225">
        <v>6240994.7800000003</v>
      </c>
      <c r="P110" s="225">
        <v>6091379.0300000003</v>
      </c>
      <c r="Q110" s="225">
        <v>6109468.6299999999</v>
      </c>
      <c r="R110" s="225">
        <f>5878859.37-49097</f>
        <v>5829762.3700000001</v>
      </c>
      <c r="S110" s="312">
        <f t="shared" si="30"/>
        <v>66414663.020000003</v>
      </c>
      <c r="T110" s="329">
        <f t="shared" si="31"/>
        <v>1.0025852964852899</v>
      </c>
      <c r="V110" s="361"/>
    </row>
    <row r="111" spans="1:23">
      <c r="A111" s="216" t="str">
        <f t="shared" si="25"/>
        <v>415p</v>
      </c>
      <c r="B111" s="621" t="str">
        <f>+VLOOKUP(LEFT($A111,LEN(A111)-1)*1,Master!$D$30:$G$229,4,FALSE)</f>
        <v>Rashodi za tekuće održavanje</v>
      </c>
      <c r="C111" s="622"/>
      <c r="D111" s="622"/>
      <c r="E111" s="622"/>
      <c r="F111" s="622"/>
      <c r="G111" s="225">
        <v>2513250.92</v>
      </c>
      <c r="H111" s="225">
        <v>2548372.87</v>
      </c>
      <c r="I111" s="225">
        <v>2555227.9700000002</v>
      </c>
      <c r="J111" s="225">
        <v>2542473.65</v>
      </c>
      <c r="K111" s="225">
        <v>2537575.9700000002</v>
      </c>
      <c r="L111" s="225">
        <v>2476854.13</v>
      </c>
      <c r="M111" s="225">
        <v>3526793.78</v>
      </c>
      <c r="N111" s="225">
        <v>3499062.67</v>
      </c>
      <c r="O111" s="225">
        <v>3410065.46</v>
      </c>
      <c r="P111" s="225">
        <v>3389523.09</v>
      </c>
      <c r="Q111" s="225">
        <v>3371550.89</v>
      </c>
      <c r="R111" s="225">
        <v>3208370.34</v>
      </c>
      <c r="S111" s="312">
        <f t="shared" si="30"/>
        <v>35579121.740000002</v>
      </c>
      <c r="T111" s="329">
        <f t="shared" si="31"/>
        <v>0.53709682013506699</v>
      </c>
      <c r="V111" s="361"/>
    </row>
    <row r="112" spans="1:23">
      <c r="A112" s="216" t="str">
        <f t="shared" si="25"/>
        <v>416p</v>
      </c>
      <c r="B112" s="621" t="str">
        <f>+VLOOKUP(LEFT($A112,LEN(A112)-1)*1,Master!$D$30:$G$229,4,FALSE)</f>
        <v>Kamate</v>
      </c>
      <c r="C112" s="622"/>
      <c r="D112" s="622"/>
      <c r="E112" s="622"/>
      <c r="F112" s="622"/>
      <c r="G112" s="225">
        <v>5442120.3799999999</v>
      </c>
      <c r="H112" s="225">
        <v>2441310.61</v>
      </c>
      <c r="I112" s="225">
        <v>2001828.53</v>
      </c>
      <c r="J112" s="225">
        <v>24590093.789999999</v>
      </c>
      <c r="K112" s="225">
        <v>10610307.359999999</v>
      </c>
      <c r="L112" s="225">
        <v>3076552.53</v>
      </c>
      <c r="M112" s="225">
        <v>9738888.0899999999</v>
      </c>
      <c r="N112" s="225">
        <v>2779747.31</v>
      </c>
      <c r="O112" s="225">
        <v>1876426.61</v>
      </c>
      <c r="P112" s="225">
        <v>14798289.619999999</v>
      </c>
      <c r="Q112" s="225">
        <v>8831135.4600000009</v>
      </c>
      <c r="R112" s="225">
        <v>23741109.09</v>
      </c>
      <c r="S112" s="312">
        <f t="shared" si="30"/>
        <v>109927809.38</v>
      </c>
      <c r="T112" s="329">
        <f t="shared" si="31"/>
        <v>1.6594529031342999</v>
      </c>
      <c r="V112" s="361"/>
    </row>
    <row r="113" spans="1:22">
      <c r="A113" s="216" t="str">
        <f t="shared" si="25"/>
        <v>417p</v>
      </c>
      <c r="B113" s="621" t="str">
        <f>+VLOOKUP(LEFT($A113,LEN(A113)-1)*1,Master!$D$30:$G$229,4,FALSE)</f>
        <v>Renta</v>
      </c>
      <c r="C113" s="622"/>
      <c r="D113" s="622"/>
      <c r="E113" s="622"/>
      <c r="F113" s="622"/>
      <c r="G113" s="225">
        <v>1013549.3</v>
      </c>
      <c r="H113" s="225">
        <v>924144.62</v>
      </c>
      <c r="I113" s="225">
        <v>907422.26</v>
      </c>
      <c r="J113" s="225">
        <v>908352.61</v>
      </c>
      <c r="K113" s="225">
        <v>914133.32</v>
      </c>
      <c r="L113" s="225">
        <v>900023.34</v>
      </c>
      <c r="M113" s="225">
        <v>1080755.29</v>
      </c>
      <c r="N113" s="225">
        <v>1073045.76</v>
      </c>
      <c r="O113" s="225">
        <v>1082703.83</v>
      </c>
      <c r="P113" s="225">
        <v>1160848.45</v>
      </c>
      <c r="Q113" s="225">
        <v>1121692.77</v>
      </c>
      <c r="R113" s="225">
        <f>1082716.93+84917.8-0.01</f>
        <v>1167634.72</v>
      </c>
      <c r="S113" s="312">
        <f t="shared" si="30"/>
        <v>12254306.27</v>
      </c>
      <c r="T113" s="329">
        <f t="shared" si="31"/>
        <v>0.18498907810809301</v>
      </c>
      <c r="V113" s="361"/>
    </row>
    <row r="114" spans="1:22">
      <c r="A114" s="216" t="str">
        <f t="shared" si="25"/>
        <v>418p</v>
      </c>
      <c r="B114" s="621" t="str">
        <f>+VLOOKUP(LEFT($A114,LEN(A114)-1)*1,Master!$D$30:$G$229,4,FALSE)</f>
        <v>Subvencije</v>
      </c>
      <c r="C114" s="622"/>
      <c r="D114" s="622"/>
      <c r="E114" s="622"/>
      <c r="F114" s="622"/>
      <c r="G114" s="225">
        <v>5902017.9699999997</v>
      </c>
      <c r="H114" s="225">
        <v>5336017.97</v>
      </c>
      <c r="I114" s="225">
        <v>5216117.97</v>
      </c>
      <c r="J114" s="225">
        <v>5169451.3</v>
      </c>
      <c r="K114" s="225">
        <v>4981951.32</v>
      </c>
      <c r="L114" s="225">
        <v>4982351.3600000003</v>
      </c>
      <c r="M114" s="225">
        <v>5318459.6399999997</v>
      </c>
      <c r="N114" s="225">
        <v>4749126.3099999996</v>
      </c>
      <c r="O114" s="225">
        <v>4841793.18</v>
      </c>
      <c r="P114" s="225">
        <v>4841792.9800000004</v>
      </c>
      <c r="Q114" s="225">
        <v>4841792.9800000004</v>
      </c>
      <c r="R114" s="225">
        <v>4792392.9800000004</v>
      </c>
      <c r="S114" s="312">
        <f t="shared" si="30"/>
        <v>60973265.960000001</v>
      </c>
      <c r="T114" s="329">
        <f t="shared" si="31"/>
        <v>0.92044282317255799</v>
      </c>
      <c r="V114" s="361"/>
    </row>
    <row r="115" spans="1:22">
      <c r="A115" s="216" t="str">
        <f t="shared" si="25"/>
        <v>419p</v>
      </c>
      <c r="B115" s="621" t="str">
        <f>+VLOOKUP(LEFT($A115,LEN(A115)-1)*1,Master!$D$30:$G$229,4,FALSE)</f>
        <v>Ostali izdaci</v>
      </c>
      <c r="C115" s="622"/>
      <c r="D115" s="622"/>
      <c r="E115" s="622"/>
      <c r="F115" s="622"/>
      <c r="G115" s="225">
        <v>4864062.17</v>
      </c>
      <c r="H115" s="225">
        <v>4930647.88</v>
      </c>
      <c r="I115" s="225">
        <v>6340301.96</v>
      </c>
      <c r="J115" s="225">
        <v>6064681.2300000004</v>
      </c>
      <c r="K115" s="225">
        <v>3889229.03</v>
      </c>
      <c r="L115" s="225">
        <v>4107182.47</v>
      </c>
      <c r="M115" s="225">
        <v>7659719.3700000001</v>
      </c>
      <c r="N115" s="225">
        <v>5664365.8200000003</v>
      </c>
      <c r="O115" s="225">
        <v>5533073.5300000003</v>
      </c>
      <c r="P115" s="225">
        <v>5918984.5700000003</v>
      </c>
      <c r="Q115" s="225">
        <v>9295310.6999999993</v>
      </c>
      <c r="R115" s="225">
        <f>4255973.43-69188.7-0.04</f>
        <v>4186784.69</v>
      </c>
      <c r="S115" s="312">
        <f t="shared" si="30"/>
        <v>68454343.420000002</v>
      </c>
      <c r="T115" s="329">
        <f t="shared" si="31"/>
        <v>1.0333759906721001</v>
      </c>
      <c r="V115" s="361"/>
    </row>
    <row r="116" spans="1:22">
      <c r="A116" s="216" t="str">
        <f t="shared" si="25"/>
        <v>42p</v>
      </c>
      <c r="B116" s="649" t="str">
        <f>+VLOOKUP(LEFT($A116,LEN(A116)-1)*1,Master!$D$30:$G$229,4,FALSE)</f>
        <v>Transferi za socijalnu zaštitu</v>
      </c>
      <c r="C116" s="650"/>
      <c r="D116" s="650"/>
      <c r="E116" s="650"/>
      <c r="F116" s="650"/>
      <c r="G116" s="242">
        <f t="shared" ref="G116:L116" si="38">+SUM(G117:G121)</f>
        <v>64631162.969999999</v>
      </c>
      <c r="H116" s="242">
        <f t="shared" si="38"/>
        <v>64593275.310000002</v>
      </c>
      <c r="I116" s="242">
        <f t="shared" si="38"/>
        <v>64593275.43</v>
      </c>
      <c r="J116" s="242">
        <f t="shared" si="38"/>
        <v>64693275.43</v>
      </c>
      <c r="K116" s="242">
        <f t="shared" si="38"/>
        <v>64693275.43</v>
      </c>
      <c r="L116" s="242">
        <f t="shared" si="38"/>
        <v>64793279.390000001</v>
      </c>
      <c r="M116" s="242">
        <f t="shared" ref="M116:R116" si="39">+SUM(M117:M121)</f>
        <v>66194886.530000001</v>
      </c>
      <c r="N116" s="242">
        <f t="shared" si="39"/>
        <v>66197971.850000001</v>
      </c>
      <c r="O116" s="242">
        <f t="shared" si="39"/>
        <v>66197971.850000001</v>
      </c>
      <c r="P116" s="242">
        <f t="shared" si="39"/>
        <v>66197971.759999998</v>
      </c>
      <c r="Q116" s="242">
        <f t="shared" si="39"/>
        <v>66197971.850000001</v>
      </c>
      <c r="R116" s="242">
        <f t="shared" si="39"/>
        <v>66197971.939999998</v>
      </c>
      <c r="S116" s="313">
        <f t="shared" si="30"/>
        <v>785182289.74000001</v>
      </c>
      <c r="T116" s="330">
        <f t="shared" si="31"/>
        <v>11.8529882251592</v>
      </c>
      <c r="V116" s="172"/>
    </row>
    <row r="117" spans="1:22">
      <c r="A117" s="216" t="str">
        <f t="shared" si="25"/>
        <v>421p</v>
      </c>
      <c r="B117" s="621" t="str">
        <f>+VLOOKUP(LEFT($A117,LEN(A117)-1)*1,Master!$D$30:$G$229,4,FALSE)</f>
        <v>Prava iz oblasti socijalne zaštite</v>
      </c>
      <c r="C117" s="622"/>
      <c r="D117" s="622"/>
      <c r="E117" s="622"/>
      <c r="F117" s="622"/>
      <c r="G117" s="225">
        <v>15844748.539999999</v>
      </c>
      <c r="H117" s="225">
        <v>15844748.42</v>
      </c>
      <c r="I117" s="225">
        <v>15844748.539999999</v>
      </c>
      <c r="J117" s="225">
        <v>15844748.539999999</v>
      </c>
      <c r="K117" s="225">
        <v>15844748.539999999</v>
      </c>
      <c r="L117" s="225">
        <v>15844748.539999999</v>
      </c>
      <c r="M117" s="225">
        <v>15846148.98</v>
      </c>
      <c r="N117" s="225">
        <v>15849234.300000001</v>
      </c>
      <c r="O117" s="225">
        <v>15849234.300000001</v>
      </c>
      <c r="P117" s="225">
        <v>15849234.300000001</v>
      </c>
      <c r="Q117" s="225">
        <v>15849234.300000001</v>
      </c>
      <c r="R117" s="225">
        <v>15849234.41</v>
      </c>
      <c r="S117" s="312">
        <f t="shared" si="30"/>
        <v>190160811.71000001</v>
      </c>
      <c r="T117" s="329">
        <f t="shared" si="31"/>
        <v>2.8706376742548598</v>
      </c>
      <c r="V117" s="361"/>
    </row>
    <row r="118" spans="1:22">
      <c r="A118" s="216" t="str">
        <f t="shared" si="25"/>
        <v>422p</v>
      </c>
      <c r="B118" s="621" t="str">
        <f>+VLOOKUP(LEFT($A118,LEN(A118)-1)*1,Master!$D$30:$G$229,4,FALSE)</f>
        <v>Sredstva za tehnološke viškove</v>
      </c>
      <c r="C118" s="622"/>
      <c r="D118" s="622"/>
      <c r="E118" s="622"/>
      <c r="F118" s="622"/>
      <c r="G118" s="225">
        <v>1909150.67</v>
      </c>
      <c r="H118" s="225">
        <v>1909150.67</v>
      </c>
      <c r="I118" s="225">
        <v>1909150.67</v>
      </c>
      <c r="J118" s="225">
        <v>1909150.67</v>
      </c>
      <c r="K118" s="225">
        <v>1909150.67</v>
      </c>
      <c r="L118" s="225">
        <v>1909154.63</v>
      </c>
      <c r="M118" s="225">
        <v>2859361.33</v>
      </c>
      <c r="N118" s="225">
        <v>2859361.33</v>
      </c>
      <c r="O118" s="225">
        <v>2859361.33</v>
      </c>
      <c r="P118" s="225">
        <v>2859361.33</v>
      </c>
      <c r="Q118" s="225">
        <v>2859361.33</v>
      </c>
      <c r="R118" s="225">
        <v>2859361.37</v>
      </c>
      <c r="S118" s="312">
        <f t="shared" si="30"/>
        <v>28611076</v>
      </c>
      <c r="T118" s="329">
        <f t="shared" si="31"/>
        <v>0.43190829870784597</v>
      </c>
      <c r="V118" s="361"/>
    </row>
    <row r="119" spans="1:22">
      <c r="A119" s="216" t="str">
        <f t="shared" si="25"/>
        <v>423p</v>
      </c>
      <c r="B119" s="621" t="str">
        <f>+VLOOKUP(LEFT($A119,LEN(A119)-1)*1,Master!$D$30:$G$229,4,FALSE)</f>
        <v>Prava iz oblasti penzijskog i invalidskog osiguranja</v>
      </c>
      <c r="C119" s="622"/>
      <c r="D119" s="622"/>
      <c r="E119" s="622"/>
      <c r="F119" s="622"/>
      <c r="G119" s="225">
        <v>44272263.759999998</v>
      </c>
      <c r="H119" s="225">
        <v>44134376.219999999</v>
      </c>
      <c r="I119" s="225">
        <v>44134376.219999999</v>
      </c>
      <c r="J119" s="225">
        <v>44134376.219999999</v>
      </c>
      <c r="K119" s="225">
        <v>44134376.219999999</v>
      </c>
      <c r="L119" s="225">
        <v>44134376.219999999</v>
      </c>
      <c r="M119" s="225">
        <v>44134376.219999999</v>
      </c>
      <c r="N119" s="225">
        <v>44134376.219999999</v>
      </c>
      <c r="O119" s="225">
        <v>44134376.219999999</v>
      </c>
      <c r="P119" s="225">
        <v>44134376.130000003</v>
      </c>
      <c r="Q119" s="225">
        <v>44134376.219999999</v>
      </c>
      <c r="R119" s="225">
        <v>44134376.159999996</v>
      </c>
      <c r="S119" s="312">
        <f t="shared" si="30"/>
        <v>529750402.02999997</v>
      </c>
      <c r="T119" s="329">
        <f t="shared" si="31"/>
        <v>7.9970286640241897</v>
      </c>
      <c r="V119" s="361"/>
    </row>
    <row r="120" spans="1:22">
      <c r="A120" s="216" t="str">
        <f t="shared" si="25"/>
        <v>424p</v>
      </c>
      <c r="B120" s="621" t="str">
        <f>+VLOOKUP(LEFT($A120,LEN(A120)-1)*1,Master!$D$30:$G$229,4,FALSE)</f>
        <v>Ostala prava iz oblasti zdravstvene zaštite</v>
      </c>
      <c r="C120" s="622"/>
      <c r="D120" s="622"/>
      <c r="E120" s="622"/>
      <c r="F120" s="622"/>
      <c r="G120" s="225">
        <v>1755000</v>
      </c>
      <c r="H120" s="225">
        <v>1755000</v>
      </c>
      <c r="I120" s="225">
        <v>1755000</v>
      </c>
      <c r="J120" s="225">
        <v>1755000</v>
      </c>
      <c r="K120" s="225">
        <v>1755000</v>
      </c>
      <c r="L120" s="225">
        <v>1755000</v>
      </c>
      <c r="M120" s="225">
        <v>1755000</v>
      </c>
      <c r="N120" s="225">
        <v>1755000</v>
      </c>
      <c r="O120" s="225">
        <v>1755000</v>
      </c>
      <c r="P120" s="225">
        <v>1755000</v>
      </c>
      <c r="Q120" s="225">
        <v>1755000</v>
      </c>
      <c r="R120" s="225">
        <v>1755000</v>
      </c>
      <c r="S120" s="312">
        <f t="shared" si="30"/>
        <v>21060000</v>
      </c>
      <c r="T120" s="329">
        <f t="shared" si="31"/>
        <v>0.31791844426917898</v>
      </c>
      <c r="V120" s="361"/>
    </row>
    <row r="121" spans="1:22">
      <c r="A121" s="216" t="str">
        <f t="shared" si="25"/>
        <v>425p</v>
      </c>
      <c r="B121" s="621" t="str">
        <f>+VLOOKUP(LEFT($A121,LEN(A121)-1)*1,Master!$D$30:$G$229,4,FALSE)</f>
        <v>Ostala prava iz zdravstvenog osiguranja</v>
      </c>
      <c r="C121" s="622"/>
      <c r="D121" s="622"/>
      <c r="E121" s="622"/>
      <c r="F121" s="622"/>
      <c r="G121" s="225">
        <v>850000</v>
      </c>
      <c r="H121" s="225">
        <v>950000</v>
      </c>
      <c r="I121" s="225">
        <v>950000</v>
      </c>
      <c r="J121" s="225">
        <v>1050000</v>
      </c>
      <c r="K121" s="225">
        <v>1050000</v>
      </c>
      <c r="L121" s="225">
        <v>1150000</v>
      </c>
      <c r="M121" s="225">
        <v>1600000</v>
      </c>
      <c r="N121" s="225">
        <v>1600000</v>
      </c>
      <c r="O121" s="225">
        <v>1600000</v>
      </c>
      <c r="P121" s="225">
        <v>1600000</v>
      </c>
      <c r="Q121" s="225">
        <v>1600000</v>
      </c>
      <c r="R121" s="225">
        <v>1600000</v>
      </c>
      <c r="S121" s="312">
        <f t="shared" si="30"/>
        <v>15600000</v>
      </c>
      <c r="T121" s="329">
        <f t="shared" si="31"/>
        <v>0.23549514390309501</v>
      </c>
      <c r="V121" s="361"/>
    </row>
    <row r="122" spans="1:22">
      <c r="A122" s="216" t="str">
        <f t="shared" si="25"/>
        <v>43p</v>
      </c>
      <c r="B122" s="629" t="str">
        <f>+VLOOKUP(LEFT($A122,LEN(A122)-1)*1,Master!$D$30:$G$229,4,FALSE)</f>
        <v>Transferi institucijama, pojedincima, nevladinom i javnom sektoru</v>
      </c>
      <c r="C122" s="630"/>
      <c r="D122" s="630"/>
      <c r="E122" s="630"/>
      <c r="F122" s="630"/>
      <c r="G122" s="232">
        <v>13426609.789999999</v>
      </c>
      <c r="H122" s="232">
        <v>24954537.809999999</v>
      </c>
      <c r="I122" s="232">
        <v>33895566.079999998</v>
      </c>
      <c r="J122" s="232">
        <v>24784469.77</v>
      </c>
      <c r="K122" s="232">
        <v>25016309.34</v>
      </c>
      <c r="L122" s="232">
        <v>25865702.82</v>
      </c>
      <c r="M122" s="232">
        <v>44313993.490000002</v>
      </c>
      <c r="N122" s="232">
        <v>30937460.280000001</v>
      </c>
      <c r="O122" s="232">
        <v>36630444.020000003</v>
      </c>
      <c r="P122" s="232">
        <v>31446133.059999999</v>
      </c>
      <c r="Q122" s="232">
        <v>30458525.309999999</v>
      </c>
      <c r="R122" s="232">
        <f>31380558.45-680724.2+0.04</f>
        <v>30699834.289999999</v>
      </c>
      <c r="S122" s="313">
        <f t="shared" si="30"/>
        <v>352429586.06</v>
      </c>
      <c r="T122" s="330">
        <f t="shared" si="31"/>
        <v>5.3202215439043599</v>
      </c>
      <c r="V122" s="361"/>
    </row>
    <row r="123" spans="1:22">
      <c r="A123" s="216" t="str">
        <f t="shared" si="25"/>
        <v>44p</v>
      </c>
      <c r="B123" s="629" t="str">
        <f>+VLOOKUP(LEFT($A123,LEN(A123)-1)*1,Master!$D$30:$G$229,4,FALSE)</f>
        <v>Kapitalni izdaci</v>
      </c>
      <c r="C123" s="630"/>
      <c r="D123" s="630"/>
      <c r="E123" s="630"/>
      <c r="F123" s="630"/>
      <c r="G123" s="232">
        <f>20412001.55-G134</f>
        <v>20405334.879999999</v>
      </c>
      <c r="H123" s="232">
        <f>18094316.04-H134</f>
        <v>18087649.370000001</v>
      </c>
      <c r="I123" s="232">
        <f>19062944.96-I134</f>
        <v>18677278.289999999</v>
      </c>
      <c r="J123" s="232">
        <f>19443197.22-J134</f>
        <v>19136530.550000001</v>
      </c>
      <c r="K123" s="232">
        <f>19674125.2-K134</f>
        <v>19667458.530000001</v>
      </c>
      <c r="L123" s="232">
        <f>18915702.28-L134</f>
        <v>18909035.629999999</v>
      </c>
      <c r="M123" s="232">
        <f>26124418.27-M134</f>
        <v>26114418.27</v>
      </c>
      <c r="N123" s="232">
        <f>23948047.32-N134</f>
        <v>23938047.32</v>
      </c>
      <c r="O123" s="232">
        <f>22585312.23-O134</f>
        <v>22575312.23</v>
      </c>
      <c r="P123" s="232">
        <f>21462007.16-P134</f>
        <v>21452007.16</v>
      </c>
      <c r="Q123" s="232">
        <f>21427329.81-Q134</f>
        <v>21417329.809999999</v>
      </c>
      <c r="R123" s="232">
        <f>20634123.89+74001-R134</f>
        <v>20698124.890000001</v>
      </c>
      <c r="S123" s="313">
        <f t="shared" si="30"/>
        <v>251078526.93000001</v>
      </c>
      <c r="T123" s="330">
        <f t="shared" si="31"/>
        <v>3.7902419122023998</v>
      </c>
      <c r="U123" s="172"/>
      <c r="V123" s="361"/>
    </row>
    <row r="124" spans="1:22">
      <c r="A124" s="216" t="str">
        <f t="shared" si="25"/>
        <v>451p</v>
      </c>
      <c r="B124" s="631" t="str">
        <f>+VLOOKUP(LEFT($A124,LEN(A124)-1)*1,Master!$D$30:$G$229,4,FALSE)</f>
        <v>Pozajmice i krediti</v>
      </c>
      <c r="C124" s="632"/>
      <c r="D124" s="632"/>
      <c r="E124" s="632"/>
      <c r="F124" s="632"/>
      <c r="G124" s="225">
        <v>1607</v>
      </c>
      <c r="H124" s="225">
        <v>1001600</v>
      </c>
      <c r="I124" s="225">
        <v>501600</v>
      </c>
      <c r="J124" s="225">
        <v>501600</v>
      </c>
      <c r="K124" s="225">
        <v>491600</v>
      </c>
      <c r="L124" s="225">
        <v>491600</v>
      </c>
      <c r="M124" s="225">
        <v>2400</v>
      </c>
      <c r="N124" s="225">
        <v>2400</v>
      </c>
      <c r="O124" s="225">
        <v>502400</v>
      </c>
      <c r="P124" s="225">
        <v>502400</v>
      </c>
      <c r="Q124" s="225">
        <v>262400</v>
      </c>
      <c r="R124" s="225">
        <v>262400</v>
      </c>
      <c r="S124" s="312">
        <f t="shared" si="30"/>
        <v>4524007</v>
      </c>
      <c r="T124" s="329">
        <f t="shared" si="31"/>
        <v>6.8293697402795506E-2</v>
      </c>
      <c r="U124" s="172"/>
      <c r="V124" s="361"/>
    </row>
    <row r="125" spans="1:22">
      <c r="A125" s="216" t="str">
        <f t="shared" si="25"/>
        <v>47p</v>
      </c>
      <c r="B125" s="631" t="str">
        <f>+VLOOKUP(LEFT($A125,LEN(A125)-1)*1,Master!$D$30:$G$229,4,FALSE)</f>
        <v>Rezerve</v>
      </c>
      <c r="C125" s="632"/>
      <c r="D125" s="632"/>
      <c r="E125" s="632"/>
      <c r="F125" s="632"/>
      <c r="G125" s="225">
        <v>2554609.09</v>
      </c>
      <c r="H125" s="225">
        <v>3237333.25</v>
      </c>
      <c r="I125" s="225">
        <v>3237333.25</v>
      </c>
      <c r="J125" s="225">
        <v>3237333.25</v>
      </c>
      <c r="K125" s="225">
        <v>3237333.25</v>
      </c>
      <c r="L125" s="225">
        <v>3237333.25</v>
      </c>
      <c r="M125" s="225">
        <v>3237333.25</v>
      </c>
      <c r="N125" s="225">
        <v>3237333.25</v>
      </c>
      <c r="O125" s="225">
        <v>3237333.25</v>
      </c>
      <c r="P125" s="225">
        <v>3237333.25</v>
      </c>
      <c r="Q125" s="225">
        <v>3237333.25</v>
      </c>
      <c r="R125" s="225">
        <f>3237333.25+682724.2-0.04</f>
        <v>3920057.41</v>
      </c>
      <c r="S125" s="312">
        <f t="shared" si="30"/>
        <v>38847999</v>
      </c>
      <c r="T125" s="329">
        <f t="shared" si="31"/>
        <v>0.58644327659309603</v>
      </c>
      <c r="U125" s="172"/>
      <c r="V125" s="361"/>
    </row>
    <row r="126" spans="1:22">
      <c r="A126" s="216" t="str">
        <f t="shared" si="25"/>
        <v>462p</v>
      </c>
      <c r="B126" s="631" t="str">
        <f>+VLOOKUP(LEFT($A126,LEN(A126)-1)*1,Master!$D$30:$G$229,4,FALSE)</f>
        <v>Otplata garancija</v>
      </c>
      <c r="C126" s="632"/>
      <c r="D126" s="632"/>
      <c r="E126" s="632"/>
      <c r="F126" s="632"/>
      <c r="G126" s="225">
        <v>0.16</v>
      </c>
      <c r="H126" s="225">
        <v>0.16</v>
      </c>
      <c r="I126" s="225">
        <v>0.16</v>
      </c>
      <c r="J126" s="225">
        <v>0.16</v>
      </c>
      <c r="K126" s="225">
        <v>0.16</v>
      </c>
      <c r="L126" s="225">
        <v>0.16</v>
      </c>
      <c r="M126" s="225">
        <v>0.16</v>
      </c>
      <c r="N126" s="225">
        <v>0.16</v>
      </c>
      <c r="O126" s="225">
        <v>0.16</v>
      </c>
      <c r="P126" s="225">
        <v>0.16</v>
      </c>
      <c r="Q126" s="225">
        <v>0.16</v>
      </c>
      <c r="R126" s="225">
        <v>0.24</v>
      </c>
      <c r="S126" s="312">
        <f t="shared" si="30"/>
        <v>2</v>
      </c>
      <c r="T126" s="329">
        <f t="shared" si="31"/>
        <v>3.0191685115781402E-8</v>
      </c>
      <c r="U126" s="172"/>
      <c r="V126" s="361"/>
    </row>
    <row r="127" spans="1:22">
      <c r="A127" s="247" t="str">
        <f t="shared" si="25"/>
        <v>4630p</v>
      </c>
      <c r="B127" s="631" t="str">
        <f>+VLOOKUP(LEFT($A127,LEN(A127)-1)*1,Master!$D$30:$G$229,4,FALSE)</f>
        <v>Otplata obaveza iz prethodnog perioda</v>
      </c>
      <c r="C127" s="632"/>
      <c r="D127" s="632"/>
      <c r="E127" s="632"/>
      <c r="F127" s="632"/>
      <c r="G127" s="225">
        <v>2590915.34</v>
      </c>
      <c r="H127" s="225">
        <v>2056111.44</v>
      </c>
      <c r="I127" s="225">
        <v>2082110.42</v>
      </c>
      <c r="J127" s="225">
        <v>2129110.42</v>
      </c>
      <c r="K127" s="225">
        <v>2064110.37</v>
      </c>
      <c r="L127" s="225">
        <v>2217108.39</v>
      </c>
      <c r="M127" s="225">
        <v>2395112.65</v>
      </c>
      <c r="N127" s="225">
        <v>2397112.65</v>
      </c>
      <c r="O127" s="225">
        <v>2373362.9</v>
      </c>
      <c r="P127" s="225">
        <v>2393362.9</v>
      </c>
      <c r="Q127" s="225">
        <v>2373363.87</v>
      </c>
      <c r="R127" s="225">
        <v>2360369.3100000098</v>
      </c>
      <c r="S127" s="317">
        <f t="shared" si="30"/>
        <v>27432150.660000101</v>
      </c>
      <c r="T127" s="342">
        <f t="shared" si="31"/>
        <v>0.41411142738769902</v>
      </c>
      <c r="U127" s="172"/>
      <c r="V127" s="361"/>
    </row>
    <row r="128" spans="1:22">
      <c r="A128" s="216" t="str">
        <f t="shared" si="25"/>
        <v>1005p</v>
      </c>
      <c r="B128" s="631" t="str">
        <f>+VLOOKUP(LEFT($A128,LEN(A128)-1)*1,Master!$D$30:$G$229,4,FALSE)</f>
        <v>Neto povećanje obaveza</v>
      </c>
      <c r="C128" s="632"/>
      <c r="D128" s="632"/>
      <c r="E128" s="632"/>
      <c r="F128" s="632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31"/>
        <v>0</v>
      </c>
      <c r="U128" s="172"/>
      <c r="V128" s="172"/>
    </row>
    <row r="129" spans="1:22">
      <c r="A129" s="247" t="str">
        <f t="shared" si="25"/>
        <v>1000p</v>
      </c>
      <c r="B129" s="645" t="str">
        <f>+VLOOKUP(LEFT($A129,LEN(A129)-1)*1,Master!$D$30:$G$226,4,FALSE)</f>
        <v>Suficit / deficit</v>
      </c>
      <c r="C129" s="646"/>
      <c r="D129" s="646"/>
      <c r="E129" s="646"/>
      <c r="F129" s="646"/>
      <c r="G129" s="217">
        <f t="shared" ref="G129:R129" si="40">+G86-G105</f>
        <v>-22397133.607592501</v>
      </c>
      <c r="H129" s="217">
        <f t="shared" si="40"/>
        <v>-67071345.814519398</v>
      </c>
      <c r="I129" s="217">
        <f t="shared" si="40"/>
        <v>-2316292.9897459098</v>
      </c>
      <c r="J129" s="217">
        <f t="shared" si="40"/>
        <v>-17885734.609765001</v>
      </c>
      <c r="K129" s="217">
        <f t="shared" si="40"/>
        <v>-41471663.3687125</v>
      </c>
      <c r="L129" s="217">
        <f t="shared" si="40"/>
        <v>-27277595.668724898</v>
      </c>
      <c r="M129" s="217">
        <f t="shared" si="40"/>
        <v>-55367145.076071098</v>
      </c>
      <c r="N129" s="217">
        <f t="shared" si="40"/>
        <v>-6467668.1569713699</v>
      </c>
      <c r="O129" s="217">
        <f t="shared" si="40"/>
        <v>-27310745.934165198</v>
      </c>
      <c r="P129" s="217">
        <f t="shared" si="40"/>
        <v>-41600384.900887497</v>
      </c>
      <c r="Q129" s="217">
        <f t="shared" si="40"/>
        <v>-46834285.210350297</v>
      </c>
      <c r="R129" s="217">
        <f t="shared" si="40"/>
        <v>-10316938.6685984</v>
      </c>
      <c r="S129" s="318">
        <f t="shared" si="30"/>
        <v>-366316934.00610399</v>
      </c>
      <c r="T129" s="340">
        <f t="shared" si="31"/>
        <v>-5.52986276204539</v>
      </c>
      <c r="U129" s="172"/>
      <c r="V129" s="172"/>
    </row>
    <row r="130" spans="1:22">
      <c r="A130" s="247" t="str">
        <f t="shared" si="25"/>
        <v>1001p</v>
      </c>
      <c r="B130" s="647" t="str">
        <f>+VLOOKUP(LEFT($A130,LEN(A130)-1)*1,Master!$D$30:$G$226,4,FALSE)</f>
        <v>Primarni suficit/deficit</v>
      </c>
      <c r="C130" s="648"/>
      <c r="D130" s="648"/>
      <c r="E130" s="648"/>
      <c r="F130" s="648"/>
      <c r="G130" s="250">
        <f>+G129+G112</f>
        <v>-16955013.227592502</v>
      </c>
      <c r="H130" s="250">
        <f t="shared" ref="H130:R130" si="41">+H129+H112</f>
        <v>-64630035.204519399</v>
      </c>
      <c r="I130" s="250">
        <f t="shared" si="41"/>
        <v>-314464.45974591398</v>
      </c>
      <c r="J130" s="250">
        <f t="shared" si="41"/>
        <v>6704359.1802349798</v>
      </c>
      <c r="K130" s="250">
        <f t="shared" si="41"/>
        <v>-30861356.0087125</v>
      </c>
      <c r="L130" s="250">
        <f t="shared" si="41"/>
        <v>-24201043.138724901</v>
      </c>
      <c r="M130" s="250">
        <f t="shared" si="41"/>
        <v>-45628256.986071102</v>
      </c>
      <c r="N130" s="250">
        <f t="shared" si="41"/>
        <v>-3687920.8469713698</v>
      </c>
      <c r="O130" s="250">
        <f t="shared" si="41"/>
        <v>-25434319.324165199</v>
      </c>
      <c r="P130" s="250">
        <f t="shared" si="41"/>
        <v>-26802095.280887499</v>
      </c>
      <c r="Q130" s="250">
        <f t="shared" si="41"/>
        <v>-38003149.750350296</v>
      </c>
      <c r="R130" s="250">
        <f t="shared" si="41"/>
        <v>13424170.421401599</v>
      </c>
      <c r="S130" s="318">
        <f t="shared" si="30"/>
        <v>-256389124.626104</v>
      </c>
      <c r="T130" s="340">
        <f t="shared" si="31"/>
        <v>-3.8704098589110898</v>
      </c>
      <c r="U130" s="172"/>
      <c r="V130" s="172"/>
    </row>
    <row r="131" spans="1:22">
      <c r="A131" s="247" t="str">
        <f t="shared" si="25"/>
        <v>46p</v>
      </c>
      <c r="B131" s="649" t="str">
        <f>+VLOOKUP(LEFT($A131,LEN(A131)-1)*1,Master!$D$30:$G$226,4,FALSE)</f>
        <v>Otplata dugova</v>
      </c>
      <c r="C131" s="650"/>
      <c r="D131" s="650"/>
      <c r="E131" s="650"/>
      <c r="F131" s="650"/>
      <c r="G131" s="242">
        <f>+SUM(G132:G133)</f>
        <v>30842089.260000002</v>
      </c>
      <c r="H131" s="242">
        <f t="shared" ref="H131:L131" si="42">+SUM(H132:H133)</f>
        <v>6803111.79</v>
      </c>
      <c r="I131" s="242">
        <f t="shared" si="42"/>
        <v>9004349.7899999991</v>
      </c>
      <c r="J131" s="242">
        <f t="shared" si="42"/>
        <v>7976370.0700000003</v>
      </c>
      <c r="K131" s="242">
        <f t="shared" si="42"/>
        <v>92780108.989999995</v>
      </c>
      <c r="L131" s="242">
        <f t="shared" si="42"/>
        <v>14226825.529999999</v>
      </c>
      <c r="M131" s="351">
        <f t="shared" ref="M131:R131" si="43">+SUM(M132:M133)</f>
        <v>40968432.359999999</v>
      </c>
      <c r="N131" s="242">
        <f t="shared" si="43"/>
        <v>9320542.2899999991</v>
      </c>
      <c r="O131" s="242">
        <f t="shared" si="43"/>
        <v>19467352.800000001</v>
      </c>
      <c r="P131" s="242">
        <f t="shared" si="43"/>
        <v>19749872.739999998</v>
      </c>
      <c r="Q131" s="242">
        <f t="shared" si="43"/>
        <v>64752298.200000003</v>
      </c>
      <c r="R131" s="242">
        <f t="shared" si="43"/>
        <v>22194542.870000001</v>
      </c>
      <c r="S131" s="319">
        <f t="shared" si="30"/>
        <v>338085896.69</v>
      </c>
      <c r="T131" s="341">
        <f t="shared" si="31"/>
        <v>5.1036914674755502</v>
      </c>
      <c r="U131" s="172"/>
      <c r="V131" s="172"/>
    </row>
    <row r="132" spans="1:22">
      <c r="A132" s="247" t="str">
        <f t="shared" si="25"/>
        <v>4611p</v>
      </c>
      <c r="B132" s="635" t="str">
        <f>+VLOOKUP(LEFT($A132,LEN(A132)-1)*1,Master!$D$30:$G$226,4,FALSE)</f>
        <v>Otplata hartija od vrijednosti i kredita rezidentima</v>
      </c>
      <c r="C132" s="636"/>
      <c r="D132" s="636"/>
      <c r="E132" s="636"/>
      <c r="F132" s="636"/>
      <c r="G132" s="253">
        <v>2477159.06</v>
      </c>
      <c r="H132" s="253">
        <v>2428191.7599999998</v>
      </c>
      <c r="I132" s="253">
        <v>938890.91</v>
      </c>
      <c r="J132" s="253">
        <v>2699238.12</v>
      </c>
      <c r="K132" s="253">
        <v>45296973.57</v>
      </c>
      <c r="L132" s="253">
        <v>3740213.81</v>
      </c>
      <c r="M132" s="253">
        <v>2522037.56</v>
      </c>
      <c r="N132" s="253">
        <v>2461861.56</v>
      </c>
      <c r="O132" s="253">
        <v>746378.5</v>
      </c>
      <c r="P132" s="253">
        <v>12943542.380000001</v>
      </c>
      <c r="Q132" s="253">
        <v>19547811.449999999</v>
      </c>
      <c r="R132" s="253">
        <v>753598.01</v>
      </c>
      <c r="S132" s="317">
        <f t="shared" si="30"/>
        <v>96555896.689999998</v>
      </c>
      <c r="T132" s="342">
        <f t="shared" si="31"/>
        <v>1.4575926144682001</v>
      </c>
      <c r="U132" s="172"/>
      <c r="V132" s="172"/>
    </row>
    <row r="133" spans="1:22">
      <c r="A133" s="247" t="str">
        <f t="shared" si="25"/>
        <v>4612p</v>
      </c>
      <c r="B133" s="631" t="str">
        <f>+VLOOKUP(LEFT($A133,LEN(A133)-1)*1,Master!$D$30:$G$226,4,FALSE)</f>
        <v>Otplata hartija od vrijednosti i kredita nerezidentima</v>
      </c>
      <c r="C133" s="632"/>
      <c r="D133" s="632"/>
      <c r="E133" s="632"/>
      <c r="F133" s="632"/>
      <c r="G133" s="253">
        <v>28364930.199999999</v>
      </c>
      <c r="H133" s="253">
        <v>4374920.03</v>
      </c>
      <c r="I133" s="253">
        <v>8065458.8799999999</v>
      </c>
      <c r="J133" s="253">
        <v>5277131.95</v>
      </c>
      <c r="K133" s="253">
        <v>47483135.420000002</v>
      </c>
      <c r="L133" s="253">
        <v>10486611.720000001</v>
      </c>
      <c r="M133" s="253">
        <v>38446394.799999997</v>
      </c>
      <c r="N133" s="253">
        <v>6858680.7300000004</v>
      </c>
      <c r="O133" s="253">
        <v>18720974.300000001</v>
      </c>
      <c r="P133" s="253">
        <v>6806330.3600000003</v>
      </c>
      <c r="Q133" s="253">
        <v>45204486.75</v>
      </c>
      <c r="R133" s="253">
        <v>21440944.859999999</v>
      </c>
      <c r="S133" s="317">
        <f t="shared" si="30"/>
        <v>241530000</v>
      </c>
      <c r="T133" s="342">
        <f t="shared" si="31"/>
        <v>3.6460988530073499</v>
      </c>
      <c r="U133" s="172"/>
      <c r="V133" s="172"/>
    </row>
    <row r="134" spans="1:22">
      <c r="A134" s="247" t="str">
        <f t="shared" si="25"/>
        <v>4418p</v>
      </c>
      <c r="B134" s="617" t="str">
        <f>+VLOOKUP(LEFT($A134,LEN(A134)-1)*1,Master!$D$30:$G$226,4,FALSE)</f>
        <v>Izdaci za kupovinu hartija od vrijednosti</v>
      </c>
      <c r="C134" s="618"/>
      <c r="D134" s="618"/>
      <c r="E134" s="618"/>
      <c r="F134" s="618"/>
      <c r="G134" s="217">
        <v>6666.67</v>
      </c>
      <c r="H134" s="217">
        <v>6666.67</v>
      </c>
      <c r="I134" s="217">
        <v>385666.67</v>
      </c>
      <c r="J134" s="217">
        <v>306666.67</v>
      </c>
      <c r="K134" s="217">
        <v>6666.67</v>
      </c>
      <c r="L134" s="217">
        <v>6666.65</v>
      </c>
      <c r="M134" s="217">
        <v>10000</v>
      </c>
      <c r="N134" s="217">
        <v>10000</v>
      </c>
      <c r="O134" s="217">
        <v>10000</v>
      </c>
      <c r="P134" s="217">
        <v>10000</v>
      </c>
      <c r="Q134" s="217">
        <v>10000</v>
      </c>
      <c r="R134" s="217">
        <v>10000</v>
      </c>
      <c r="S134" s="320">
        <f t="shared" si="30"/>
        <v>779000</v>
      </c>
      <c r="T134" s="353">
        <f t="shared" si="31"/>
        <v>1.1759661352596901E-2</v>
      </c>
      <c r="U134" s="172"/>
      <c r="V134" s="172"/>
    </row>
    <row r="135" spans="1:22">
      <c r="A135" s="247" t="s">
        <v>21</v>
      </c>
      <c r="B135" s="617" t="s">
        <v>22</v>
      </c>
      <c r="C135" s="618"/>
      <c r="D135" s="618"/>
      <c r="E135" s="618"/>
      <c r="F135" s="618"/>
      <c r="G135" s="217">
        <v>0</v>
      </c>
      <c r="H135" s="217">
        <v>0</v>
      </c>
      <c r="I135" s="217">
        <v>0</v>
      </c>
      <c r="J135" s="217">
        <v>0</v>
      </c>
      <c r="K135" s="217">
        <v>0</v>
      </c>
      <c r="L135" s="217">
        <v>0</v>
      </c>
      <c r="M135" s="217">
        <v>0</v>
      </c>
      <c r="N135" s="217">
        <v>0</v>
      </c>
      <c r="O135" s="217">
        <v>0</v>
      </c>
      <c r="P135" s="217">
        <v>0</v>
      </c>
      <c r="Q135" s="217">
        <v>0</v>
      </c>
      <c r="R135" s="217">
        <v>0</v>
      </c>
      <c r="S135" s="320">
        <f t="shared" si="30"/>
        <v>0</v>
      </c>
      <c r="T135" s="353">
        <f t="shared" si="31"/>
        <v>0</v>
      </c>
      <c r="U135" s="172"/>
      <c r="V135" s="172"/>
    </row>
    <row r="136" spans="1:22">
      <c r="A136" s="247" t="str">
        <f>+CONCATENATE(A60,"p")</f>
        <v>1002p</v>
      </c>
      <c r="B136" s="633" t="str">
        <f>+VLOOKUP(LEFT($A136,LEN(A136)-1)*1,Master!$D$30:$G$226,4,FALSE)</f>
        <v>Nedostajuća sredstva</v>
      </c>
      <c r="C136" s="634"/>
      <c r="D136" s="634"/>
      <c r="E136" s="634"/>
      <c r="F136" s="634"/>
      <c r="G136" s="257">
        <f t="shared" ref="G136:R136" si="44">+G129-G131-G134</f>
        <v>-53245889.5375925</v>
      </c>
      <c r="H136" s="257">
        <f t="shared" si="44"/>
        <v>-73881124.274519399</v>
      </c>
      <c r="I136" s="257">
        <f t="shared" si="44"/>
        <v>-11706309.449745901</v>
      </c>
      <c r="J136" s="257">
        <f t="shared" si="44"/>
        <v>-26168771.349764999</v>
      </c>
      <c r="K136" s="257">
        <f t="shared" si="44"/>
        <v>-134258439.02871299</v>
      </c>
      <c r="L136" s="257">
        <f t="shared" si="44"/>
        <v>-41511087.848724902</v>
      </c>
      <c r="M136" s="257">
        <f t="shared" si="44"/>
        <v>-96345577.436071098</v>
      </c>
      <c r="N136" s="257">
        <f t="shared" si="44"/>
        <v>-15798210.4469714</v>
      </c>
      <c r="O136" s="257">
        <f t="shared" si="44"/>
        <v>-46788098.734165199</v>
      </c>
      <c r="P136" s="257">
        <f t="shared" si="44"/>
        <v>-61360257.640887499</v>
      </c>
      <c r="Q136" s="257">
        <f t="shared" si="44"/>
        <v>-111596583.41034999</v>
      </c>
      <c r="R136" s="257">
        <f t="shared" si="44"/>
        <v>-32521481.5385984</v>
      </c>
      <c r="S136" s="322">
        <f t="shared" si="30"/>
        <v>-705181830.69610405</v>
      </c>
      <c r="T136" s="344">
        <f t="shared" si="31"/>
        <v>-10.645313890873499</v>
      </c>
      <c r="U136" s="172"/>
      <c r="V136" s="172"/>
    </row>
    <row r="137" spans="1:22">
      <c r="A137" s="247" t="str">
        <f>+CONCATENATE(A61,"p")</f>
        <v>1003p</v>
      </c>
      <c r="B137" s="617" t="str">
        <f>+VLOOKUP(LEFT($A137,LEN(A137)-1)*1,Master!$D$30:$G$226,4,FALSE)</f>
        <v>Finansiranje</v>
      </c>
      <c r="C137" s="618"/>
      <c r="D137" s="618"/>
      <c r="E137" s="618"/>
      <c r="F137" s="618"/>
      <c r="G137" s="217">
        <f t="shared" ref="G137:L137" si="45">+SUM(G138:G142)</f>
        <v>53245889.5375925</v>
      </c>
      <c r="H137" s="217">
        <f t="shared" si="45"/>
        <v>73881124.274519399</v>
      </c>
      <c r="I137" s="217">
        <f t="shared" si="45"/>
        <v>11706309.449745901</v>
      </c>
      <c r="J137" s="217">
        <f t="shared" si="45"/>
        <v>26168771.349764999</v>
      </c>
      <c r="K137" s="217">
        <f t="shared" si="45"/>
        <v>134258439.02871299</v>
      </c>
      <c r="L137" s="217">
        <f t="shared" si="45"/>
        <v>41511087.848724902</v>
      </c>
      <c r="M137" s="217">
        <f t="shared" ref="M137:R137" si="46">+SUM(M138:M142)</f>
        <v>96345577.436071098</v>
      </c>
      <c r="N137" s="217">
        <f t="shared" si="46"/>
        <v>15798210.4469714</v>
      </c>
      <c r="O137" s="217">
        <f t="shared" si="46"/>
        <v>46788098.734165199</v>
      </c>
      <c r="P137" s="217">
        <f t="shared" si="46"/>
        <v>61360257.640887499</v>
      </c>
      <c r="Q137" s="217">
        <f t="shared" si="46"/>
        <v>111596583.41034999</v>
      </c>
      <c r="R137" s="217">
        <f t="shared" si="46"/>
        <v>32521481.5385984</v>
      </c>
      <c r="S137" s="323">
        <f t="shared" si="30"/>
        <v>705181830.69610405</v>
      </c>
      <c r="T137" s="345">
        <f t="shared" si="31"/>
        <v>10.645313890873499</v>
      </c>
      <c r="U137" s="172"/>
      <c r="V137" s="172"/>
    </row>
    <row r="138" spans="1:22">
      <c r="A138" s="247" t="str">
        <f>+CONCATENATE(A62,"p")</f>
        <v>7511p</v>
      </c>
      <c r="B138" s="635" t="str">
        <f>+VLOOKUP(LEFT($A138,LEN(A138)-1)*1,Master!$D$30:$G$226,4,FALSE)</f>
        <v>Pozajmice i krediti od domaćih izvora</v>
      </c>
      <c r="C138" s="636"/>
      <c r="D138" s="636"/>
      <c r="E138" s="636"/>
      <c r="F138" s="636"/>
      <c r="G138" s="253">
        <v>0</v>
      </c>
      <c r="H138" s="253">
        <v>0</v>
      </c>
      <c r="I138" s="253">
        <v>100000000</v>
      </c>
      <c r="J138" s="253">
        <v>0</v>
      </c>
      <c r="K138" s="253">
        <v>0</v>
      </c>
      <c r="L138" s="253">
        <v>0</v>
      </c>
      <c r="M138" s="253">
        <v>0</v>
      </c>
      <c r="N138" s="253">
        <v>0</v>
      </c>
      <c r="O138" s="253">
        <v>0</v>
      </c>
      <c r="P138" s="253">
        <v>0</v>
      </c>
      <c r="Q138" s="253">
        <v>0</v>
      </c>
      <c r="R138" s="253">
        <v>0</v>
      </c>
      <c r="S138" s="317">
        <f t="shared" si="30"/>
        <v>100000000</v>
      </c>
      <c r="T138" s="342">
        <f t="shared" si="31"/>
        <v>1.50958425578907</v>
      </c>
      <c r="U138" s="172"/>
      <c r="V138" s="172"/>
    </row>
    <row r="139" spans="1:22">
      <c r="A139" s="247" t="str">
        <f>+CONCATENATE(A63,"p")</f>
        <v>7512p</v>
      </c>
      <c r="B139" s="631" t="str">
        <f>+VLOOKUP(LEFT($A139,LEN(A139)-1)*1,Master!$D$30:$G$226,4,FALSE)</f>
        <v>Pozajmice i krediti od inostranih izvora</v>
      </c>
      <c r="C139" s="632"/>
      <c r="D139" s="632"/>
      <c r="E139" s="632"/>
      <c r="F139" s="632"/>
      <c r="G139" s="253">
        <v>0</v>
      </c>
      <c r="H139" s="253">
        <v>0</v>
      </c>
      <c r="I139" s="253">
        <v>0</v>
      </c>
      <c r="J139" s="253">
        <v>0</v>
      </c>
      <c r="K139" s="253">
        <v>0</v>
      </c>
      <c r="L139" s="253">
        <v>0</v>
      </c>
      <c r="M139" s="253">
        <v>0</v>
      </c>
      <c r="N139" s="253">
        <v>0</v>
      </c>
      <c r="O139" s="362">
        <v>499181830.68901998</v>
      </c>
      <c r="P139" s="253">
        <v>0</v>
      </c>
      <c r="Q139" s="253">
        <v>0</v>
      </c>
      <c r="R139" s="253">
        <v>0</v>
      </c>
      <c r="S139" s="317">
        <f t="shared" si="30"/>
        <v>499181830.68901998</v>
      </c>
      <c r="T139" s="342">
        <f t="shared" si="31"/>
        <v>7.5355703238410996</v>
      </c>
      <c r="U139" s="172"/>
      <c r="V139" s="172"/>
    </row>
    <row r="140" spans="1:22">
      <c r="A140" s="247" t="str">
        <f>+CONCATENATE(A64,"p")</f>
        <v>72p</v>
      </c>
      <c r="B140" s="631" t="str">
        <f>+VLOOKUP(LEFT($A140,LEN(A140)-1)*1,Master!$D$30:$G$226,4,FALSE)</f>
        <v>Primici od prodaje imovine</v>
      </c>
      <c r="C140" s="632"/>
      <c r="D140" s="632"/>
      <c r="E140" s="632"/>
      <c r="F140" s="632"/>
      <c r="G140" s="253">
        <v>500000</v>
      </c>
      <c r="H140" s="253">
        <v>500000</v>
      </c>
      <c r="I140" s="253">
        <v>500000</v>
      </c>
      <c r="J140" s="253">
        <v>500000</v>
      </c>
      <c r="K140" s="253">
        <v>500000</v>
      </c>
      <c r="L140" s="253">
        <v>500000</v>
      </c>
      <c r="M140" s="253">
        <v>500000</v>
      </c>
      <c r="N140" s="253">
        <v>500000</v>
      </c>
      <c r="O140" s="253">
        <v>500000</v>
      </c>
      <c r="P140" s="253">
        <v>500000</v>
      </c>
      <c r="Q140" s="253">
        <v>500000</v>
      </c>
      <c r="R140" s="253">
        <v>500000</v>
      </c>
      <c r="S140" s="317">
        <f t="shared" si="30"/>
        <v>6000000</v>
      </c>
      <c r="T140" s="342">
        <f t="shared" si="31"/>
        <v>9.0575055347344294E-2</v>
      </c>
      <c r="U140" s="172"/>
      <c r="V140" s="172"/>
    </row>
    <row r="141" spans="1:22">
      <c r="A141" s="247" t="s">
        <v>23</v>
      </c>
      <c r="B141" s="243" t="s">
        <v>20</v>
      </c>
      <c r="C141" s="244"/>
      <c r="D141" s="244"/>
      <c r="E141" s="244"/>
      <c r="F141" s="244"/>
      <c r="G141" s="253">
        <v>0</v>
      </c>
      <c r="H141" s="253">
        <v>0</v>
      </c>
      <c r="I141" s="253">
        <v>0</v>
      </c>
      <c r="J141" s="253">
        <v>0</v>
      </c>
      <c r="K141" s="253">
        <v>0</v>
      </c>
      <c r="L141" s="253">
        <v>0</v>
      </c>
      <c r="M141" s="253">
        <v>0</v>
      </c>
      <c r="N141" s="253">
        <v>0</v>
      </c>
      <c r="O141" s="253">
        <v>0</v>
      </c>
      <c r="P141" s="253">
        <v>0</v>
      </c>
      <c r="Q141" s="253">
        <v>0</v>
      </c>
      <c r="R141" s="253">
        <v>0</v>
      </c>
      <c r="S141" s="317">
        <f t="shared" si="30"/>
        <v>0</v>
      </c>
      <c r="T141" s="342">
        <f t="shared" si="31"/>
        <v>0</v>
      </c>
      <c r="U141" s="172"/>
      <c r="V141" s="172"/>
    </row>
    <row r="142" spans="1:22">
      <c r="A142" s="247" t="str">
        <f t="shared" ref="A142" si="47">+CONCATENATE(A66,"p")</f>
        <v>1004p</v>
      </c>
      <c r="B142" s="262" t="str">
        <f>+VLOOKUP(LEFT($A142,LEN(A142)-1)*1,Master!$D$30:$G$226,4,FALSE)</f>
        <v>Povećanje / smanjenje depozita</v>
      </c>
      <c r="C142" s="263"/>
      <c r="D142" s="263"/>
      <c r="E142" s="263"/>
      <c r="F142" s="263"/>
      <c r="G142" s="264">
        <f>-G136-SUM(G138:G140)</f>
        <v>52745889.5375925</v>
      </c>
      <c r="H142" s="264">
        <f t="shared" ref="H142:L142" si="48">-H136-SUM(H138:H140)</f>
        <v>73381124.274519399</v>
      </c>
      <c r="I142" s="264">
        <f t="shared" si="48"/>
        <v>-88793690.550254107</v>
      </c>
      <c r="J142" s="264">
        <f t="shared" si="48"/>
        <v>25668771.349764999</v>
      </c>
      <c r="K142" s="264">
        <f t="shared" si="48"/>
        <v>133758439.028713</v>
      </c>
      <c r="L142" s="264">
        <f t="shared" si="48"/>
        <v>41011087.848724902</v>
      </c>
      <c r="M142" s="264">
        <f t="shared" ref="M142:R142" si="49">-M136-SUM(M138:M140)</f>
        <v>95845577.436071098</v>
      </c>
      <c r="N142" s="264">
        <f t="shared" si="49"/>
        <v>15298210.4469714</v>
      </c>
      <c r="O142" s="264">
        <f t="shared" si="49"/>
        <v>-452893731.95485401</v>
      </c>
      <c r="P142" s="264">
        <f t="shared" si="49"/>
        <v>60860257.640887499</v>
      </c>
      <c r="Q142" s="264">
        <f t="shared" si="49"/>
        <v>111096583.41034999</v>
      </c>
      <c r="R142" s="264">
        <f t="shared" si="49"/>
        <v>32021481.5385984</v>
      </c>
      <c r="S142" s="324">
        <f t="shared" si="30"/>
        <v>100000000.007084</v>
      </c>
      <c r="T142" s="347">
        <f t="shared" si="31"/>
        <v>1.50958425589602</v>
      </c>
      <c r="U142" s="172"/>
      <c r="V142" s="172"/>
    </row>
    <row r="144" spans="1:22">
      <c r="G144" s="172"/>
    </row>
    <row r="145" spans="7:19">
      <c r="G145" s="172"/>
      <c r="H145" s="172"/>
      <c r="I145" s="172"/>
      <c r="J145" s="172"/>
      <c r="K145" s="172"/>
      <c r="L145" s="172"/>
      <c r="M145" s="172"/>
      <c r="N145" s="172"/>
      <c r="O145" s="172"/>
      <c r="P145" s="172"/>
      <c r="Q145" s="172"/>
      <c r="R145" s="172"/>
    </row>
    <row r="146" spans="7:19">
      <c r="N146" s="172"/>
    </row>
    <row r="149" spans="7:19">
      <c r="S149" s="172"/>
    </row>
    <row r="150" spans="7:19">
      <c r="S150" s="172"/>
    </row>
  </sheetData>
  <mergeCells count="117">
    <mergeCell ref="B134:F134"/>
    <mergeCell ref="B135:F135"/>
    <mergeCell ref="B136:F136"/>
    <mergeCell ref="B137:F137"/>
    <mergeCell ref="B138:F138"/>
    <mergeCell ref="B139:F139"/>
    <mergeCell ref="B140:F140"/>
    <mergeCell ref="B83:F85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6257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58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A1:Z148"/>
  <sheetViews>
    <sheetView topLeftCell="B1" workbookViewId="0">
      <pane ySplit="1" topLeftCell="A2" activePane="bottomLeft" state="frozen"/>
      <selection pane="bottomLeft" activeCell="P10" sqref="P10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3.42578125" style="129" customWidth="1"/>
    <col min="7" max="7" width="12" style="129" customWidth="1"/>
    <col min="8" max="8" width="12.28515625" style="129" customWidth="1"/>
    <col min="9" max="9" width="10.7109375" style="129" customWidth="1"/>
    <col min="10" max="10" width="14.42578125" style="129" customWidth="1"/>
    <col min="11" max="11" width="10.7109375" style="129" customWidth="1"/>
    <col min="12" max="12" width="12.28515625" style="129" customWidth="1"/>
    <col min="13" max="14" width="10.7109375" style="129" customWidth="1"/>
    <col min="15" max="16" width="12.28515625" style="129" customWidth="1"/>
    <col min="17" max="17" width="15.42578125" style="129" customWidth="1"/>
    <col min="18" max="18" width="10.7109375" style="129" customWidth="1"/>
    <col min="19" max="19" width="13.28515625" style="129" customWidth="1"/>
    <col min="20" max="20" width="10.7109375" style="129" customWidth="1"/>
    <col min="21" max="21" width="16.85546875" style="173" customWidth="1"/>
    <col min="22" max="22" width="15.85546875" style="129" customWidth="1"/>
    <col min="23" max="23" width="17.5703125" style="129" customWidth="1"/>
    <col min="24" max="16384" width="9.140625" style="129"/>
  </cols>
  <sheetData>
    <row r="1" spans="1:23" s="127" customFormat="1" ht="3" customHeight="1">
      <c r="A1" s="130"/>
      <c r="G1" s="127" t="s">
        <v>6</v>
      </c>
      <c r="O1" s="127" t="s">
        <v>7</v>
      </c>
      <c r="U1" s="354"/>
    </row>
    <row r="2" spans="1:23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  <c r="U2" s="354"/>
    </row>
    <row r="3" spans="1:23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354"/>
    </row>
    <row r="4" spans="1:23" s="127" customFormat="1" ht="15">
      <c r="A4" s="131"/>
      <c r="B4" s="269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  <c r="U4" s="354"/>
    </row>
    <row r="5" spans="1:23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  <c r="U5" s="354"/>
    </row>
    <row r="6" spans="1:23">
      <c r="A6" s="136"/>
      <c r="B6" s="137"/>
      <c r="C6" s="137"/>
      <c r="D6" s="137"/>
      <c r="E6" s="137"/>
      <c r="F6" s="137"/>
      <c r="G6" s="138" t="s">
        <v>60</v>
      </c>
      <c r="H6" s="138" t="s">
        <v>61</v>
      </c>
      <c r="I6" s="138" t="s">
        <v>62</v>
      </c>
      <c r="J6" s="138" t="s">
        <v>63</v>
      </c>
      <c r="K6" s="138" t="s">
        <v>64</v>
      </c>
      <c r="L6" s="138" t="s">
        <v>65</v>
      </c>
      <c r="M6" s="138" t="s">
        <v>66</v>
      </c>
      <c r="N6" s="138" t="s">
        <v>67</v>
      </c>
      <c r="O6" s="138" t="s">
        <v>68</v>
      </c>
      <c r="P6" s="138" t="s">
        <v>69</v>
      </c>
      <c r="Q6" s="138" t="s">
        <v>70</v>
      </c>
      <c r="R6" s="138" t="s">
        <v>71</v>
      </c>
      <c r="S6" s="137"/>
      <c r="T6" s="137"/>
    </row>
    <row r="7" spans="1:23" ht="15" customHeight="1">
      <c r="A7" s="136"/>
      <c r="B7" s="584" t="str">
        <f>+Master!G252</f>
        <v>Ostvarenje budžeta</v>
      </c>
      <c r="C7" s="585"/>
      <c r="D7" s="585"/>
      <c r="E7" s="585"/>
      <c r="F7" s="585"/>
      <c r="G7" s="550">
        <v>2022</v>
      </c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4"/>
      <c r="S7" s="139" t="str">
        <f>+Master!G249</f>
        <v>BDP</v>
      </c>
      <c r="T7" s="140">
        <v>5796761000</v>
      </c>
    </row>
    <row r="8" spans="1:23" ht="16.5" customHeight="1">
      <c r="A8" s="136"/>
      <c r="B8" s="586"/>
      <c r="C8" s="587"/>
      <c r="D8" s="587"/>
      <c r="E8" s="587"/>
      <c r="F8" s="588"/>
      <c r="G8" s="141" t="str">
        <f>+Master!G232</f>
        <v>Januar</v>
      </c>
      <c r="H8" s="141" t="str">
        <f>+Master!G233</f>
        <v>Februar</v>
      </c>
      <c r="I8" s="141" t="str">
        <f>+Master!G234</f>
        <v>Mart</v>
      </c>
      <c r="J8" s="141" t="str">
        <f>+Master!G235</f>
        <v>April</v>
      </c>
      <c r="K8" s="141" t="str">
        <f>+Master!G236</f>
        <v>Maj</v>
      </c>
      <c r="L8" s="141" t="str">
        <f>+Master!G237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0" t="str">
        <f>+Master!G247</f>
        <v>Jan - Dec</v>
      </c>
      <c r="T8" s="554"/>
    </row>
    <row r="9" spans="1:23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3">
      <c r="A10" s="145">
        <v>7</v>
      </c>
      <c r="B10" s="570" t="str">
        <f>+VLOOKUP($A10,Master!$D$30:$G$226,4,FALSE)</f>
        <v>Prihodi budžeta</v>
      </c>
      <c r="C10" s="571"/>
      <c r="D10" s="571"/>
      <c r="E10" s="571"/>
      <c r="F10" s="571"/>
      <c r="G10" s="146">
        <f>+G11+G19+SUM(G24:G28)</f>
        <v>107737140.52</v>
      </c>
      <c r="H10" s="146">
        <f t="shared" ref="H10:R10" si="1">+H11+H19+SUM(H24:H28)</f>
        <v>124125176.16</v>
      </c>
      <c r="I10" s="146">
        <f t="shared" si="1"/>
        <v>183509113.03999999</v>
      </c>
      <c r="J10" s="146">
        <f t="shared" si="1"/>
        <v>179621542.80000001</v>
      </c>
      <c r="K10" s="146">
        <f t="shared" si="1"/>
        <v>153918991.34</v>
      </c>
      <c r="L10" s="146">
        <f t="shared" si="1"/>
        <v>165473395.99000001</v>
      </c>
      <c r="M10" s="146">
        <f t="shared" si="1"/>
        <v>165561147.77000001</v>
      </c>
      <c r="N10" s="146">
        <f t="shared" si="1"/>
        <v>193094863.55000001</v>
      </c>
      <c r="O10" s="146">
        <f t="shared" si="1"/>
        <v>174498819.30000001</v>
      </c>
      <c r="P10" s="146">
        <f t="shared" si="1"/>
        <v>168016384.53</v>
      </c>
      <c r="Q10" s="146">
        <f t="shared" si="1"/>
        <v>161479932</v>
      </c>
      <c r="R10" s="146">
        <f t="shared" si="1"/>
        <v>218371031.25</v>
      </c>
      <c r="S10" s="279">
        <f>+SUM(G10:R10)</f>
        <v>1995407538.25</v>
      </c>
      <c r="T10" s="325">
        <f>+S10/$T$7*100</f>
        <v>34.422801599893504</v>
      </c>
      <c r="V10" s="172"/>
    </row>
    <row r="11" spans="1:23">
      <c r="A11" s="145">
        <v>711</v>
      </c>
      <c r="B11" s="560" t="str">
        <f>+VLOOKUP($A11,Master!$D$30:$G$226,4,FALSE)</f>
        <v>Porezi</v>
      </c>
      <c r="C11" s="561"/>
      <c r="D11" s="561"/>
      <c r="E11" s="561"/>
      <c r="F11" s="561"/>
      <c r="G11" s="149">
        <f t="shared" ref="G11:R11" si="2">+SUM(G12:G18)</f>
        <v>80559495.530000001</v>
      </c>
      <c r="H11" s="149">
        <f t="shared" si="2"/>
        <v>83215985.099999994</v>
      </c>
      <c r="I11" s="149">
        <f t="shared" si="2"/>
        <v>136363333.31999999</v>
      </c>
      <c r="J11" s="149">
        <f t="shared" si="2"/>
        <v>133978505.54000001</v>
      </c>
      <c r="K11" s="149">
        <f t="shared" si="2"/>
        <v>112630389.3</v>
      </c>
      <c r="L11" s="149">
        <f t="shared" si="2"/>
        <v>115551273.18000001</v>
      </c>
      <c r="M11" s="149">
        <f t="shared" si="2"/>
        <v>118591394.48</v>
      </c>
      <c r="N11" s="149">
        <f t="shared" si="2"/>
        <v>138239036.16</v>
      </c>
      <c r="O11" s="149">
        <f t="shared" si="2"/>
        <v>121261181.34</v>
      </c>
      <c r="P11" s="149">
        <f t="shared" si="2"/>
        <v>118807466.67</v>
      </c>
      <c r="Q11" s="149">
        <f t="shared" si="2"/>
        <v>102838730.77</v>
      </c>
      <c r="R11" s="150">
        <f t="shared" si="2"/>
        <v>119096364.02</v>
      </c>
      <c r="S11" s="281">
        <f>+SUM(G11:R11)</f>
        <v>1381133155.4100001</v>
      </c>
      <c r="T11" s="327">
        <f t="shared" ref="T11:T66" si="3">+S11/$T$7*100</f>
        <v>23.825946169076101</v>
      </c>
      <c r="V11" s="172"/>
    </row>
    <row r="12" spans="1:23">
      <c r="A12" s="145">
        <v>7111</v>
      </c>
      <c r="B12" s="562" t="str">
        <f>+VLOOKUP($A12,Master!$D$30:$G$226,4,FALSE)</f>
        <v>Porez na dohodak fizičkih lica</v>
      </c>
      <c r="C12" s="563"/>
      <c r="D12" s="563"/>
      <c r="E12" s="563"/>
      <c r="F12" s="563"/>
      <c r="G12" s="153">
        <v>6139790.5700000003</v>
      </c>
      <c r="H12" s="153">
        <v>7672775.8099999996</v>
      </c>
      <c r="I12" s="153">
        <v>6664350.6399999997</v>
      </c>
      <c r="J12" s="153">
        <v>8050769.3899999997</v>
      </c>
      <c r="K12" s="153">
        <v>8176244.7699999996</v>
      </c>
      <c r="L12" s="153">
        <v>7322347.5800000001</v>
      </c>
      <c r="M12" s="153">
        <v>8156090.4900000002</v>
      </c>
      <c r="N12" s="153">
        <v>7377958</v>
      </c>
      <c r="O12" s="153">
        <v>5598868.9900000002</v>
      </c>
      <c r="P12" s="153">
        <v>5264087.58</v>
      </c>
      <c r="Q12" s="153">
        <v>4566627.0199999996</v>
      </c>
      <c r="R12" s="153">
        <v>8051099.2599999998</v>
      </c>
      <c r="S12" s="270">
        <f t="shared" ref="S12:S65" si="4">+SUM(G12:R12)</f>
        <v>83041010.099999994</v>
      </c>
      <c r="T12" s="329">
        <f t="shared" si="3"/>
        <v>1.4325415538091</v>
      </c>
      <c r="V12" s="172"/>
    </row>
    <row r="13" spans="1:23">
      <c r="A13" s="145">
        <v>7112</v>
      </c>
      <c r="B13" s="562" t="str">
        <f>+VLOOKUP($A13,Master!$D$30:$G$226,4,FALSE)</f>
        <v>Porez na dobit pravnih lica</v>
      </c>
      <c r="C13" s="563"/>
      <c r="D13" s="563"/>
      <c r="E13" s="563"/>
      <c r="F13" s="563"/>
      <c r="G13" s="153">
        <v>395935.5</v>
      </c>
      <c r="H13" s="153">
        <v>2173083.29</v>
      </c>
      <c r="I13" s="153">
        <v>38679260.32</v>
      </c>
      <c r="J13" s="153">
        <v>28771681.68</v>
      </c>
      <c r="K13" s="153">
        <v>2149499.0699999998</v>
      </c>
      <c r="L13" s="153">
        <v>3024620.31</v>
      </c>
      <c r="M13" s="153">
        <v>1873254.93</v>
      </c>
      <c r="N13" s="153">
        <v>2349199.71</v>
      </c>
      <c r="O13" s="153">
        <v>2622669.34</v>
      </c>
      <c r="P13" s="153">
        <v>1233620.1499999999</v>
      </c>
      <c r="Q13" s="153">
        <v>2140171.25</v>
      </c>
      <c r="R13" s="153">
        <v>4756163.6100000003</v>
      </c>
      <c r="S13" s="270">
        <f t="shared" si="4"/>
        <v>90169159.159999996</v>
      </c>
      <c r="T13" s="329">
        <f t="shared" si="3"/>
        <v>1.5555093466851599</v>
      </c>
      <c r="V13" s="172"/>
    </row>
    <row r="14" spans="1:23">
      <c r="A14" s="145">
        <v>7113</v>
      </c>
      <c r="B14" s="562" t="str">
        <f>+VLOOKUP($A14,Master!$D$30:$G$226,4,FALSE)</f>
        <v>Porez na promet nepokretnosti</v>
      </c>
      <c r="C14" s="563"/>
      <c r="D14" s="563"/>
      <c r="E14" s="563"/>
      <c r="F14" s="563"/>
      <c r="G14" s="153">
        <v>146340.34</v>
      </c>
      <c r="H14" s="153">
        <v>168193.65</v>
      </c>
      <c r="I14" s="153">
        <v>233459.66</v>
      </c>
      <c r="J14" s="153">
        <v>245580.28</v>
      </c>
      <c r="K14" s="153">
        <v>189584.64000000001</v>
      </c>
      <c r="L14" s="153">
        <v>263126.03999999998</v>
      </c>
      <c r="M14" s="153">
        <v>180172.4</v>
      </c>
      <c r="N14" s="153">
        <v>55084.76</v>
      </c>
      <c r="O14" s="153">
        <v>0</v>
      </c>
      <c r="P14" s="153">
        <v>0</v>
      </c>
      <c r="Q14" s="153">
        <v>0</v>
      </c>
      <c r="R14" s="153">
        <v>0</v>
      </c>
      <c r="S14" s="270">
        <f t="shared" si="4"/>
        <v>1481541.77</v>
      </c>
      <c r="T14" s="329">
        <f t="shared" si="3"/>
        <v>2.5558096495611901E-2</v>
      </c>
      <c r="V14" s="172"/>
    </row>
    <row r="15" spans="1:23">
      <c r="A15" s="145">
        <v>7114</v>
      </c>
      <c r="B15" s="562" t="str">
        <f>+VLOOKUP($A15,Master!$D$30:$G$226,4,FALSE)</f>
        <v>Porez na dodatu vrijednost</v>
      </c>
      <c r="C15" s="563"/>
      <c r="D15" s="563"/>
      <c r="E15" s="563"/>
      <c r="F15" s="563"/>
      <c r="G15" s="153">
        <v>50270008.859999999</v>
      </c>
      <c r="H15" s="153">
        <v>54121445.460000001</v>
      </c>
      <c r="I15" s="153">
        <v>67019753.909999996</v>
      </c>
      <c r="J15" s="153">
        <v>73487462.640000001</v>
      </c>
      <c r="K15" s="153">
        <v>76474660.090000004</v>
      </c>
      <c r="L15" s="153">
        <v>79678383.590000004</v>
      </c>
      <c r="M15" s="153">
        <v>83883709.769999996</v>
      </c>
      <c r="N15" s="153">
        <v>95638013.599999994</v>
      </c>
      <c r="O15" s="153">
        <v>84609670.859999999</v>
      </c>
      <c r="P15" s="153">
        <v>87831568.400000006</v>
      </c>
      <c r="Q15" s="153">
        <v>75753324.030000001</v>
      </c>
      <c r="R15" s="153">
        <v>79279103.049999997</v>
      </c>
      <c r="S15" s="270">
        <f t="shared" si="4"/>
        <v>908047104.25999999</v>
      </c>
      <c r="T15" s="329">
        <f t="shared" si="3"/>
        <v>15.664732499062801</v>
      </c>
      <c r="V15" s="172"/>
    </row>
    <row r="16" spans="1:23">
      <c r="A16" s="145">
        <v>7115</v>
      </c>
      <c r="B16" s="562" t="str">
        <f>+VLOOKUP($A16,Master!$D$30:$G$226,4,FALSE)</f>
        <v>Akcize</v>
      </c>
      <c r="C16" s="563"/>
      <c r="D16" s="563"/>
      <c r="E16" s="563"/>
      <c r="F16" s="563"/>
      <c r="G16" s="153">
        <v>21096875.199999999</v>
      </c>
      <c r="H16" s="153">
        <v>16062530.34</v>
      </c>
      <c r="I16" s="153">
        <v>19528829.140000001</v>
      </c>
      <c r="J16" s="153">
        <v>19259652.579999998</v>
      </c>
      <c r="K16" s="153">
        <v>21309575.899999999</v>
      </c>
      <c r="L16" s="153">
        <v>20484664.210000001</v>
      </c>
      <c r="M16" s="153">
        <v>19630528.800000001</v>
      </c>
      <c r="N16" s="153">
        <v>27418018.539999999</v>
      </c>
      <c r="O16" s="153">
        <v>23606498.559999999</v>
      </c>
      <c r="P16" s="153">
        <v>20069000.579999998</v>
      </c>
      <c r="Q16" s="153">
        <v>15318077.359999999</v>
      </c>
      <c r="R16" s="153">
        <v>22088360.559999999</v>
      </c>
      <c r="S16" s="270">
        <f t="shared" si="4"/>
        <v>245872611.77000001</v>
      </c>
      <c r="T16" s="329">
        <f t="shared" si="3"/>
        <v>4.2415516487569498</v>
      </c>
      <c r="V16" s="172"/>
      <c r="W16" s="172"/>
    </row>
    <row r="17" spans="1:22">
      <c r="A17" s="145">
        <v>7116</v>
      </c>
      <c r="B17" s="562" t="str">
        <f>+VLOOKUP($A17,Master!$D$30:$G$226,4,FALSE)</f>
        <v>Porez na međunarodnu trgovinu i transakcije</v>
      </c>
      <c r="C17" s="563"/>
      <c r="D17" s="563"/>
      <c r="E17" s="563"/>
      <c r="F17" s="563"/>
      <c r="G17" s="153">
        <v>1689510.83</v>
      </c>
      <c r="H17" s="153">
        <v>2149003.6</v>
      </c>
      <c r="I17" s="153">
        <v>3284454.25</v>
      </c>
      <c r="J17" s="153">
        <v>3111315.33</v>
      </c>
      <c r="K17" s="153">
        <v>3394780.34</v>
      </c>
      <c r="L17" s="153">
        <v>3720198.33</v>
      </c>
      <c r="M17" s="153">
        <v>3648629.78</v>
      </c>
      <c r="N17" s="153">
        <v>4253554.42</v>
      </c>
      <c r="O17" s="153">
        <v>3769936.82</v>
      </c>
      <c r="P17" s="153">
        <v>3430898.88</v>
      </c>
      <c r="Q17" s="153">
        <v>3901120.48</v>
      </c>
      <c r="R17" s="153">
        <v>3886090.57</v>
      </c>
      <c r="S17" s="270">
        <f t="shared" si="4"/>
        <v>40239493.630000003</v>
      </c>
      <c r="T17" s="329">
        <f t="shared" si="3"/>
        <v>0.69417203210551504</v>
      </c>
      <c r="V17" s="172"/>
    </row>
    <row r="18" spans="1:22">
      <c r="A18" s="145">
        <v>7118</v>
      </c>
      <c r="B18" s="562" t="str">
        <f>+VLOOKUP($A18,Master!$D$30:$G$226,4,FALSE)</f>
        <v>Ostali državni porezi</v>
      </c>
      <c r="C18" s="563"/>
      <c r="D18" s="563"/>
      <c r="E18" s="563"/>
      <c r="F18" s="563"/>
      <c r="G18" s="153">
        <v>821034.23</v>
      </c>
      <c r="H18" s="153">
        <v>868952.95</v>
      </c>
      <c r="I18" s="153">
        <v>953225.4</v>
      </c>
      <c r="J18" s="153">
        <v>1052043.6399999999</v>
      </c>
      <c r="K18" s="153">
        <v>936044.49</v>
      </c>
      <c r="L18" s="153">
        <v>1057933.1200000001</v>
      </c>
      <c r="M18" s="153">
        <v>1219008.31</v>
      </c>
      <c r="N18" s="153">
        <v>1147207.1299999999</v>
      </c>
      <c r="O18" s="153">
        <v>1053536.77</v>
      </c>
      <c r="P18" s="153">
        <v>978291.08</v>
      </c>
      <c r="Q18" s="153">
        <v>1159410.6299999999</v>
      </c>
      <c r="R18" s="153">
        <v>1035546.97</v>
      </c>
      <c r="S18" s="270">
        <f t="shared" si="4"/>
        <v>12282234.720000001</v>
      </c>
      <c r="T18" s="329">
        <f t="shared" si="3"/>
        <v>0.21188099216096701</v>
      </c>
      <c r="V18" s="172"/>
    </row>
    <row r="19" spans="1:22">
      <c r="A19" s="145">
        <v>712</v>
      </c>
      <c r="B19" s="566" t="str">
        <f>+VLOOKUP($A19,Master!$D$30:$G$226,4,FALSE)</f>
        <v>Doprinosi</v>
      </c>
      <c r="C19" s="567"/>
      <c r="D19" s="567"/>
      <c r="E19" s="567"/>
      <c r="F19" s="567"/>
      <c r="G19" s="156">
        <f>SUM(G20:G23)</f>
        <v>11731802.16</v>
      </c>
      <c r="H19" s="156">
        <f t="shared" ref="H19:R19" si="5">SUM(H20:H23)</f>
        <v>34984293.990000002</v>
      </c>
      <c r="I19" s="156">
        <f t="shared" si="5"/>
        <v>37056759.600000001</v>
      </c>
      <c r="J19" s="156">
        <f t="shared" si="5"/>
        <v>37592490.479999997</v>
      </c>
      <c r="K19" s="156">
        <f t="shared" si="5"/>
        <v>33463530.390000001</v>
      </c>
      <c r="L19" s="156">
        <f t="shared" si="5"/>
        <v>37796292.359999999</v>
      </c>
      <c r="M19" s="156">
        <f t="shared" si="5"/>
        <v>36710432.280000001</v>
      </c>
      <c r="N19" s="156">
        <f t="shared" si="5"/>
        <v>39015024.850000001</v>
      </c>
      <c r="O19" s="156">
        <f t="shared" si="5"/>
        <v>38998261.350000001</v>
      </c>
      <c r="P19" s="156">
        <f t="shared" si="5"/>
        <v>39011988.590000004</v>
      </c>
      <c r="Q19" s="156">
        <f t="shared" si="5"/>
        <v>40329720.409999996</v>
      </c>
      <c r="R19" s="156">
        <f t="shared" si="5"/>
        <v>76106447.829999998</v>
      </c>
      <c r="S19" s="284">
        <f t="shared" si="4"/>
        <v>462797044.29000002</v>
      </c>
      <c r="T19" s="330">
        <f t="shared" si="3"/>
        <v>7.9837178777941702</v>
      </c>
      <c r="V19" s="172"/>
    </row>
    <row r="20" spans="1:22">
      <c r="A20" s="145">
        <v>7121</v>
      </c>
      <c r="B20" s="562" t="str">
        <f>+VLOOKUP($A20,Master!$D$30:$G$226,4,FALSE)</f>
        <v>Doprinosi za penzijsko i invalidsko osiguranje</v>
      </c>
      <c r="C20" s="563"/>
      <c r="D20" s="563"/>
      <c r="E20" s="563"/>
      <c r="F20" s="563"/>
      <c r="G20" s="153">
        <v>7550452.8499999996</v>
      </c>
      <c r="H20" s="153">
        <v>24366605.109999999</v>
      </c>
      <c r="I20" s="153">
        <v>31891479.559999999</v>
      </c>
      <c r="J20" s="153">
        <v>32988975.75</v>
      </c>
      <c r="K20" s="153">
        <v>29598378.829999998</v>
      </c>
      <c r="L20" s="153">
        <v>33851315.109999999</v>
      </c>
      <c r="M20" s="153">
        <v>32996526.960000001</v>
      </c>
      <c r="N20" s="153">
        <v>35394821.75</v>
      </c>
      <c r="O20" s="153">
        <v>35762026.799999997</v>
      </c>
      <c r="P20" s="153">
        <v>35325375.350000001</v>
      </c>
      <c r="Q20" s="153">
        <v>36524279.100000001</v>
      </c>
      <c r="R20" s="153">
        <v>69645040.040000007</v>
      </c>
      <c r="S20" s="270">
        <f t="shared" si="4"/>
        <v>405895277.20999998</v>
      </c>
      <c r="T20" s="329">
        <f t="shared" si="3"/>
        <v>7.0021047479790903</v>
      </c>
      <c r="V20" s="172"/>
    </row>
    <row r="21" spans="1:22">
      <c r="A21" s="145">
        <v>7122</v>
      </c>
      <c r="B21" s="562" t="str">
        <f>+VLOOKUP($A21,Master!$D$30:$G$226,4,FALSE)</f>
        <v>Doprinosi za zdravstveno osiguranje</v>
      </c>
      <c r="C21" s="563"/>
      <c r="D21" s="563"/>
      <c r="E21" s="563"/>
      <c r="F21" s="563"/>
      <c r="G21" s="153">
        <v>3618221.62</v>
      </c>
      <c r="H21" s="153">
        <v>8815681.4700000007</v>
      </c>
      <c r="I21" s="153">
        <v>2582574.44</v>
      </c>
      <c r="J21" s="153">
        <v>1899377.01</v>
      </c>
      <c r="K21" s="153">
        <v>1480944.7</v>
      </c>
      <c r="L21" s="153">
        <v>1150315.93</v>
      </c>
      <c r="M21" s="153">
        <v>951006.28</v>
      </c>
      <c r="N21" s="153">
        <v>823067.88</v>
      </c>
      <c r="O21" s="153">
        <v>668162.97</v>
      </c>
      <c r="P21" s="153">
        <v>1084172.32</v>
      </c>
      <c r="Q21" s="153">
        <v>970112.44</v>
      </c>
      <c r="R21" s="153">
        <v>1011542.87</v>
      </c>
      <c r="S21" s="270">
        <f t="shared" si="4"/>
        <v>25055179.93</v>
      </c>
      <c r="T21" s="329">
        <f t="shared" si="3"/>
        <v>0.43222723741758501</v>
      </c>
      <c r="V21" s="172"/>
    </row>
    <row r="22" spans="1:22">
      <c r="A22" s="145">
        <v>7123</v>
      </c>
      <c r="B22" s="562" t="str">
        <f>+VLOOKUP($A22,Master!$D$30:$G$226,4,FALSE)</f>
        <v>Doprinosi za osiguranje od nezaposlenosti</v>
      </c>
      <c r="C22" s="563"/>
      <c r="D22" s="563"/>
      <c r="E22" s="563"/>
      <c r="F22" s="563"/>
      <c r="G22" s="153">
        <v>333527.59999999998</v>
      </c>
      <c r="H22" s="153">
        <v>1107968.99</v>
      </c>
      <c r="I22" s="153">
        <v>1459655.88</v>
      </c>
      <c r="J22" s="153">
        <v>1501790.24</v>
      </c>
      <c r="K22" s="153">
        <v>1379492.12</v>
      </c>
      <c r="L22" s="153">
        <v>1561408.27</v>
      </c>
      <c r="M22" s="153">
        <v>1571588.31</v>
      </c>
      <c r="N22" s="153">
        <v>1597593.61</v>
      </c>
      <c r="O22" s="153">
        <v>1507262.14</v>
      </c>
      <c r="P22" s="153">
        <v>1538447.23</v>
      </c>
      <c r="Q22" s="153">
        <v>1651967.4</v>
      </c>
      <c r="R22" s="153">
        <v>3184426.45</v>
      </c>
      <c r="S22" s="270">
        <f t="shared" si="4"/>
        <v>18395128.239999998</v>
      </c>
      <c r="T22" s="329">
        <f t="shared" si="3"/>
        <v>0.31733459840762801</v>
      </c>
      <c r="V22" s="172"/>
    </row>
    <row r="23" spans="1:22">
      <c r="A23" s="145">
        <v>7124</v>
      </c>
      <c r="B23" s="562" t="str">
        <f>+VLOOKUP($A23,Master!$D$30:$G$226,4,FALSE)</f>
        <v>Ostali doprinosi</v>
      </c>
      <c r="C23" s="563"/>
      <c r="D23" s="563"/>
      <c r="E23" s="563"/>
      <c r="F23" s="563"/>
      <c r="G23" s="153">
        <v>229600.09</v>
      </c>
      <c r="H23" s="153">
        <v>694038.42</v>
      </c>
      <c r="I23" s="153">
        <v>1123049.72</v>
      </c>
      <c r="J23" s="153">
        <v>1202347.48</v>
      </c>
      <c r="K23" s="153">
        <v>1004714.74</v>
      </c>
      <c r="L23" s="153">
        <v>1233253.05</v>
      </c>
      <c r="M23" s="153">
        <v>1191310.73</v>
      </c>
      <c r="N23" s="153">
        <v>1199541.6100000001</v>
      </c>
      <c r="O23" s="153">
        <v>1060809.44</v>
      </c>
      <c r="P23" s="153">
        <v>1063993.69</v>
      </c>
      <c r="Q23" s="153">
        <v>1183361.47</v>
      </c>
      <c r="R23" s="153">
        <v>2265438.4700000002</v>
      </c>
      <c r="S23" s="270">
        <f t="shared" si="4"/>
        <v>13451458.91</v>
      </c>
      <c r="T23" s="329">
        <f t="shared" si="3"/>
        <v>0.23205129398986801</v>
      </c>
      <c r="V23" s="172"/>
    </row>
    <row r="24" spans="1:22">
      <c r="A24" s="145">
        <v>713</v>
      </c>
      <c r="B24" s="566" t="str">
        <f>+VLOOKUP($A24,Master!$D$30:$G$226,4,FALSE)</f>
        <v>Takse</v>
      </c>
      <c r="C24" s="567"/>
      <c r="D24" s="567"/>
      <c r="E24" s="567"/>
      <c r="F24" s="567"/>
      <c r="G24" s="159">
        <v>635258.53</v>
      </c>
      <c r="H24" s="159">
        <v>808672.01</v>
      </c>
      <c r="I24" s="159">
        <v>976895.25</v>
      </c>
      <c r="J24" s="159">
        <v>1062602.8500000001</v>
      </c>
      <c r="K24" s="159">
        <v>1039077.46</v>
      </c>
      <c r="L24" s="159">
        <v>1347727.32</v>
      </c>
      <c r="M24" s="159">
        <v>1450241.78</v>
      </c>
      <c r="N24" s="159">
        <v>1887235.3</v>
      </c>
      <c r="O24" s="159">
        <v>1223886.31</v>
      </c>
      <c r="P24" s="159">
        <v>1441283.56</v>
      </c>
      <c r="Q24" s="159">
        <v>1297347.1399999999</v>
      </c>
      <c r="R24" s="159">
        <v>1600139.91</v>
      </c>
      <c r="S24" s="284">
        <f t="shared" si="4"/>
        <v>14770367.42</v>
      </c>
      <c r="T24" s="330">
        <f t="shared" si="3"/>
        <v>0.25480380198528102</v>
      </c>
      <c r="V24" s="172"/>
    </row>
    <row r="25" spans="1:22">
      <c r="A25" s="145">
        <v>714</v>
      </c>
      <c r="B25" s="566" t="str">
        <f>+VLOOKUP($A25,Master!$D$30:$G$226,4,FALSE)</f>
        <v>Naknade</v>
      </c>
      <c r="C25" s="567"/>
      <c r="D25" s="567"/>
      <c r="E25" s="567"/>
      <c r="F25" s="567"/>
      <c r="G25" s="159">
        <v>12539806.32</v>
      </c>
      <c r="H25" s="159">
        <v>2358745.7999999998</v>
      </c>
      <c r="I25" s="159">
        <v>2432089.7200000002</v>
      </c>
      <c r="J25" s="159">
        <v>3083781.29</v>
      </c>
      <c r="K25" s="159">
        <v>2678608.52</v>
      </c>
      <c r="L25" s="159">
        <v>4570368.01</v>
      </c>
      <c r="M25" s="159">
        <v>3736951.12</v>
      </c>
      <c r="N25" s="159">
        <v>3318573.47</v>
      </c>
      <c r="O25" s="159">
        <v>9160845.5500000007</v>
      </c>
      <c r="P25" s="159">
        <v>5019331.6900000004</v>
      </c>
      <c r="Q25" s="159">
        <v>11097392.67</v>
      </c>
      <c r="R25" s="159">
        <v>12753782.83</v>
      </c>
      <c r="S25" s="284">
        <f t="shared" si="4"/>
        <v>72750276.989999995</v>
      </c>
      <c r="T25" s="330">
        <f t="shared" si="3"/>
        <v>1.25501598202858</v>
      </c>
      <c r="V25" s="172"/>
    </row>
    <row r="26" spans="1:22">
      <c r="A26" s="145">
        <v>715</v>
      </c>
      <c r="B26" s="566" t="str">
        <f>+VLOOKUP($A26,Master!$D$30:$G$226,4,FALSE)</f>
        <v>Ostali prihodi</v>
      </c>
      <c r="C26" s="567"/>
      <c r="D26" s="567"/>
      <c r="E26" s="567"/>
      <c r="F26" s="567"/>
      <c r="G26" s="159">
        <v>1326069.82</v>
      </c>
      <c r="H26" s="159">
        <v>1641264.93</v>
      </c>
      <c r="I26" s="159">
        <v>1734944.49</v>
      </c>
      <c r="J26" s="159">
        <v>1799637.23</v>
      </c>
      <c r="K26" s="159">
        <v>3456607.14</v>
      </c>
      <c r="L26" s="159">
        <v>2860866.92</v>
      </c>
      <c r="M26" s="159">
        <v>3218905.03</v>
      </c>
      <c r="N26" s="159">
        <v>3738359.41</v>
      </c>
      <c r="O26" s="159">
        <v>1547779.56</v>
      </c>
      <c r="P26" s="159">
        <v>1869202.61</v>
      </c>
      <c r="Q26" s="159">
        <v>3172754.72</v>
      </c>
      <c r="R26" s="159">
        <v>3199096.44</v>
      </c>
      <c r="S26" s="284">
        <f t="shared" si="4"/>
        <v>29565488.300000001</v>
      </c>
      <c r="T26" s="330">
        <f t="shared" si="3"/>
        <v>0.51003462623351203</v>
      </c>
      <c r="V26" s="172"/>
    </row>
    <row r="27" spans="1:22">
      <c r="A27" s="145">
        <v>73</v>
      </c>
      <c r="B27" s="566" t="str">
        <f>+VLOOKUP($A27,Master!$D$30:$G$226,4,FALSE)</f>
        <v>Primici od otplate kredita i sredstva prenesena iz prethodne godine</v>
      </c>
      <c r="C27" s="567"/>
      <c r="D27" s="567"/>
      <c r="E27" s="567"/>
      <c r="F27" s="567"/>
      <c r="G27" s="159">
        <v>0</v>
      </c>
      <c r="H27" s="159">
        <v>0</v>
      </c>
      <c r="I27" s="159">
        <v>0</v>
      </c>
      <c r="J27" s="159">
        <v>0</v>
      </c>
      <c r="K27" s="159">
        <v>0</v>
      </c>
      <c r="L27" s="159">
        <v>0</v>
      </c>
      <c r="M27" s="159">
        <v>0</v>
      </c>
      <c r="N27" s="159">
        <v>0</v>
      </c>
      <c r="O27" s="159">
        <v>0</v>
      </c>
      <c r="P27" s="159">
        <v>0</v>
      </c>
      <c r="Q27" s="159">
        <v>0</v>
      </c>
      <c r="R27" s="159">
        <v>0</v>
      </c>
      <c r="S27" s="284">
        <f t="shared" si="4"/>
        <v>0</v>
      </c>
      <c r="T27" s="330">
        <f t="shared" si="3"/>
        <v>0</v>
      </c>
      <c r="V27" s="172"/>
    </row>
    <row r="28" spans="1:22">
      <c r="A28" s="145">
        <v>74</v>
      </c>
      <c r="B28" s="566" t="str">
        <f>+VLOOKUP($A28,Master!$D$30:$G$226,4,FALSE)</f>
        <v>Donacije i transferi</v>
      </c>
      <c r="C28" s="567"/>
      <c r="D28" s="567"/>
      <c r="E28" s="567"/>
      <c r="F28" s="567"/>
      <c r="G28" s="159">
        <v>944708.16</v>
      </c>
      <c r="H28" s="159">
        <v>1116214.33</v>
      </c>
      <c r="I28" s="159">
        <v>4945090.66</v>
      </c>
      <c r="J28" s="159">
        <v>2104525.41</v>
      </c>
      <c r="K28" s="159">
        <v>650778.53</v>
      </c>
      <c r="L28" s="159">
        <v>3346868.2</v>
      </c>
      <c r="M28" s="159">
        <v>1853223.08</v>
      </c>
      <c r="N28" s="159">
        <v>6896634.3600000003</v>
      </c>
      <c r="O28" s="159">
        <v>2306865.19</v>
      </c>
      <c r="P28" s="159">
        <v>1867111.41</v>
      </c>
      <c r="Q28" s="159">
        <v>2743986.29</v>
      </c>
      <c r="R28" s="159">
        <v>5615200.2199999997</v>
      </c>
      <c r="S28" s="284">
        <f t="shared" si="4"/>
        <v>34391205.840000004</v>
      </c>
      <c r="T28" s="331">
        <f t="shared" si="3"/>
        <v>0.59328314277576699</v>
      </c>
      <c r="V28" s="172"/>
    </row>
    <row r="29" spans="1:22">
      <c r="A29" s="145">
        <v>4</v>
      </c>
      <c r="B29" s="570" t="str">
        <f>+VLOOKUP($A29,Master!$D$30:$G$226,4,FALSE)</f>
        <v>Izdaci budžeta</v>
      </c>
      <c r="C29" s="571"/>
      <c r="D29" s="571"/>
      <c r="E29" s="571"/>
      <c r="F29" s="571"/>
      <c r="G29" s="146">
        <f>+G30+G40+G46+SUM(G47:G51)</f>
        <v>135514208.74000001</v>
      </c>
      <c r="H29" s="146">
        <f t="shared" ref="H29:R29" si="6">+H30+H40+H46+SUM(H47:H51)</f>
        <v>151117239.72</v>
      </c>
      <c r="I29" s="146">
        <f t="shared" si="6"/>
        <v>151932686.03</v>
      </c>
      <c r="J29" s="146">
        <f t="shared" si="6"/>
        <v>202361770.58000001</v>
      </c>
      <c r="K29" s="146">
        <f t="shared" si="6"/>
        <v>146024098.91999999</v>
      </c>
      <c r="L29" s="146">
        <f t="shared" si="6"/>
        <v>188293050.02000001</v>
      </c>
      <c r="M29" s="146">
        <f t="shared" si="6"/>
        <v>178169359.27000001</v>
      </c>
      <c r="N29" s="146">
        <f t="shared" si="6"/>
        <v>146940336.30000001</v>
      </c>
      <c r="O29" s="146">
        <f t="shared" si="6"/>
        <v>187439297.09</v>
      </c>
      <c r="P29" s="146">
        <f t="shared" si="6"/>
        <v>187515169.22</v>
      </c>
      <c r="Q29" s="146">
        <f t="shared" si="6"/>
        <v>201134206.56</v>
      </c>
      <c r="R29" s="146">
        <f t="shared" si="6"/>
        <v>369326518.44999999</v>
      </c>
      <c r="S29" s="287">
        <f t="shared" si="4"/>
        <v>2245767940.9000001</v>
      </c>
      <c r="T29" s="332">
        <f t="shared" si="3"/>
        <v>38.741772187951199</v>
      </c>
      <c r="V29" s="173"/>
    </row>
    <row r="30" spans="1:22">
      <c r="A30" s="145">
        <v>41</v>
      </c>
      <c r="B30" s="574" t="str">
        <f>+VLOOKUP($A30,Master!$D$30:$G$226,4,FALSE)</f>
        <v>Tekući izdaci</v>
      </c>
      <c r="C30" s="575"/>
      <c r="D30" s="575"/>
      <c r="E30" s="575"/>
      <c r="F30" s="575"/>
      <c r="G30" s="168">
        <f t="shared" ref="G30:R30" si="7">+SUM(G31:G39)</f>
        <v>50888106.359999999</v>
      </c>
      <c r="H30" s="168">
        <f t="shared" si="7"/>
        <v>61672607.57</v>
      </c>
      <c r="I30" s="168">
        <f t="shared" si="7"/>
        <v>59512220.600000001</v>
      </c>
      <c r="J30" s="168">
        <f t="shared" si="7"/>
        <v>96714288.140000001</v>
      </c>
      <c r="K30" s="168">
        <f t="shared" si="7"/>
        <v>58672920.630000003</v>
      </c>
      <c r="L30" s="168">
        <f t="shared" si="7"/>
        <v>71867949.010000005</v>
      </c>
      <c r="M30" s="168">
        <f t="shared" si="7"/>
        <v>67772161.579999998</v>
      </c>
      <c r="N30" s="168">
        <f t="shared" si="7"/>
        <v>64013603.579999998</v>
      </c>
      <c r="O30" s="168">
        <f t="shared" si="7"/>
        <v>80370389.329999998</v>
      </c>
      <c r="P30" s="168">
        <f t="shared" si="7"/>
        <v>70483078.090000004</v>
      </c>
      <c r="Q30" s="168">
        <f t="shared" si="7"/>
        <v>81383041.340000004</v>
      </c>
      <c r="R30" s="169">
        <f t="shared" si="7"/>
        <v>160323574.99000001</v>
      </c>
      <c r="S30" s="289">
        <f t="shared" si="4"/>
        <v>923673941.22000003</v>
      </c>
      <c r="T30" s="327">
        <f t="shared" si="3"/>
        <v>15.934311268309999</v>
      </c>
      <c r="U30" s="355"/>
      <c r="V30" s="173"/>
    </row>
    <row r="31" spans="1:22">
      <c r="A31" s="145">
        <v>411</v>
      </c>
      <c r="B31" s="562" t="str">
        <f>+VLOOKUP($A31,Master!$D$30:$G$226,4,FALSE)</f>
        <v>Bruto zarade i doprinosi na teret poslodavca</v>
      </c>
      <c r="C31" s="563"/>
      <c r="D31" s="563"/>
      <c r="E31" s="563"/>
      <c r="F31" s="563"/>
      <c r="G31" s="153">
        <v>44240125.009999998</v>
      </c>
      <c r="H31" s="153">
        <v>44549685.590000004</v>
      </c>
      <c r="I31" s="153">
        <v>40375934.009999998</v>
      </c>
      <c r="J31" s="153">
        <v>46977114.020000003</v>
      </c>
      <c r="K31" s="153">
        <v>41754372.079999998</v>
      </c>
      <c r="L31" s="153">
        <v>47101871.299999997</v>
      </c>
      <c r="M31" s="153">
        <v>44920963.490000002</v>
      </c>
      <c r="N31" s="153">
        <v>43889659.170000002</v>
      </c>
      <c r="O31" s="153">
        <v>44535467.409999996</v>
      </c>
      <c r="P31" s="153">
        <v>46472103.579999998</v>
      </c>
      <c r="Q31" s="153">
        <v>43561451.509999998</v>
      </c>
      <c r="R31" s="153">
        <v>54096780.950000003</v>
      </c>
      <c r="S31" s="270">
        <f t="shared" si="4"/>
        <v>542475528.12</v>
      </c>
      <c r="T31" s="329">
        <f t="shared" si="3"/>
        <v>9.3582524468405701</v>
      </c>
      <c r="U31" s="355"/>
      <c r="V31" s="173"/>
    </row>
    <row r="32" spans="1:22">
      <c r="A32" s="145">
        <v>412</v>
      </c>
      <c r="B32" s="562" t="str">
        <f>+VLOOKUP($A32,Master!$D$30:$G$226,4,FALSE)</f>
        <v>Ostala lična primanja</v>
      </c>
      <c r="C32" s="563"/>
      <c r="D32" s="563"/>
      <c r="E32" s="563"/>
      <c r="F32" s="563"/>
      <c r="G32" s="153">
        <v>136924.73000000001</v>
      </c>
      <c r="H32" s="153">
        <v>1212395.8600000001</v>
      </c>
      <c r="I32" s="153">
        <v>946225.55</v>
      </c>
      <c r="J32" s="153">
        <v>1448549.91</v>
      </c>
      <c r="K32" s="153">
        <v>1078145.3400000001</v>
      </c>
      <c r="L32" s="153">
        <v>2203226.23</v>
      </c>
      <c r="M32" s="153">
        <v>1651018.61</v>
      </c>
      <c r="N32" s="153">
        <v>1322412.92</v>
      </c>
      <c r="O32" s="153">
        <v>1530315.42</v>
      </c>
      <c r="P32" s="153">
        <v>1459845.08</v>
      </c>
      <c r="Q32" s="153">
        <v>1581314.76</v>
      </c>
      <c r="R32" s="153">
        <v>4199614.4400000004</v>
      </c>
      <c r="S32" s="270">
        <f t="shared" si="4"/>
        <v>18769988.850000001</v>
      </c>
      <c r="T32" s="329">
        <f t="shared" si="3"/>
        <v>0.32380132370473802</v>
      </c>
      <c r="U32" s="355"/>
      <c r="V32" s="173"/>
    </row>
    <row r="33" spans="1:24">
      <c r="A33" s="145">
        <v>413</v>
      </c>
      <c r="B33" s="562" t="str">
        <f>+VLOOKUP($A33,Master!$D$30:$G$226,4,FALSE)</f>
        <v>Rashodi za materijal</v>
      </c>
      <c r="C33" s="563"/>
      <c r="D33" s="563"/>
      <c r="E33" s="563"/>
      <c r="F33" s="563"/>
      <c r="G33" s="153">
        <v>140372.01</v>
      </c>
      <c r="H33" s="153">
        <v>3489117.82</v>
      </c>
      <c r="I33" s="153">
        <v>2614341.89</v>
      </c>
      <c r="J33" s="153">
        <v>2019169.66</v>
      </c>
      <c r="K33" s="356">
        <v>1001299.32</v>
      </c>
      <c r="L33" s="153">
        <v>4894219.0999999996</v>
      </c>
      <c r="M33" s="153">
        <v>2326698.5299999998</v>
      </c>
      <c r="N33" s="153">
        <v>4632464.3099999996</v>
      </c>
      <c r="O33" s="153">
        <v>2320334.06</v>
      </c>
      <c r="P33" s="153">
        <v>2181537.3199999998</v>
      </c>
      <c r="Q33" s="153">
        <v>3643902.52</v>
      </c>
      <c r="R33" s="153">
        <v>7777378.4400000004</v>
      </c>
      <c r="S33" s="270">
        <f t="shared" si="4"/>
        <v>37040834.979999997</v>
      </c>
      <c r="T33" s="329">
        <f t="shared" si="3"/>
        <v>0.63899192980355701</v>
      </c>
      <c r="U33" s="355"/>
      <c r="V33" s="173"/>
    </row>
    <row r="34" spans="1:24" s="267" customFormat="1">
      <c r="A34" s="272">
        <v>414</v>
      </c>
      <c r="B34" s="600" t="str">
        <f>+VLOOKUP($A34,Master!$D$30:$G$226,4,FALSE)</f>
        <v>Rashodi za usluge</v>
      </c>
      <c r="C34" s="601"/>
      <c r="D34" s="601"/>
      <c r="E34" s="601"/>
      <c r="F34" s="601"/>
      <c r="G34" s="153">
        <v>1078189.54</v>
      </c>
      <c r="H34" s="153">
        <v>2912682.95</v>
      </c>
      <c r="I34" s="153">
        <v>4448058.71</v>
      </c>
      <c r="J34" s="153">
        <v>6119621.8799999999</v>
      </c>
      <c r="K34" s="356">
        <v>2608799.0299999998</v>
      </c>
      <c r="L34" s="153">
        <v>5652423.2599999998</v>
      </c>
      <c r="M34" s="153">
        <v>3940088.74</v>
      </c>
      <c r="N34" s="153">
        <v>4242616.29</v>
      </c>
      <c r="O34" s="153">
        <v>4862742.16</v>
      </c>
      <c r="P34" s="153">
        <v>4651278.71</v>
      </c>
      <c r="Q34" s="153">
        <v>8318592.5099999998</v>
      </c>
      <c r="R34" s="153">
        <v>14663182.699999999</v>
      </c>
      <c r="S34" s="270">
        <f t="shared" si="4"/>
        <v>63498276.479999997</v>
      </c>
      <c r="T34" s="329">
        <f t="shared" si="3"/>
        <v>1.0954095999472799</v>
      </c>
      <c r="U34" s="355"/>
      <c r="V34" s="173"/>
    </row>
    <row r="35" spans="1:24">
      <c r="A35" s="145">
        <v>415</v>
      </c>
      <c r="B35" s="562" t="str">
        <f>+VLOOKUP($A35,Master!$D$30:$G$226,4,FALSE)</f>
        <v>Rashodi za tekuće održavanje</v>
      </c>
      <c r="C35" s="563"/>
      <c r="D35" s="563"/>
      <c r="E35" s="563"/>
      <c r="F35" s="563"/>
      <c r="G35" s="153">
        <v>51153.02</v>
      </c>
      <c r="H35" s="153">
        <v>1786959.03</v>
      </c>
      <c r="I35" s="153">
        <v>1807724.3</v>
      </c>
      <c r="J35" s="153">
        <v>1712206.83</v>
      </c>
      <c r="K35" s="153">
        <v>1517284.34</v>
      </c>
      <c r="L35" s="153">
        <v>1758391.51</v>
      </c>
      <c r="M35" s="153">
        <v>1888507.44</v>
      </c>
      <c r="N35" s="153">
        <v>1129451.49</v>
      </c>
      <c r="O35" s="153">
        <v>2940859.11</v>
      </c>
      <c r="P35" s="153">
        <v>1955111.39</v>
      </c>
      <c r="Q35" s="153">
        <v>2416100.75</v>
      </c>
      <c r="R35" s="153">
        <v>8346466.1799999997</v>
      </c>
      <c r="S35" s="270">
        <f t="shared" si="4"/>
        <v>27310215.390000001</v>
      </c>
      <c r="T35" s="329">
        <f t="shared" si="3"/>
        <v>0.47112888369901701</v>
      </c>
      <c r="U35" s="355"/>
      <c r="V35" s="173"/>
    </row>
    <row r="36" spans="1:24">
      <c r="A36" s="145">
        <v>416</v>
      </c>
      <c r="B36" s="562" t="str">
        <f>+VLOOKUP($A36,Master!$D$30:$G$226,4,FALSE)</f>
        <v>Kamate</v>
      </c>
      <c r="C36" s="563"/>
      <c r="D36" s="563"/>
      <c r="E36" s="563"/>
      <c r="F36" s="563"/>
      <c r="G36" s="153">
        <v>3854762.25</v>
      </c>
      <c r="H36" s="153">
        <v>1270344.19</v>
      </c>
      <c r="I36" s="153">
        <v>949082.56</v>
      </c>
      <c r="J36" s="153">
        <v>27195621.07</v>
      </c>
      <c r="K36" s="153">
        <v>4588473.78</v>
      </c>
      <c r="L36" s="153">
        <v>1216799.03</v>
      </c>
      <c r="M36" s="153">
        <v>3784062.82</v>
      </c>
      <c r="N36" s="153">
        <v>1331064.58</v>
      </c>
      <c r="O36" s="153">
        <v>13564532.83</v>
      </c>
      <c r="P36" s="153">
        <v>847132.28</v>
      </c>
      <c r="Q36" s="153">
        <v>10248475.539999999</v>
      </c>
      <c r="R36" s="153">
        <v>23105608.969999999</v>
      </c>
      <c r="S36" s="270">
        <f t="shared" si="4"/>
        <v>91955959.900000006</v>
      </c>
      <c r="T36" s="329">
        <f t="shared" si="3"/>
        <v>1.58633346967384</v>
      </c>
      <c r="U36" s="355"/>
      <c r="V36" s="173"/>
    </row>
    <row r="37" spans="1:24">
      <c r="A37" s="145">
        <v>417</v>
      </c>
      <c r="B37" s="562" t="str">
        <f>+VLOOKUP($A37,Master!$D$30:$G$226,4,FALSE)</f>
        <v>Renta</v>
      </c>
      <c r="C37" s="563"/>
      <c r="D37" s="563"/>
      <c r="E37" s="563"/>
      <c r="F37" s="563"/>
      <c r="G37" s="153">
        <v>222069.04</v>
      </c>
      <c r="H37" s="153">
        <v>743329.49</v>
      </c>
      <c r="I37" s="153">
        <v>597164.85</v>
      </c>
      <c r="J37" s="153">
        <v>1245171.8500000001</v>
      </c>
      <c r="K37" s="153">
        <v>498993.7</v>
      </c>
      <c r="L37" s="153">
        <v>995508.2</v>
      </c>
      <c r="M37" s="153">
        <v>1032330.36</v>
      </c>
      <c r="N37" s="153">
        <v>884250.45</v>
      </c>
      <c r="O37" s="153">
        <v>1095625.8400000001</v>
      </c>
      <c r="P37" s="153">
        <v>793457.04</v>
      </c>
      <c r="Q37" s="153">
        <v>1037480.69</v>
      </c>
      <c r="R37" s="153">
        <v>2885818.54</v>
      </c>
      <c r="S37" s="270">
        <f t="shared" si="4"/>
        <v>12031200.050000001</v>
      </c>
      <c r="T37" s="329">
        <f t="shared" si="3"/>
        <v>0.20755038977801599</v>
      </c>
      <c r="U37" s="355"/>
      <c r="V37" s="173"/>
    </row>
    <row r="38" spans="1:24">
      <c r="A38" s="145">
        <v>418</v>
      </c>
      <c r="B38" s="562" t="str">
        <f>+VLOOKUP($A38,Master!$D$30:$G$226,4,FALSE)</f>
        <v>Subvencije</v>
      </c>
      <c r="C38" s="563"/>
      <c r="D38" s="563"/>
      <c r="E38" s="563"/>
      <c r="F38" s="563"/>
      <c r="G38" s="153">
        <v>511006.04</v>
      </c>
      <c r="H38" s="153">
        <v>2686343.5</v>
      </c>
      <c r="I38" s="153">
        <v>4730535.5999999996</v>
      </c>
      <c r="J38" s="153">
        <v>6972651.8399999999</v>
      </c>
      <c r="K38" s="153">
        <v>2647649.44</v>
      </c>
      <c r="L38" s="153">
        <v>3319529.01</v>
      </c>
      <c r="M38" s="153">
        <v>3592301.72</v>
      </c>
      <c r="N38" s="153">
        <v>3747108.69</v>
      </c>
      <c r="O38" s="153">
        <v>6868760.4699999997</v>
      </c>
      <c r="P38" s="153">
        <v>7316615.7400000002</v>
      </c>
      <c r="Q38" s="153">
        <v>6635735.6500000004</v>
      </c>
      <c r="R38" s="153">
        <v>19401589.34</v>
      </c>
      <c r="S38" s="270">
        <f t="shared" si="4"/>
        <v>68429827.040000007</v>
      </c>
      <c r="T38" s="329">
        <f t="shared" si="3"/>
        <v>1.1804838433049101</v>
      </c>
      <c r="U38" s="355"/>
      <c r="V38" s="173"/>
    </row>
    <row r="39" spans="1:24">
      <c r="A39" s="145">
        <v>419</v>
      </c>
      <c r="B39" s="562" t="str">
        <f>+VLOOKUP($A39,Master!$D$30:$G$226,4,FALSE)</f>
        <v>Ostali izdaci</v>
      </c>
      <c r="C39" s="563"/>
      <c r="D39" s="563"/>
      <c r="E39" s="563"/>
      <c r="F39" s="563"/>
      <c r="G39" s="153">
        <v>653504.72</v>
      </c>
      <c r="H39" s="153">
        <v>3021749.14</v>
      </c>
      <c r="I39" s="153">
        <v>3043153.13</v>
      </c>
      <c r="J39" s="153">
        <v>3024181.08</v>
      </c>
      <c r="K39" s="356">
        <v>2977903.6</v>
      </c>
      <c r="L39" s="153">
        <v>4725981.37</v>
      </c>
      <c r="M39" s="153">
        <v>4636189.87</v>
      </c>
      <c r="N39" s="153">
        <v>2834575.68</v>
      </c>
      <c r="O39" s="153">
        <v>2651752.0299999998</v>
      </c>
      <c r="P39" s="153">
        <v>4805996.95</v>
      </c>
      <c r="Q39" s="153">
        <v>3939987.41</v>
      </c>
      <c r="R39" s="153">
        <v>25847135.43</v>
      </c>
      <c r="S39" s="270">
        <f t="shared" si="4"/>
        <v>62162110.409999996</v>
      </c>
      <c r="T39" s="329">
        <f t="shared" si="3"/>
        <v>1.0723593815580801</v>
      </c>
      <c r="U39" s="355"/>
      <c r="V39" s="173"/>
    </row>
    <row r="40" spans="1:24">
      <c r="A40" s="145">
        <v>42</v>
      </c>
      <c r="B40" s="576" t="str">
        <f>+VLOOKUP($A40,Master!$D$30:$G$226,4,FALSE)</f>
        <v>Transferi za socijalnu zaštitu</v>
      </c>
      <c r="C40" s="577"/>
      <c r="D40" s="577"/>
      <c r="E40" s="577"/>
      <c r="F40" s="577"/>
      <c r="G40" s="174">
        <f>+SUM(G41:G45)</f>
        <v>43461857.619999997</v>
      </c>
      <c r="H40" s="174">
        <f t="shared" ref="H40:R40" si="8">+SUM(H41:H45)</f>
        <v>49026101.469999999</v>
      </c>
      <c r="I40" s="174">
        <f t="shared" si="8"/>
        <v>50287764.18</v>
      </c>
      <c r="J40" s="174">
        <f t="shared" si="8"/>
        <v>49157743.100000001</v>
      </c>
      <c r="K40" s="174">
        <f t="shared" si="8"/>
        <v>51083547.039999999</v>
      </c>
      <c r="L40" s="174">
        <f t="shared" si="8"/>
        <v>53813247.140000001</v>
      </c>
      <c r="M40" s="174">
        <f t="shared" si="8"/>
        <v>55873905.100000001</v>
      </c>
      <c r="N40" s="174">
        <f t="shared" si="8"/>
        <v>54360546.859999999</v>
      </c>
      <c r="O40" s="174">
        <f t="shared" si="8"/>
        <v>55114295.5</v>
      </c>
      <c r="P40" s="174">
        <f t="shared" si="8"/>
        <v>71186420.969999999</v>
      </c>
      <c r="Q40" s="174">
        <f t="shared" si="8"/>
        <v>63369274.630000003</v>
      </c>
      <c r="R40" s="174">
        <f t="shared" si="8"/>
        <v>70551133.099999994</v>
      </c>
      <c r="S40" s="333">
        <f t="shared" si="4"/>
        <v>667285836.71000004</v>
      </c>
      <c r="T40" s="334">
        <f t="shared" si="3"/>
        <v>11.5113567164491</v>
      </c>
      <c r="U40" s="355"/>
      <c r="V40" s="173"/>
    </row>
    <row r="41" spans="1:24">
      <c r="A41" s="145">
        <v>421</v>
      </c>
      <c r="B41" s="562" t="str">
        <f>+VLOOKUP($A41,Master!$D$30:$G$226,4,FALSE)</f>
        <v>Prava iz oblasti socijalne zaštite</v>
      </c>
      <c r="C41" s="563"/>
      <c r="D41" s="563"/>
      <c r="E41" s="563"/>
      <c r="F41" s="563"/>
      <c r="G41" s="153">
        <v>8200110.4000000004</v>
      </c>
      <c r="H41" s="153">
        <v>8172331.5999999996</v>
      </c>
      <c r="I41" s="153">
        <v>8605052.6899999995</v>
      </c>
      <c r="J41" s="153">
        <v>8606006.9800000004</v>
      </c>
      <c r="K41" s="153">
        <v>11845768.039999999</v>
      </c>
      <c r="L41" s="153">
        <v>11977864.439999999</v>
      </c>
      <c r="M41" s="153">
        <v>11864302.59</v>
      </c>
      <c r="N41" s="153">
        <v>11984394.289999999</v>
      </c>
      <c r="O41" s="153">
        <v>12319371.460000001</v>
      </c>
      <c r="P41" s="153">
        <v>12698818.880000001</v>
      </c>
      <c r="Q41" s="153">
        <v>14820839.539999999</v>
      </c>
      <c r="R41" s="153">
        <v>14201703.15</v>
      </c>
      <c r="S41" s="270">
        <f t="shared" si="4"/>
        <v>135296564.06</v>
      </c>
      <c r="T41" s="329">
        <f t="shared" si="3"/>
        <v>2.3340028001844502</v>
      </c>
      <c r="U41" s="355"/>
      <c r="V41" s="173"/>
    </row>
    <row r="42" spans="1:24">
      <c r="A42" s="145">
        <v>422</v>
      </c>
      <c r="B42" s="562" t="str">
        <f>+VLOOKUP($A42,Master!$D$30:$G$226,4,FALSE)</f>
        <v>Sredstva za tehnološke viškove</v>
      </c>
      <c r="C42" s="563"/>
      <c r="D42" s="563"/>
      <c r="E42" s="563"/>
      <c r="F42" s="563"/>
      <c r="G42" s="153">
        <v>0</v>
      </c>
      <c r="H42" s="153">
        <v>2498429.92</v>
      </c>
      <c r="I42" s="153">
        <v>2440778.17</v>
      </c>
      <c r="J42" s="153">
        <v>2410229.4500000002</v>
      </c>
      <c r="K42" s="153">
        <v>2318949.15</v>
      </c>
      <c r="L42" s="153">
        <v>2335079.0099999998</v>
      </c>
      <c r="M42" s="153">
        <v>2195965.0099999998</v>
      </c>
      <c r="N42" s="153">
        <v>2189311.09</v>
      </c>
      <c r="O42" s="153">
        <v>2177499.94</v>
      </c>
      <c r="P42" s="153">
        <v>2428269.06</v>
      </c>
      <c r="Q42" s="153">
        <v>2185736.61</v>
      </c>
      <c r="R42" s="153">
        <v>4540579.0999999996</v>
      </c>
      <c r="S42" s="270">
        <f t="shared" si="4"/>
        <v>27720826.510000002</v>
      </c>
      <c r="T42" s="329">
        <f t="shared" si="3"/>
        <v>0.47821234151278602</v>
      </c>
      <c r="U42" s="355"/>
      <c r="V42" s="173"/>
    </row>
    <row r="43" spans="1:24">
      <c r="A43" s="145">
        <v>423</v>
      </c>
      <c r="B43" s="562" t="str">
        <f>+VLOOKUP($A43,Master!$D$30:$G$226,4,FALSE)</f>
        <v>Prava iz oblasti penzijskog i invalidskog osiguranja</v>
      </c>
      <c r="C43" s="563"/>
      <c r="D43" s="563"/>
      <c r="E43" s="563"/>
      <c r="F43" s="563"/>
      <c r="G43" s="153">
        <v>35149513.420000002</v>
      </c>
      <c r="H43" s="356">
        <v>36349865.18</v>
      </c>
      <c r="I43" s="356">
        <v>36074398.100000001</v>
      </c>
      <c r="J43" s="153">
        <v>36181040.329999998</v>
      </c>
      <c r="K43" s="153">
        <v>35168591.789999999</v>
      </c>
      <c r="L43" s="153">
        <v>37894311.82</v>
      </c>
      <c r="M43" s="153">
        <v>37880340.310000002</v>
      </c>
      <c r="N43" s="153">
        <v>38069530.060000002</v>
      </c>
      <c r="O43" s="153">
        <v>38038058.109999999</v>
      </c>
      <c r="P43" s="153">
        <v>53631777.979999997</v>
      </c>
      <c r="Q43" s="153">
        <v>42921660.460000001</v>
      </c>
      <c r="R43" s="153">
        <v>42725535.82</v>
      </c>
      <c r="S43" s="270">
        <f t="shared" si="4"/>
        <v>470084623.38</v>
      </c>
      <c r="T43" s="329">
        <f t="shared" si="3"/>
        <v>8.1094360002076993</v>
      </c>
      <c r="U43" s="355"/>
      <c r="V43" s="173"/>
    </row>
    <row r="44" spans="1:24">
      <c r="A44" s="145">
        <v>424</v>
      </c>
      <c r="B44" s="562" t="str">
        <f>+VLOOKUP($A44,Master!$D$30:$G$226,4,FALSE)</f>
        <v>Ostala prava iz oblasti zdravstvene zaštite</v>
      </c>
      <c r="C44" s="563"/>
      <c r="D44" s="563"/>
      <c r="E44" s="563"/>
      <c r="F44" s="563"/>
      <c r="G44" s="153">
        <v>103430</v>
      </c>
      <c r="H44" s="153">
        <v>1069904.71</v>
      </c>
      <c r="I44" s="153">
        <v>1609138.94</v>
      </c>
      <c r="J44" s="153">
        <v>1370159.43</v>
      </c>
      <c r="K44" s="153">
        <v>659345.03</v>
      </c>
      <c r="L44" s="153">
        <v>804103.22</v>
      </c>
      <c r="M44" s="153">
        <v>2611388.4700000002</v>
      </c>
      <c r="N44" s="153">
        <v>1036291.46</v>
      </c>
      <c r="O44" s="153">
        <v>1292962.81</v>
      </c>
      <c r="P44" s="153">
        <v>1267872.27</v>
      </c>
      <c r="Q44" s="153">
        <v>1655544.57</v>
      </c>
      <c r="R44" s="153">
        <v>3263110.76</v>
      </c>
      <c r="S44" s="270">
        <f t="shared" si="4"/>
        <v>16743251.67</v>
      </c>
      <c r="T44" s="329">
        <f t="shared" si="3"/>
        <v>0.288838054044319</v>
      </c>
      <c r="U44" s="355"/>
      <c r="V44" s="173"/>
    </row>
    <row r="45" spans="1:24" s="267" customFormat="1">
      <c r="A45" s="272">
        <v>425</v>
      </c>
      <c r="B45" s="602" t="str">
        <f>+VLOOKUP($A45,Master!$D$30:$G$226,4,FALSE)</f>
        <v>Ostala prava iz zdravstvenog osiguranja</v>
      </c>
      <c r="C45" s="603"/>
      <c r="D45" s="603"/>
      <c r="E45" s="603"/>
      <c r="F45" s="603"/>
      <c r="G45" s="153">
        <v>8803.7999999999993</v>
      </c>
      <c r="H45" s="153">
        <v>935570.06</v>
      </c>
      <c r="I45" s="153">
        <v>1558396.28</v>
      </c>
      <c r="J45" s="153">
        <v>590306.91</v>
      </c>
      <c r="K45" s="153">
        <v>1090893.03</v>
      </c>
      <c r="L45" s="153">
        <v>801888.65</v>
      </c>
      <c r="M45" s="153">
        <v>1321908.72</v>
      </c>
      <c r="N45" s="153">
        <v>1081019.96</v>
      </c>
      <c r="O45" s="153">
        <v>1286403.18</v>
      </c>
      <c r="P45" s="153">
        <v>1159682.78</v>
      </c>
      <c r="Q45" s="153">
        <v>1785493.45</v>
      </c>
      <c r="R45" s="153">
        <v>5820204.2699999996</v>
      </c>
      <c r="S45" s="270">
        <f t="shared" si="4"/>
        <v>17440571.09</v>
      </c>
      <c r="T45" s="329">
        <f t="shared" si="3"/>
        <v>0.30086752049981003</v>
      </c>
      <c r="U45" s="355"/>
      <c r="V45" s="173"/>
    </row>
    <row r="46" spans="1:24">
      <c r="A46" s="145">
        <v>43</v>
      </c>
      <c r="B46" s="580" t="str">
        <f>+VLOOKUP($A46,Master!$D$30:$G$226,4,FALSE)</f>
        <v>Transferi institucijama, pojedincima, nevladinom i javnom sektoru</v>
      </c>
      <c r="C46" s="581"/>
      <c r="D46" s="581"/>
      <c r="E46" s="581"/>
      <c r="F46" s="581"/>
      <c r="G46" s="159">
        <v>7352915.0899999999</v>
      </c>
      <c r="H46" s="159">
        <v>24325892.07</v>
      </c>
      <c r="I46" s="159">
        <v>30713814.850000001</v>
      </c>
      <c r="J46" s="159">
        <v>28760000.66</v>
      </c>
      <c r="K46" s="159">
        <v>16438030.75</v>
      </c>
      <c r="L46" s="159">
        <v>35025423.090000004</v>
      </c>
      <c r="M46" s="159">
        <v>21720140.949999999</v>
      </c>
      <c r="N46" s="159">
        <v>18685780.77</v>
      </c>
      <c r="O46" s="159">
        <v>29625279.100000001</v>
      </c>
      <c r="P46" s="159">
        <v>32210015.350000001</v>
      </c>
      <c r="Q46" s="159">
        <v>34250449.609999999</v>
      </c>
      <c r="R46" s="159">
        <v>74410165.640000001</v>
      </c>
      <c r="S46" s="284">
        <f t="shared" si="4"/>
        <v>353517907.93000001</v>
      </c>
      <c r="T46" s="330">
        <f t="shared" si="3"/>
        <v>6.0985420639215597</v>
      </c>
      <c r="U46" s="355"/>
      <c r="V46" s="173"/>
    </row>
    <row r="47" spans="1:24">
      <c r="A47" s="145">
        <v>44</v>
      </c>
      <c r="B47" s="580" t="str">
        <f>+VLOOKUP($A47,Master!$D$30:$G$226,4,FALSE)</f>
        <v>Kapitalni izdaci</v>
      </c>
      <c r="C47" s="581"/>
      <c r="D47" s="581"/>
      <c r="E47" s="581"/>
      <c r="F47" s="581"/>
      <c r="G47" s="159">
        <v>16016474.34</v>
      </c>
      <c r="H47" s="159">
        <v>11650538.710000001</v>
      </c>
      <c r="I47" s="159">
        <v>7993847.7400000002</v>
      </c>
      <c r="J47" s="159">
        <v>25617464.039999999</v>
      </c>
      <c r="K47" s="159">
        <v>18638679.170000002</v>
      </c>
      <c r="L47" s="159">
        <v>23468670.100000001</v>
      </c>
      <c r="M47" s="159">
        <v>25040863.600000001</v>
      </c>
      <c r="N47" s="159">
        <v>7683091.5899999999</v>
      </c>
      <c r="O47" s="159">
        <v>16121479.17</v>
      </c>
      <c r="P47" s="159">
        <v>11335391.99</v>
      </c>
      <c r="Q47" s="159">
        <v>20280565.699999999</v>
      </c>
      <c r="R47" s="159">
        <v>56610814.030000001</v>
      </c>
      <c r="S47" s="284">
        <f t="shared" si="4"/>
        <v>240457880.18000001</v>
      </c>
      <c r="T47" s="330">
        <f t="shared" si="3"/>
        <v>4.1481420431168399</v>
      </c>
      <c r="U47" s="355"/>
      <c r="V47" s="173"/>
      <c r="W47" s="172"/>
      <c r="X47" s="172"/>
    </row>
    <row r="48" spans="1:24">
      <c r="A48" s="145">
        <v>451</v>
      </c>
      <c r="B48" s="604" t="str">
        <f>+VLOOKUP($A48,Master!$D$30:$G$226,4,FALSE)</f>
        <v>Pozajmice i krediti</v>
      </c>
      <c r="C48" s="605"/>
      <c r="D48" s="605"/>
      <c r="E48" s="605"/>
      <c r="F48" s="605"/>
      <c r="G48" s="153">
        <v>0</v>
      </c>
      <c r="H48" s="153">
        <v>0</v>
      </c>
      <c r="I48" s="153">
        <v>0</v>
      </c>
      <c r="J48" s="153">
        <v>0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270">
        <f t="shared" si="4"/>
        <v>0</v>
      </c>
      <c r="T48" s="329">
        <f t="shared" si="3"/>
        <v>0</v>
      </c>
      <c r="U48" s="355"/>
      <c r="V48" s="173"/>
    </row>
    <row r="49" spans="1:22" s="267" customFormat="1">
      <c r="A49" s="272">
        <v>47</v>
      </c>
      <c r="B49" s="606" t="str">
        <f>+VLOOKUP($A49,Master!$D$30:$G$226,4,FALSE)</f>
        <v>Rezerve</v>
      </c>
      <c r="C49" s="607"/>
      <c r="D49" s="607"/>
      <c r="E49" s="607"/>
      <c r="F49" s="607"/>
      <c r="G49" s="153">
        <v>265800</v>
      </c>
      <c r="H49" s="153">
        <v>495710</v>
      </c>
      <c r="I49" s="153">
        <v>1101664.26</v>
      </c>
      <c r="J49" s="153">
        <v>401200</v>
      </c>
      <c r="K49" s="153">
        <v>45800</v>
      </c>
      <c r="L49" s="153">
        <v>3114786.03</v>
      </c>
      <c r="M49" s="153">
        <v>5703477.5800000001</v>
      </c>
      <c r="N49" s="153">
        <v>1405979.19</v>
      </c>
      <c r="O49" s="153">
        <v>5100804.8600000003</v>
      </c>
      <c r="P49" s="153">
        <v>1452808.88</v>
      </c>
      <c r="Q49" s="153">
        <v>608587.1</v>
      </c>
      <c r="R49" s="153">
        <v>5259111.3499999996</v>
      </c>
      <c r="S49" s="270">
        <f t="shared" si="4"/>
        <v>24955729.25</v>
      </c>
      <c r="T49" s="329">
        <f t="shared" si="3"/>
        <v>0.430511612433219</v>
      </c>
      <c r="U49" s="355"/>
      <c r="V49" s="173"/>
    </row>
    <row r="50" spans="1:22">
      <c r="A50" s="145">
        <v>462</v>
      </c>
      <c r="B50" s="578" t="str">
        <f>+VLOOKUP($A50,Master!$D$30:$G$226,4,FALSE)</f>
        <v>Otplata garancija</v>
      </c>
      <c r="C50" s="579"/>
      <c r="D50" s="579"/>
      <c r="E50" s="579"/>
      <c r="F50" s="579"/>
      <c r="G50" s="153">
        <v>0</v>
      </c>
      <c r="H50" s="153">
        <v>0</v>
      </c>
      <c r="I50" s="153">
        <v>0</v>
      </c>
      <c r="J50" s="153">
        <v>500000</v>
      </c>
      <c r="K50" s="153">
        <v>0</v>
      </c>
      <c r="L50" s="153">
        <v>0</v>
      </c>
      <c r="M50" s="153">
        <v>0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4"/>
        <v>500000</v>
      </c>
      <c r="T50" s="329">
        <f t="shared" si="3"/>
        <v>8.6255065544361808E-3</v>
      </c>
      <c r="U50" s="355"/>
      <c r="V50" s="173"/>
    </row>
    <row r="51" spans="1:22">
      <c r="A51" s="136">
        <v>4630</v>
      </c>
      <c r="B51" s="608" t="str">
        <f>+VLOOKUP($A51,Master!$D$30:$G$226,4,TRUE)</f>
        <v>Otplata obaveza iz prethodnog perioda</v>
      </c>
      <c r="C51" s="609"/>
      <c r="D51" s="609"/>
      <c r="E51" s="609"/>
      <c r="F51" s="609"/>
      <c r="G51" s="335">
        <v>17529055.329999998</v>
      </c>
      <c r="H51" s="335">
        <v>3946389.9</v>
      </c>
      <c r="I51" s="335">
        <v>2323374.4</v>
      </c>
      <c r="J51" s="335">
        <v>1211074.6399999999</v>
      </c>
      <c r="K51" s="335">
        <v>1145121.33</v>
      </c>
      <c r="L51" s="335">
        <v>1002974.65</v>
      </c>
      <c r="M51" s="335">
        <v>2058810.46</v>
      </c>
      <c r="N51" s="335">
        <v>791334.31</v>
      </c>
      <c r="O51" s="335">
        <v>1107049.1299999999</v>
      </c>
      <c r="P51" s="335">
        <v>847453.94</v>
      </c>
      <c r="Q51" s="335">
        <v>1242288.18</v>
      </c>
      <c r="R51" s="335">
        <v>2171719.34</v>
      </c>
      <c r="S51" s="290">
        <f t="shared" si="4"/>
        <v>35376645.609999999</v>
      </c>
      <c r="T51" s="337">
        <f t="shared" si="3"/>
        <v>0.61028297716604196</v>
      </c>
      <c r="U51" s="355"/>
      <c r="V51" s="173"/>
    </row>
    <row r="52" spans="1:22">
      <c r="A52" s="128">
        <v>1005</v>
      </c>
      <c r="B52" s="610" t="str">
        <f>+VLOOKUP($A52,Master!$D$30:$G$228,4,FALSE)</f>
        <v>Neto povećanje obaveza</v>
      </c>
      <c r="C52" s="611"/>
      <c r="D52" s="611"/>
      <c r="E52" s="611"/>
      <c r="F52" s="611"/>
      <c r="G52" s="183">
        <v>0</v>
      </c>
      <c r="H52" s="153">
        <v>0</v>
      </c>
      <c r="I52" s="153">
        <v>0</v>
      </c>
      <c r="J52" s="153">
        <v>0</v>
      </c>
      <c r="K52" s="153">
        <v>0</v>
      </c>
      <c r="L52" s="153">
        <v>0</v>
      </c>
      <c r="M52" s="153">
        <v>0</v>
      </c>
      <c r="N52" s="153">
        <v>0</v>
      </c>
      <c r="O52" s="153">
        <v>0</v>
      </c>
      <c r="P52" s="153">
        <v>0</v>
      </c>
      <c r="Q52" s="153">
        <v>0</v>
      </c>
      <c r="R52" s="356">
        <v>0</v>
      </c>
      <c r="S52" s="292">
        <f t="shared" si="4"/>
        <v>0</v>
      </c>
      <c r="T52" s="338">
        <f t="shared" si="3"/>
        <v>0</v>
      </c>
      <c r="V52" s="173"/>
    </row>
    <row r="53" spans="1:22">
      <c r="A53" s="136">
        <v>1000</v>
      </c>
      <c r="B53" s="596" t="str">
        <f>+VLOOKUP($A53,Master!$D$30:$G$226,4,FALSE)</f>
        <v>Suficit / deficit</v>
      </c>
      <c r="C53" s="597"/>
      <c r="D53" s="597"/>
      <c r="E53" s="597"/>
      <c r="F53" s="597"/>
      <c r="G53" s="146">
        <f t="shared" ref="G53:R53" si="9">+G10-G29</f>
        <v>-27777068.219999999</v>
      </c>
      <c r="H53" s="146">
        <f t="shared" si="9"/>
        <v>-26992063.559999999</v>
      </c>
      <c r="I53" s="146">
        <f t="shared" si="9"/>
        <v>31576427.010000002</v>
      </c>
      <c r="J53" s="146">
        <f t="shared" si="9"/>
        <v>-22740227.779999901</v>
      </c>
      <c r="K53" s="146">
        <f t="shared" si="9"/>
        <v>7894892.4199999897</v>
      </c>
      <c r="L53" s="146">
        <f t="shared" si="9"/>
        <v>-22819654.030000001</v>
      </c>
      <c r="M53" s="146">
        <f t="shared" si="9"/>
        <v>-12608211.5</v>
      </c>
      <c r="N53" s="146">
        <f t="shared" si="9"/>
        <v>46154527.249999903</v>
      </c>
      <c r="O53" s="146">
        <f t="shared" si="9"/>
        <v>-12940477.789999999</v>
      </c>
      <c r="P53" s="146">
        <f t="shared" si="9"/>
        <v>-19498784.690000001</v>
      </c>
      <c r="Q53" s="146">
        <f t="shared" si="9"/>
        <v>-39654274.560000002</v>
      </c>
      <c r="R53" s="146">
        <f t="shared" si="9"/>
        <v>-150955487.19999999</v>
      </c>
      <c r="S53" s="294">
        <f>SUM(G53:R53)</f>
        <v>-250360402.65000001</v>
      </c>
      <c r="T53" s="340">
        <f t="shared" si="3"/>
        <v>-4.3189705880577103</v>
      </c>
      <c r="V53" s="173"/>
    </row>
    <row r="54" spans="1:22">
      <c r="A54" s="136">
        <v>1001</v>
      </c>
      <c r="B54" s="598" t="str">
        <f>+VLOOKUP($A54,Master!$D$30:$G$226,4,FALSE)</f>
        <v>Primarni suficit/deficit</v>
      </c>
      <c r="C54" s="599"/>
      <c r="D54" s="599"/>
      <c r="E54" s="599"/>
      <c r="F54" s="599"/>
      <c r="G54" s="190">
        <f t="shared" ref="G54:R54" si="10">+G53+G36</f>
        <v>-23922305.969999999</v>
      </c>
      <c r="H54" s="190">
        <f t="shared" si="10"/>
        <v>-25721719.370000001</v>
      </c>
      <c r="I54" s="190">
        <f t="shared" si="10"/>
        <v>32525509.57</v>
      </c>
      <c r="J54" s="190">
        <f t="shared" si="10"/>
        <v>4455393.2900000904</v>
      </c>
      <c r="K54" s="190">
        <f t="shared" si="10"/>
        <v>12483366.199999999</v>
      </c>
      <c r="L54" s="190">
        <f t="shared" si="10"/>
        <v>-21602855</v>
      </c>
      <c r="M54" s="190">
        <f t="shared" si="10"/>
        <v>-8824148.6799999997</v>
      </c>
      <c r="N54" s="190">
        <f t="shared" si="10"/>
        <v>47485591.829999901</v>
      </c>
      <c r="O54" s="190">
        <f t="shared" si="10"/>
        <v>624055.04000003799</v>
      </c>
      <c r="P54" s="190">
        <f t="shared" si="10"/>
        <v>-18651652.41</v>
      </c>
      <c r="Q54" s="190">
        <f t="shared" si="10"/>
        <v>-29405799.02</v>
      </c>
      <c r="R54" s="190">
        <f t="shared" si="10"/>
        <v>-127849878.23</v>
      </c>
      <c r="S54" s="294">
        <f t="shared" si="4"/>
        <v>-158404442.75</v>
      </c>
      <c r="T54" s="340">
        <f t="shared" si="3"/>
        <v>-2.7326371183838698</v>
      </c>
      <c r="V54" s="173"/>
    </row>
    <row r="55" spans="1:22">
      <c r="A55" s="136">
        <v>46</v>
      </c>
      <c r="B55" s="612" t="str">
        <f>+VLOOKUP($A55,Master!$D$30:$G$226,4,FALSE)</f>
        <v>Otplata dugova</v>
      </c>
      <c r="C55" s="613"/>
      <c r="D55" s="613"/>
      <c r="E55" s="613"/>
      <c r="F55" s="613"/>
      <c r="G55" s="174">
        <f t="shared" ref="G55:R55" si="11">+SUM(G56:G57)</f>
        <v>28431258.969999999</v>
      </c>
      <c r="H55" s="174">
        <f t="shared" si="11"/>
        <v>14209001.130000001</v>
      </c>
      <c r="I55" s="174">
        <f t="shared" si="11"/>
        <v>11671682.99</v>
      </c>
      <c r="J55" s="159">
        <f t="shared" si="11"/>
        <v>57474225.630000003</v>
      </c>
      <c r="K55" s="174">
        <f t="shared" si="11"/>
        <v>39081986.149999999</v>
      </c>
      <c r="L55" s="174">
        <f t="shared" si="11"/>
        <v>11628176.57</v>
      </c>
      <c r="M55" s="174">
        <f t="shared" si="11"/>
        <v>30399609.420000002</v>
      </c>
      <c r="N55" s="174">
        <f t="shared" si="11"/>
        <v>13945467.43</v>
      </c>
      <c r="O55" s="174">
        <f t="shared" si="11"/>
        <v>10059315</v>
      </c>
      <c r="P55" s="174">
        <f t="shared" si="11"/>
        <v>6058280.0800000001</v>
      </c>
      <c r="Q55" s="174">
        <f t="shared" si="11"/>
        <v>57191963.920000002</v>
      </c>
      <c r="R55" s="174">
        <f t="shared" si="11"/>
        <v>11425725.890000001</v>
      </c>
      <c r="S55" s="296">
        <f t="shared" si="4"/>
        <v>291576693.18000001</v>
      </c>
      <c r="T55" s="341">
        <f t="shared" si="3"/>
        <v>5.0299933562898298</v>
      </c>
      <c r="V55" s="173"/>
    </row>
    <row r="56" spans="1:22">
      <c r="A56" s="136">
        <v>4611</v>
      </c>
      <c r="B56" s="594" t="str">
        <f>+VLOOKUP($A56,Master!$D$30:$G$226,4,FALSE)</f>
        <v>Otplata hartija od vrijednosti i kredita rezidentima</v>
      </c>
      <c r="C56" s="595"/>
      <c r="D56" s="595"/>
      <c r="E56" s="595"/>
      <c r="F56" s="595"/>
      <c r="G56" s="176">
        <v>2390495.08</v>
      </c>
      <c r="H56" s="176">
        <v>3087670.22</v>
      </c>
      <c r="I56" s="176">
        <v>2560106.65</v>
      </c>
      <c r="J56" s="176">
        <v>4658647.91</v>
      </c>
      <c r="K56" s="176">
        <v>8572190.1199999992</v>
      </c>
      <c r="L56" s="176">
        <v>713784.35</v>
      </c>
      <c r="M56" s="176">
        <v>2437648.0699999998</v>
      </c>
      <c r="N56" s="176">
        <v>2374633.7599999998</v>
      </c>
      <c r="O56" s="176">
        <v>722146.47</v>
      </c>
      <c r="P56" s="176">
        <v>2442731.2000000002</v>
      </c>
      <c r="Q56" s="176">
        <v>9226106.3599999994</v>
      </c>
      <c r="R56" s="176">
        <v>1337203.54</v>
      </c>
      <c r="S56" s="298">
        <f t="shared" si="4"/>
        <v>40523363.729999997</v>
      </c>
      <c r="T56" s="342">
        <f t="shared" si="3"/>
        <v>0.69906907892183201</v>
      </c>
      <c r="V56" s="173"/>
    </row>
    <row r="57" spans="1:22">
      <c r="A57" s="136">
        <v>4612</v>
      </c>
      <c r="B57" s="582" t="str">
        <f>+VLOOKUP($A57,Master!$D$30:$G$226,4,FALSE)</f>
        <v>Otplata hartija od vrijednosti i kredita nerezidentima</v>
      </c>
      <c r="C57" s="583"/>
      <c r="D57" s="583"/>
      <c r="E57" s="583"/>
      <c r="F57" s="583"/>
      <c r="G57" s="176">
        <v>26040763.890000001</v>
      </c>
      <c r="H57" s="176">
        <v>11121330.91</v>
      </c>
      <c r="I57" s="176">
        <v>9111576.3399999999</v>
      </c>
      <c r="J57" s="176">
        <v>52815577.719999999</v>
      </c>
      <c r="K57" s="176">
        <v>30509796.030000001</v>
      </c>
      <c r="L57" s="176">
        <v>10914392.220000001</v>
      </c>
      <c r="M57" s="176">
        <v>27961961.350000001</v>
      </c>
      <c r="N57" s="176">
        <v>11570833.67</v>
      </c>
      <c r="O57" s="176">
        <v>9337168.5299999993</v>
      </c>
      <c r="P57" s="176">
        <v>3615548.88</v>
      </c>
      <c r="Q57" s="176">
        <v>47965857.560000002</v>
      </c>
      <c r="R57" s="176">
        <v>10088522.35</v>
      </c>
      <c r="S57" s="298">
        <f t="shared" si="4"/>
        <v>251053329.44999999</v>
      </c>
      <c r="T57" s="342">
        <f t="shared" si="3"/>
        <v>4.3309242773680001</v>
      </c>
      <c r="V57" s="173"/>
    </row>
    <row r="58" spans="1:22">
      <c r="A58" s="136">
        <v>4418</v>
      </c>
      <c r="B58" s="572" t="str">
        <f>+VLOOKUP($A58,Master!$D$30:$G$226,4,FALSE)</f>
        <v>Izdaci za kupovinu hartija od vrijednosti</v>
      </c>
      <c r="C58" s="573"/>
      <c r="D58" s="573"/>
      <c r="E58" s="573"/>
      <c r="F58" s="573"/>
      <c r="G58" s="300">
        <v>0</v>
      </c>
      <c r="H58" s="300">
        <v>0</v>
      </c>
      <c r="I58" s="300">
        <v>0</v>
      </c>
      <c r="J58" s="300">
        <v>0</v>
      </c>
      <c r="K58" s="300">
        <v>0</v>
      </c>
      <c r="L58" s="300">
        <v>0</v>
      </c>
      <c r="M58" s="300">
        <v>0</v>
      </c>
      <c r="N58" s="300">
        <v>0</v>
      </c>
      <c r="O58" s="300">
        <v>14999998.93</v>
      </c>
      <c r="P58" s="300">
        <v>0</v>
      </c>
      <c r="Q58" s="300">
        <v>572321.46</v>
      </c>
      <c r="R58" s="300">
        <v>12120441.43</v>
      </c>
      <c r="S58" s="296">
        <f>SUM(G58:R58)</f>
        <v>27692761.82</v>
      </c>
      <c r="T58" s="343">
        <f t="shared" si="3"/>
        <v>0.47772819717769999</v>
      </c>
      <c r="V58" s="173"/>
    </row>
    <row r="59" spans="1:22">
      <c r="A59" s="145">
        <v>451</v>
      </c>
      <c r="B59" s="572" t="str">
        <f>+VLOOKUP($A59,Master!$D$30:$G$226,4,FALSE)</f>
        <v>Pozajmice i krediti</v>
      </c>
      <c r="C59" s="573"/>
      <c r="D59" s="573"/>
      <c r="E59" s="573"/>
      <c r="F59" s="573"/>
      <c r="G59" s="300">
        <v>5063275.62</v>
      </c>
      <c r="H59" s="300">
        <v>1133077.69</v>
      </c>
      <c r="I59" s="300">
        <v>130819.33</v>
      </c>
      <c r="J59" s="300">
        <v>464635.33</v>
      </c>
      <c r="K59" s="300">
        <v>722142.79</v>
      </c>
      <c r="L59" s="300">
        <v>956574.97</v>
      </c>
      <c r="M59" s="300">
        <v>271871.64</v>
      </c>
      <c r="N59" s="300">
        <v>12519446.189999999</v>
      </c>
      <c r="O59" s="300">
        <v>36205.230000000003</v>
      </c>
      <c r="P59" s="300">
        <v>1061879.26</v>
      </c>
      <c r="Q59" s="300">
        <v>245090.2</v>
      </c>
      <c r="R59" s="300">
        <v>516876.49</v>
      </c>
      <c r="S59" s="296">
        <f>SUM(G59:R59)</f>
        <v>23121894.739999998</v>
      </c>
      <c r="T59" s="343"/>
      <c r="V59" s="173"/>
    </row>
    <row r="60" spans="1:22">
      <c r="A60" s="136">
        <v>1002</v>
      </c>
      <c r="B60" s="592" t="str">
        <f>+VLOOKUP($A60,Master!$D$30:$G$226,4,FALSE)</f>
        <v>Nedostajuća sredstva</v>
      </c>
      <c r="C60" s="593"/>
      <c r="D60" s="593"/>
      <c r="E60" s="593"/>
      <c r="F60" s="593"/>
      <c r="G60" s="197">
        <f>+G53-G55-G58-G59</f>
        <v>-61271602.810000002</v>
      </c>
      <c r="H60" s="197">
        <f t="shared" ref="H60:S60" si="12">+H53-H55-H58-H59</f>
        <v>-42334142.380000003</v>
      </c>
      <c r="I60" s="197">
        <f t="shared" si="12"/>
        <v>19773924.690000001</v>
      </c>
      <c r="J60" s="197">
        <f t="shared" si="12"/>
        <v>-80679088.739999905</v>
      </c>
      <c r="K60" s="197">
        <f t="shared" si="12"/>
        <v>-31909236.52</v>
      </c>
      <c r="L60" s="197">
        <f t="shared" si="12"/>
        <v>-35404405.57</v>
      </c>
      <c r="M60" s="197">
        <f t="shared" si="12"/>
        <v>-43279692.560000002</v>
      </c>
      <c r="N60" s="197">
        <f t="shared" si="12"/>
        <v>19689613.629999898</v>
      </c>
      <c r="O60" s="197">
        <f t="shared" si="12"/>
        <v>-38035996.950000003</v>
      </c>
      <c r="P60" s="197">
        <f t="shared" si="12"/>
        <v>-26618944.030000001</v>
      </c>
      <c r="Q60" s="197">
        <f t="shared" si="12"/>
        <v>-97663650.140000001</v>
      </c>
      <c r="R60" s="197">
        <f t="shared" si="12"/>
        <v>-175018531.00999999</v>
      </c>
      <c r="S60" s="296">
        <f t="shared" si="12"/>
        <v>-592751752.38999999</v>
      </c>
      <c r="T60" s="344">
        <f t="shared" si="3"/>
        <v>-10.2255682507869</v>
      </c>
      <c r="V60" s="173"/>
    </row>
    <row r="61" spans="1:22">
      <c r="A61" s="136">
        <v>1003</v>
      </c>
      <c r="B61" s="570" t="str">
        <f>+VLOOKUP($A61,Master!$D$30:$G$226,4,FALSE)</f>
        <v>Finansiranje</v>
      </c>
      <c r="C61" s="571"/>
      <c r="D61" s="571"/>
      <c r="E61" s="571"/>
      <c r="F61" s="571"/>
      <c r="G61" s="146">
        <f>+SUM(G62:G66)</f>
        <v>61271602.810000002</v>
      </c>
      <c r="H61" s="146">
        <f t="shared" ref="H61:R61" si="13">+SUM(H62:H66)</f>
        <v>42334142.380000003</v>
      </c>
      <c r="I61" s="146">
        <f t="shared" si="13"/>
        <v>-19773924.690000001</v>
      </c>
      <c r="J61" s="146">
        <f t="shared" si="13"/>
        <v>80679088.739999905</v>
      </c>
      <c r="K61" s="146">
        <f t="shared" si="13"/>
        <v>31909236.52</v>
      </c>
      <c r="L61" s="146">
        <f t="shared" si="13"/>
        <v>35404405.57</v>
      </c>
      <c r="M61" s="146">
        <f t="shared" si="13"/>
        <v>43279692.560000002</v>
      </c>
      <c r="N61" s="146">
        <f t="shared" si="13"/>
        <v>-19689613.629999898</v>
      </c>
      <c r="O61" s="146">
        <f t="shared" si="13"/>
        <v>38035996.950000003</v>
      </c>
      <c r="P61" s="146">
        <f t="shared" si="13"/>
        <v>26618944.030000001</v>
      </c>
      <c r="Q61" s="146">
        <f t="shared" si="13"/>
        <v>97663650.140000001</v>
      </c>
      <c r="R61" s="146">
        <f t="shared" si="13"/>
        <v>175018531.00999999</v>
      </c>
      <c r="S61" s="305">
        <f t="shared" si="4"/>
        <v>592751752.38999999</v>
      </c>
      <c r="T61" s="345">
        <f t="shared" si="3"/>
        <v>10.2255682507869</v>
      </c>
      <c r="V61" s="173"/>
    </row>
    <row r="62" spans="1:22">
      <c r="A62" s="136">
        <v>7511</v>
      </c>
      <c r="B62" s="594" t="str">
        <f>+VLOOKUP($A62,Master!$D$30:$G$226,4,FALSE)</f>
        <v>Pozajmice i krediti od domaćih izvora</v>
      </c>
      <c r="C62" s="595"/>
      <c r="D62" s="595"/>
      <c r="E62" s="595"/>
      <c r="F62" s="595"/>
      <c r="G62" s="176">
        <v>0</v>
      </c>
      <c r="H62" s="176">
        <v>0</v>
      </c>
      <c r="I62" s="176">
        <v>0</v>
      </c>
      <c r="J62" s="176">
        <v>0</v>
      </c>
      <c r="K62" s="176">
        <v>0</v>
      </c>
      <c r="L62" s="176">
        <v>0</v>
      </c>
      <c r="M62" s="176">
        <v>0</v>
      </c>
      <c r="N62" s="176">
        <v>0</v>
      </c>
      <c r="O62" s="176">
        <v>0</v>
      </c>
      <c r="P62" s="176">
        <v>0</v>
      </c>
      <c r="Q62" s="176">
        <v>52000000</v>
      </c>
      <c r="R62" s="176">
        <v>53000000</v>
      </c>
      <c r="S62" s="298">
        <f t="shared" si="4"/>
        <v>105000000</v>
      </c>
      <c r="T62" s="342">
        <f t="shared" si="3"/>
        <v>1.8113563764316001</v>
      </c>
      <c r="V62" s="173"/>
    </row>
    <row r="63" spans="1:22">
      <c r="A63" s="136">
        <v>7512</v>
      </c>
      <c r="B63" s="594" t="str">
        <f>+VLOOKUP($A63,Master!$D$30:$G$226,4,FALSE)</f>
        <v>Pozajmice i krediti od inostranih izvora</v>
      </c>
      <c r="C63" s="595"/>
      <c r="D63" s="595"/>
      <c r="E63" s="595"/>
      <c r="F63" s="595"/>
      <c r="G63" s="176">
        <v>17854744.760000002</v>
      </c>
      <c r="H63" s="176">
        <v>11882727.800000001</v>
      </c>
      <c r="I63" s="176">
        <v>1402734.23</v>
      </c>
      <c r="J63" s="176">
        <v>8517591.6899999995</v>
      </c>
      <c r="K63" s="176">
        <v>11751788.779999999</v>
      </c>
      <c r="L63" s="176">
        <v>22366566.559999999</v>
      </c>
      <c r="M63" s="176">
        <v>8724081.3399999999</v>
      </c>
      <c r="N63" s="176">
        <v>15376543.26</v>
      </c>
      <c r="O63" s="176">
        <v>2997713.2</v>
      </c>
      <c r="P63" s="176">
        <v>885932.07</v>
      </c>
      <c r="Q63" s="176">
        <v>1836262.97</v>
      </c>
      <c r="R63" s="176">
        <v>7590650.9500000002</v>
      </c>
      <c r="S63" s="298">
        <f t="shared" si="4"/>
        <v>111187337.61</v>
      </c>
      <c r="T63" s="342">
        <f t="shared" si="3"/>
        <v>1.9180942186507299</v>
      </c>
      <c r="V63" s="173"/>
    </row>
    <row r="64" spans="1:22">
      <c r="A64" s="136">
        <v>72</v>
      </c>
      <c r="B64" s="582" t="str">
        <f>+VLOOKUP($A64,Master!$D$30:$G$226,4,FALSE)</f>
        <v>Primici od prodaje imovine</v>
      </c>
      <c r="C64" s="583"/>
      <c r="D64" s="583"/>
      <c r="E64" s="583"/>
      <c r="F64" s="583"/>
      <c r="G64" s="176">
        <v>710212.98</v>
      </c>
      <c r="H64" s="176">
        <v>70539.22</v>
      </c>
      <c r="I64" s="176">
        <v>383792.48</v>
      </c>
      <c r="J64" s="176">
        <v>766267.74</v>
      </c>
      <c r="K64" s="176">
        <v>26413.63</v>
      </c>
      <c r="L64" s="176">
        <v>243495.39</v>
      </c>
      <c r="M64" s="176">
        <v>209628.7</v>
      </c>
      <c r="N64" s="176">
        <v>313064.5</v>
      </c>
      <c r="O64" s="176">
        <v>705089.56</v>
      </c>
      <c r="P64" s="176">
        <v>574867.06000000006</v>
      </c>
      <c r="Q64" s="176">
        <v>363375.9</v>
      </c>
      <c r="R64" s="176">
        <v>148667.54</v>
      </c>
      <c r="S64" s="298">
        <f t="shared" si="4"/>
        <v>4515414.7</v>
      </c>
      <c r="T64" s="342">
        <f t="shared" si="3"/>
        <v>7.7895478181694899E-2</v>
      </c>
      <c r="V64" s="173"/>
    </row>
    <row r="65" spans="1:22">
      <c r="A65" s="136">
        <v>73</v>
      </c>
      <c r="B65" s="582" t="s">
        <v>20</v>
      </c>
      <c r="C65" s="583"/>
      <c r="D65" s="583"/>
      <c r="E65" s="583"/>
      <c r="F65" s="583"/>
      <c r="G65" s="176">
        <v>78071.73</v>
      </c>
      <c r="H65" s="176">
        <v>522875.5</v>
      </c>
      <c r="I65" s="176">
        <v>671874.17</v>
      </c>
      <c r="J65" s="176">
        <v>2383498.4</v>
      </c>
      <c r="K65" s="176">
        <v>848688.86</v>
      </c>
      <c r="L65" s="176">
        <v>3642096.41</v>
      </c>
      <c r="M65" s="176">
        <v>215690.69</v>
      </c>
      <c r="N65" s="176">
        <v>2452206.16</v>
      </c>
      <c r="O65" s="176">
        <v>1142900.81</v>
      </c>
      <c r="P65" s="176">
        <v>327625.15999999997</v>
      </c>
      <c r="Q65" s="176">
        <v>947680.03</v>
      </c>
      <c r="R65" s="176">
        <v>1811357.71</v>
      </c>
      <c r="S65" s="298">
        <f t="shared" si="4"/>
        <v>15044565.630000001</v>
      </c>
      <c r="T65" s="342">
        <f t="shared" si="3"/>
        <v>0.259533998900421</v>
      </c>
      <c r="V65" s="173"/>
    </row>
    <row r="66" spans="1:22">
      <c r="A66" s="136">
        <v>1004</v>
      </c>
      <c r="B66" s="202" t="str">
        <f>+VLOOKUP($A66,Master!$D$30:$G$226,4,FALSE)</f>
        <v>Povećanje / smanjenje depozita</v>
      </c>
      <c r="C66" s="203"/>
      <c r="D66" s="203"/>
      <c r="E66" s="203"/>
      <c r="F66" s="203"/>
      <c r="G66" s="204">
        <f>-G60-SUM(G62:G65)</f>
        <v>42628573.340000004</v>
      </c>
      <c r="H66" s="204">
        <f t="shared" ref="H66:S66" si="14">-H60-SUM(H62:H65)</f>
        <v>29857999.859999999</v>
      </c>
      <c r="I66" s="204">
        <f t="shared" si="14"/>
        <v>-22232325.57</v>
      </c>
      <c r="J66" s="204">
        <f t="shared" si="14"/>
        <v>69011730.909999907</v>
      </c>
      <c r="K66" s="204">
        <f t="shared" si="14"/>
        <v>19282345.25</v>
      </c>
      <c r="L66" s="204">
        <f t="shared" si="14"/>
        <v>9152247.2100000307</v>
      </c>
      <c r="M66" s="204">
        <f t="shared" si="14"/>
        <v>34130291.829999998</v>
      </c>
      <c r="N66" s="204">
        <f t="shared" si="14"/>
        <v>-37831427.5499999</v>
      </c>
      <c r="O66" s="204">
        <f t="shared" si="14"/>
        <v>33190293.379999999</v>
      </c>
      <c r="P66" s="204">
        <f t="shared" si="14"/>
        <v>24830519.739999998</v>
      </c>
      <c r="Q66" s="204">
        <f t="shared" si="14"/>
        <v>42516331.240000002</v>
      </c>
      <c r="R66" s="204">
        <f t="shared" si="14"/>
        <v>112467854.81</v>
      </c>
      <c r="S66" s="204">
        <f t="shared" si="14"/>
        <v>357004434.44999999</v>
      </c>
      <c r="T66" s="347">
        <f t="shared" si="3"/>
        <v>6.1586881786225103</v>
      </c>
      <c r="V66" s="173"/>
    </row>
    <row r="67" spans="1:22">
      <c r="R67" s="207"/>
      <c r="V67" s="173"/>
    </row>
    <row r="68" spans="1:22">
      <c r="V68" s="173"/>
    </row>
    <row r="69" spans="1:22" hidden="1">
      <c r="G69" s="172"/>
      <c r="V69" s="173"/>
    </row>
    <row r="70" spans="1:22" ht="9" hidden="1" customHeight="1">
      <c r="V70" s="173"/>
    </row>
    <row r="71" spans="1:22" hidden="1">
      <c r="V71" s="173"/>
    </row>
    <row r="72" spans="1:22" hidden="1">
      <c r="V72" s="173"/>
    </row>
    <row r="73" spans="1:22" hidden="1">
      <c r="V73" s="173"/>
    </row>
    <row r="74" spans="1:22" hidden="1">
      <c r="V74" s="173"/>
    </row>
    <row r="75" spans="1:22" hidden="1">
      <c r="V75" s="173"/>
    </row>
    <row r="76" spans="1:22" hidden="1">
      <c r="V76" s="173"/>
    </row>
    <row r="77" spans="1:22">
      <c r="V77" s="173"/>
    </row>
    <row r="79" spans="1:22">
      <c r="Q79" s="172"/>
    </row>
    <row r="81" spans="1:26"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</row>
    <row r="82" spans="1:26">
      <c r="G82" s="210" t="str">
        <f t="shared" ref="G82:R82" si="15">+CONCATENATE(G6,"p")</f>
        <v>2022-01p</v>
      </c>
      <c r="H82" s="210" t="str">
        <f t="shared" si="15"/>
        <v>2022-02p</v>
      </c>
      <c r="I82" s="210" t="str">
        <f t="shared" si="15"/>
        <v>2022-03p</v>
      </c>
      <c r="J82" s="210" t="str">
        <f t="shared" si="15"/>
        <v>2022-04p</v>
      </c>
      <c r="K82" s="210" t="str">
        <f t="shared" si="15"/>
        <v>2022-05p</v>
      </c>
      <c r="L82" s="210" t="str">
        <f t="shared" si="15"/>
        <v>2022-06p</v>
      </c>
      <c r="M82" s="210" t="str">
        <f t="shared" si="15"/>
        <v>2022-07p</v>
      </c>
      <c r="N82" s="210" t="str">
        <f t="shared" si="15"/>
        <v>2022-08p</v>
      </c>
      <c r="O82" s="210" t="str">
        <f t="shared" si="15"/>
        <v>2022-09p</v>
      </c>
      <c r="P82" s="210" t="str">
        <f t="shared" si="15"/>
        <v>2022-10p</v>
      </c>
      <c r="Q82" s="210" t="str">
        <f t="shared" si="15"/>
        <v>2022-11p</v>
      </c>
      <c r="R82" s="210" t="str">
        <f t="shared" si="15"/>
        <v>2022-12p</v>
      </c>
    </row>
    <row r="83" spans="1:26" ht="15.75" customHeight="1">
      <c r="B83" s="637" t="str">
        <f>+Master!G253</f>
        <v>Plan ostvarenja budžeta</v>
      </c>
      <c r="C83" s="638"/>
      <c r="D83" s="638"/>
      <c r="E83" s="638"/>
      <c r="F83" s="638"/>
      <c r="G83" s="614">
        <v>2022</v>
      </c>
      <c r="H83" s="615"/>
      <c r="I83" s="615"/>
      <c r="J83" s="615"/>
      <c r="K83" s="615"/>
      <c r="L83" s="615"/>
      <c r="M83" s="615"/>
      <c r="N83" s="615"/>
      <c r="O83" s="615"/>
      <c r="P83" s="615"/>
      <c r="Q83" s="615"/>
      <c r="R83" s="616"/>
      <c r="S83" s="211" t="str">
        <f>+S7</f>
        <v>BDP</v>
      </c>
      <c r="T83" s="212">
        <v>5700400000</v>
      </c>
    </row>
    <row r="84" spans="1:26" ht="15.75" customHeight="1">
      <c r="B84" s="639"/>
      <c r="C84" s="640"/>
      <c r="D84" s="640"/>
      <c r="E84" s="640"/>
      <c r="F84" s="641"/>
      <c r="G84" s="179" t="str">
        <f t="shared" ref="G84:R84" si="16">+G8</f>
        <v>Januar</v>
      </c>
      <c r="H84" s="179" t="str">
        <f t="shared" si="16"/>
        <v>Februar</v>
      </c>
      <c r="I84" s="179" t="str">
        <f t="shared" si="16"/>
        <v>Mart</v>
      </c>
      <c r="J84" s="179" t="str">
        <f t="shared" si="16"/>
        <v>April</v>
      </c>
      <c r="K84" s="179" t="str">
        <f t="shared" si="16"/>
        <v>Maj</v>
      </c>
      <c r="L84" s="179" t="str">
        <f t="shared" si="16"/>
        <v>Jun</v>
      </c>
      <c r="M84" s="179" t="str">
        <f t="shared" si="16"/>
        <v>Jul</v>
      </c>
      <c r="N84" s="179" t="str">
        <f t="shared" si="16"/>
        <v>Avgust</v>
      </c>
      <c r="O84" s="179" t="str">
        <f t="shared" si="16"/>
        <v>Septembar</v>
      </c>
      <c r="P84" s="179" t="str">
        <f t="shared" si="16"/>
        <v>Oktobar</v>
      </c>
      <c r="Q84" s="179" t="str">
        <f t="shared" si="16"/>
        <v>Novembar</v>
      </c>
      <c r="R84" s="179" t="str">
        <f t="shared" si="16"/>
        <v>Decembar</v>
      </c>
      <c r="S84" s="614" t="str">
        <f>+Master!G247</f>
        <v>Jan - Dec</v>
      </c>
      <c r="T84" s="616">
        <f>+T8</f>
        <v>0</v>
      </c>
    </row>
    <row r="85" spans="1:26">
      <c r="B85" s="642"/>
      <c r="C85" s="643"/>
      <c r="D85" s="643"/>
      <c r="E85" s="643"/>
      <c r="F85" s="644"/>
      <c r="G85" s="213" t="s">
        <v>2</v>
      </c>
      <c r="H85" s="213" t="s">
        <v>2</v>
      </c>
      <c r="I85" s="213" t="s">
        <v>2</v>
      </c>
      <c r="J85" s="213" t="s">
        <v>2</v>
      </c>
      <c r="K85" s="213" t="s">
        <v>2</v>
      </c>
      <c r="L85" s="213" t="s">
        <v>2</v>
      </c>
      <c r="M85" s="213" t="s">
        <v>2</v>
      </c>
      <c r="N85" s="213" t="s">
        <v>2</v>
      </c>
      <c r="O85" s="213" t="s">
        <v>2</v>
      </c>
      <c r="P85" s="213" t="s">
        <v>2</v>
      </c>
      <c r="Q85" s="213" t="s">
        <v>2</v>
      </c>
      <c r="R85" s="213" t="s">
        <v>2</v>
      </c>
      <c r="S85" s="214" t="s">
        <v>2</v>
      </c>
      <c r="T85" s="215" t="str">
        <f>+T9</f>
        <v>% BDP</v>
      </c>
    </row>
    <row r="86" spans="1:26">
      <c r="A86" s="216" t="str">
        <f t="shared" ref="A86:A117" si="17">+CONCATENATE(A10,"p")</f>
        <v>7p</v>
      </c>
      <c r="B86" s="617" t="str">
        <f>+VLOOKUP(LEFT($A86,LEN(A86)-1)*1,Master!$D$30:$G$226,4,FALSE)</f>
        <v>Prihodi budžeta</v>
      </c>
      <c r="C86" s="618"/>
      <c r="D86" s="618"/>
      <c r="E86" s="618"/>
      <c r="F86" s="618"/>
      <c r="G86" s="217">
        <f t="shared" ref="G86:R86" si="18">+G87+G95+SUM(G100:G104)</f>
        <v>107815206.7</v>
      </c>
      <c r="H86" s="217">
        <f t="shared" si="18"/>
        <v>124649774.65000001</v>
      </c>
      <c r="I86" s="217">
        <f t="shared" si="18"/>
        <v>184180987.21000001</v>
      </c>
      <c r="J86" s="217">
        <f t="shared" si="18"/>
        <v>181957324.31999999</v>
      </c>
      <c r="K86" s="217">
        <f t="shared" si="18"/>
        <v>154730235.27000001</v>
      </c>
      <c r="L86" s="217">
        <f t="shared" si="18"/>
        <v>169061326.09</v>
      </c>
      <c r="M86" s="217">
        <f t="shared" si="18"/>
        <v>165802775.71000001</v>
      </c>
      <c r="N86" s="217">
        <f t="shared" si="18"/>
        <v>194390474.27000001</v>
      </c>
      <c r="O86" s="217">
        <f t="shared" si="18"/>
        <v>175603806.03</v>
      </c>
      <c r="P86" s="217">
        <f t="shared" si="18"/>
        <v>140445093.06999999</v>
      </c>
      <c r="Q86" s="217">
        <f t="shared" si="18"/>
        <v>136281404.65000001</v>
      </c>
      <c r="R86" s="217">
        <f t="shared" si="18"/>
        <v>196108732.88999999</v>
      </c>
      <c r="S86" s="309">
        <f>+SUM(G86:R86)</f>
        <v>1931027140.8599999</v>
      </c>
      <c r="T86" s="348">
        <f>+S86/$T$83*100</f>
        <v>33.875291924426399</v>
      </c>
      <c r="U86" s="129"/>
    </row>
    <row r="87" spans="1:26">
      <c r="A87" s="216" t="str">
        <f t="shared" si="17"/>
        <v>711p</v>
      </c>
      <c r="B87" s="619" t="str">
        <f>+VLOOKUP(LEFT($A87,LEN(A87)-1)*1,Master!$D$30:$G$226,4,FALSE)</f>
        <v>Porezi</v>
      </c>
      <c r="C87" s="620"/>
      <c r="D87" s="620"/>
      <c r="E87" s="620"/>
      <c r="F87" s="620"/>
      <c r="G87" s="220">
        <f t="shared" ref="G87:R87" si="19">+SUM(G88:G94)</f>
        <v>80559495.530000001</v>
      </c>
      <c r="H87" s="220">
        <f t="shared" si="19"/>
        <v>83215985.099999994</v>
      </c>
      <c r="I87" s="220">
        <f t="shared" si="19"/>
        <v>136363333.31999999</v>
      </c>
      <c r="J87" s="220">
        <f t="shared" si="19"/>
        <v>133978505.54000001</v>
      </c>
      <c r="K87" s="220">
        <f t="shared" si="19"/>
        <v>112630389.3</v>
      </c>
      <c r="L87" s="220">
        <f t="shared" si="19"/>
        <v>115551273.18000001</v>
      </c>
      <c r="M87" s="220">
        <f t="shared" si="19"/>
        <v>118591394.48</v>
      </c>
      <c r="N87" s="220">
        <f t="shared" si="19"/>
        <v>138239036.16</v>
      </c>
      <c r="O87" s="220">
        <f t="shared" si="19"/>
        <v>121261181.34</v>
      </c>
      <c r="P87" s="220">
        <f t="shared" si="19"/>
        <v>82469774.326666698</v>
      </c>
      <c r="Q87" s="220">
        <f t="shared" si="19"/>
        <v>76569750.026666701</v>
      </c>
      <c r="R87" s="221">
        <f t="shared" si="19"/>
        <v>98169750.026666701</v>
      </c>
      <c r="S87" s="311">
        <f t="shared" ref="S87:S140" si="20">+SUM(G87:R87)</f>
        <v>1297599868.3299999</v>
      </c>
      <c r="T87" s="327">
        <f t="shared" ref="T87:T140" si="21">+S87/$T$83*100</f>
        <v>22.76331254526</v>
      </c>
      <c r="V87" s="172"/>
    </row>
    <row r="88" spans="1:26">
      <c r="A88" s="216" t="str">
        <f t="shared" si="17"/>
        <v>7111p</v>
      </c>
      <c r="B88" s="621" t="str">
        <f>+VLOOKUP(LEFT($A88,LEN(A88)-1)*1,Master!$D$30:$G$229,4,FALSE)</f>
        <v>Porez na dohodak fizičkih lica</v>
      </c>
      <c r="C88" s="622"/>
      <c r="D88" s="622"/>
      <c r="E88" s="622"/>
      <c r="F88" s="622"/>
      <c r="G88" s="225">
        <v>6139790.5700000003</v>
      </c>
      <c r="H88" s="225">
        <v>7672775.8099999996</v>
      </c>
      <c r="I88" s="225">
        <v>6664350.6399999997</v>
      </c>
      <c r="J88" s="225">
        <v>8050769.3899999997</v>
      </c>
      <c r="K88" s="225">
        <v>8176244.7699999996</v>
      </c>
      <c r="L88" s="225">
        <v>7322347.5800000001</v>
      </c>
      <c r="M88" s="225">
        <v>8156090.4900000002</v>
      </c>
      <c r="N88" s="225">
        <v>7377958</v>
      </c>
      <c r="O88" s="225">
        <v>5598868.9900000002</v>
      </c>
      <c r="P88" s="225">
        <v>7376898.6900000004</v>
      </c>
      <c r="Q88" s="225">
        <v>6576898.6900000004</v>
      </c>
      <c r="R88" s="225">
        <v>15676898.689999999</v>
      </c>
      <c r="S88" s="312">
        <f t="shared" si="20"/>
        <v>94789892.310000002</v>
      </c>
      <c r="T88" s="329">
        <f t="shared" si="21"/>
        <v>1.6628638746403801</v>
      </c>
      <c r="V88" s="172"/>
    </row>
    <row r="89" spans="1:26">
      <c r="A89" s="216" t="str">
        <f t="shared" si="17"/>
        <v>7112p</v>
      </c>
      <c r="B89" s="621" t="str">
        <f>+VLOOKUP(LEFT($A89,LEN(A89)-1)*1,Master!$D$30:$G$229,4,FALSE)</f>
        <v>Porez na dobit pravnih lica</v>
      </c>
      <c r="C89" s="622"/>
      <c r="D89" s="622"/>
      <c r="E89" s="622"/>
      <c r="F89" s="622"/>
      <c r="G89" s="225">
        <v>395935.5</v>
      </c>
      <c r="H89" s="225">
        <v>2173083.29</v>
      </c>
      <c r="I89" s="225">
        <v>38679260.32</v>
      </c>
      <c r="J89" s="225">
        <v>28771681.68</v>
      </c>
      <c r="K89" s="225">
        <v>2149499.0699999998</v>
      </c>
      <c r="L89" s="225">
        <v>3024620.31</v>
      </c>
      <c r="M89" s="225">
        <v>1873254.93</v>
      </c>
      <c r="N89" s="225">
        <v>2349199.71</v>
      </c>
      <c r="O89" s="225">
        <v>2622669.34</v>
      </c>
      <c r="P89" s="225">
        <v>448381.46333333798</v>
      </c>
      <c r="Q89" s="225">
        <v>348381.46333333798</v>
      </c>
      <c r="R89" s="225">
        <v>1448381.4633333399</v>
      </c>
      <c r="S89" s="312">
        <f t="shared" si="20"/>
        <v>84284348.540000007</v>
      </c>
      <c r="T89" s="329">
        <f t="shared" si="21"/>
        <v>1.4785690221738801</v>
      </c>
      <c r="V89" s="172"/>
    </row>
    <row r="90" spans="1:26">
      <c r="A90" s="216" t="str">
        <f t="shared" si="17"/>
        <v>7113p</v>
      </c>
      <c r="B90" s="621" t="str">
        <f>+VLOOKUP(LEFT($A90,LEN(A90)-1)*1,Master!$D$30:$G$229,4,FALSE)</f>
        <v>Porez na promet nepokretnosti</v>
      </c>
      <c r="C90" s="622"/>
      <c r="D90" s="622"/>
      <c r="E90" s="622"/>
      <c r="F90" s="622"/>
      <c r="G90" s="225">
        <v>146340.34</v>
      </c>
      <c r="H90" s="225">
        <v>168193.65</v>
      </c>
      <c r="I90" s="225">
        <v>233459.66</v>
      </c>
      <c r="J90" s="225">
        <v>245580.28</v>
      </c>
      <c r="K90" s="225">
        <v>189584.64000000001</v>
      </c>
      <c r="L90" s="225">
        <v>263126.03999999998</v>
      </c>
      <c r="M90" s="225">
        <v>180172.4</v>
      </c>
      <c r="N90" s="225">
        <v>55084.76</v>
      </c>
      <c r="O90" s="225">
        <v>0</v>
      </c>
      <c r="P90" s="225">
        <v>24.3</v>
      </c>
      <c r="Q90" s="225">
        <v>0</v>
      </c>
      <c r="R90" s="225">
        <v>0</v>
      </c>
      <c r="S90" s="312">
        <f t="shared" si="20"/>
        <v>1481566.07</v>
      </c>
      <c r="T90" s="329">
        <f t="shared" si="21"/>
        <v>2.5990563293803899E-2</v>
      </c>
      <c r="V90" s="172"/>
    </row>
    <row r="91" spans="1:26">
      <c r="A91" s="216" t="str">
        <f t="shared" si="17"/>
        <v>7114p</v>
      </c>
      <c r="B91" s="621" t="str">
        <f>+VLOOKUP(LEFT($A91,LEN(A91)-1)*1,Master!$D$30:$G$229,4,FALSE)</f>
        <v>Porez na dodatu vrijednost</v>
      </c>
      <c r="C91" s="622"/>
      <c r="D91" s="622"/>
      <c r="E91" s="622"/>
      <c r="F91" s="622"/>
      <c r="G91" s="225">
        <v>50270008.859999999</v>
      </c>
      <c r="H91" s="225">
        <v>54121445.460000001</v>
      </c>
      <c r="I91" s="225">
        <v>67019753.909999996</v>
      </c>
      <c r="J91" s="225">
        <v>73487462.640000001</v>
      </c>
      <c r="K91" s="225">
        <v>76474660.090000004</v>
      </c>
      <c r="L91" s="225">
        <v>79678383.590000004</v>
      </c>
      <c r="M91" s="225">
        <v>83883709.769999996</v>
      </c>
      <c r="N91" s="225">
        <v>95638013.599999994</v>
      </c>
      <c r="O91" s="225">
        <v>84609670.859999999</v>
      </c>
      <c r="P91" s="225">
        <v>49878315.990000002</v>
      </c>
      <c r="Q91" s="225">
        <v>44878315.990000002</v>
      </c>
      <c r="R91" s="225">
        <v>54878315.990000002</v>
      </c>
      <c r="S91" s="312">
        <f t="shared" si="20"/>
        <v>814818056.75</v>
      </c>
      <c r="T91" s="329">
        <f t="shared" si="21"/>
        <v>14.294050535927299</v>
      </c>
      <c r="V91" s="172"/>
    </row>
    <row r="92" spans="1:26">
      <c r="A92" s="216" t="str">
        <f t="shared" si="17"/>
        <v>7115p</v>
      </c>
      <c r="B92" s="621" t="str">
        <f>+VLOOKUP(LEFT($A92,LEN(A92)-1)*1,Master!$D$30:$G$229,4,FALSE)</f>
        <v>Akcize</v>
      </c>
      <c r="C92" s="622"/>
      <c r="D92" s="622"/>
      <c r="E92" s="622"/>
      <c r="F92" s="622"/>
      <c r="G92" s="225">
        <v>21096875.199999999</v>
      </c>
      <c r="H92" s="225">
        <v>16062530.34</v>
      </c>
      <c r="I92" s="225">
        <v>19528829.140000001</v>
      </c>
      <c r="J92" s="225">
        <v>19259652.579999998</v>
      </c>
      <c r="K92" s="225">
        <v>21309575.899999999</v>
      </c>
      <c r="L92" s="225">
        <v>20484664.210000001</v>
      </c>
      <c r="M92" s="225">
        <v>19630528.800000001</v>
      </c>
      <c r="N92" s="225">
        <v>27418018.539999999</v>
      </c>
      <c r="O92" s="225">
        <v>23606498.559999999</v>
      </c>
      <c r="P92" s="225">
        <v>23617898.436666701</v>
      </c>
      <c r="Q92" s="225">
        <v>23617898.436666701</v>
      </c>
      <c r="R92" s="225">
        <v>25317898.436666701</v>
      </c>
      <c r="S92" s="312">
        <f t="shared" si="20"/>
        <v>260950868.58000001</v>
      </c>
      <c r="T92" s="329">
        <f t="shared" si="21"/>
        <v>4.5777641670759897</v>
      </c>
      <c r="V92" s="172"/>
      <c r="X92" s="224"/>
      <c r="Y92" s="224"/>
      <c r="Z92" s="224"/>
    </row>
    <row r="93" spans="1:26">
      <c r="A93" s="216" t="str">
        <f t="shared" si="17"/>
        <v>7116p</v>
      </c>
      <c r="B93" s="621" t="str">
        <f>+VLOOKUP(LEFT($A93,LEN(A93)-1)*1,Master!$D$30:$G$229,4,FALSE)</f>
        <v>Porez na međunarodnu trgovinu i transakcije</v>
      </c>
      <c r="C93" s="622"/>
      <c r="D93" s="622"/>
      <c r="E93" s="622"/>
      <c r="F93" s="622"/>
      <c r="G93" s="225">
        <v>1689510.83</v>
      </c>
      <c r="H93" s="225">
        <v>2149003.6</v>
      </c>
      <c r="I93" s="225">
        <v>3284454.25</v>
      </c>
      <c r="J93" s="225">
        <v>3111315.33</v>
      </c>
      <c r="K93" s="225">
        <v>3394780.34</v>
      </c>
      <c r="L93" s="225">
        <v>3720198.33</v>
      </c>
      <c r="M93" s="225">
        <v>3648629.78</v>
      </c>
      <c r="N93" s="225">
        <v>4253554.42</v>
      </c>
      <c r="O93" s="225">
        <v>3769936.82</v>
      </c>
      <c r="P93" s="225">
        <v>215355.99</v>
      </c>
      <c r="Q93" s="225">
        <v>215355.99</v>
      </c>
      <c r="R93" s="225">
        <v>215355.99</v>
      </c>
      <c r="S93" s="312">
        <f t="shared" si="20"/>
        <v>29667451.670000002</v>
      </c>
      <c r="T93" s="329">
        <f t="shared" si="21"/>
        <v>0.52044508578345405</v>
      </c>
      <c r="V93" s="172"/>
    </row>
    <row r="94" spans="1:26">
      <c r="A94" s="216" t="str">
        <f t="shared" si="17"/>
        <v>7118p</v>
      </c>
      <c r="B94" s="621" t="str">
        <f>+VLOOKUP(LEFT($A94,LEN(A94)-1)*1,Master!$D$30:$G$229,4,FALSE)</f>
        <v>Ostali državni porezi</v>
      </c>
      <c r="C94" s="622"/>
      <c r="D94" s="622"/>
      <c r="E94" s="622"/>
      <c r="F94" s="622"/>
      <c r="G94" s="225">
        <v>821034.23</v>
      </c>
      <c r="H94" s="225">
        <v>868952.95</v>
      </c>
      <c r="I94" s="225">
        <v>953225.4</v>
      </c>
      <c r="J94" s="225">
        <v>1052043.6399999999</v>
      </c>
      <c r="K94" s="225">
        <v>936044.49</v>
      </c>
      <c r="L94" s="225">
        <v>1057933.1200000001</v>
      </c>
      <c r="M94" s="225">
        <v>1219008.31</v>
      </c>
      <c r="N94" s="225">
        <v>1147207.1299999999</v>
      </c>
      <c r="O94" s="225">
        <v>1053536.77</v>
      </c>
      <c r="P94" s="225">
        <v>932899.45666666597</v>
      </c>
      <c r="Q94" s="225">
        <v>932899.45666666597</v>
      </c>
      <c r="R94" s="225">
        <v>632899.45666666597</v>
      </c>
      <c r="S94" s="312">
        <f t="shared" si="20"/>
        <v>11607684.41</v>
      </c>
      <c r="T94" s="329">
        <f t="shared" si="21"/>
        <v>0.203629296365167</v>
      </c>
      <c r="V94" s="172"/>
    </row>
    <row r="95" spans="1:26">
      <c r="A95" s="216" t="str">
        <f t="shared" si="17"/>
        <v>712p</v>
      </c>
      <c r="B95" s="623" t="str">
        <f>+VLOOKUP(LEFT($A95,LEN(A95)-1)*1,Master!$D$30:$G$229,4,FALSE)</f>
        <v>Doprinosi</v>
      </c>
      <c r="C95" s="624"/>
      <c r="D95" s="624"/>
      <c r="E95" s="624"/>
      <c r="F95" s="624"/>
      <c r="G95" s="228">
        <f>+SUM(G96:G99)</f>
        <v>11731802.16</v>
      </c>
      <c r="H95" s="228">
        <f t="shared" ref="H95:R95" si="22">+SUM(H96:H99)</f>
        <v>34984293.990000002</v>
      </c>
      <c r="I95" s="349">
        <f t="shared" si="22"/>
        <v>37056759.600000001</v>
      </c>
      <c r="J95" s="228">
        <f t="shared" si="22"/>
        <v>37592490.479999997</v>
      </c>
      <c r="K95" s="228">
        <f t="shared" si="22"/>
        <v>33463530.390000001</v>
      </c>
      <c r="L95" s="228">
        <f t="shared" si="22"/>
        <v>37796292.359999999</v>
      </c>
      <c r="M95" s="228">
        <f t="shared" si="22"/>
        <v>36710432.280000001</v>
      </c>
      <c r="N95" s="228">
        <f t="shared" si="22"/>
        <v>39015024.850000001</v>
      </c>
      <c r="O95" s="228">
        <f t="shared" si="22"/>
        <v>38998261.350000001</v>
      </c>
      <c r="P95" s="228">
        <f t="shared" si="22"/>
        <v>46105466.859999999</v>
      </c>
      <c r="Q95" s="228">
        <f t="shared" si="22"/>
        <v>45141802.740000002</v>
      </c>
      <c r="R95" s="229">
        <f t="shared" si="22"/>
        <v>79469130.980000004</v>
      </c>
      <c r="S95" s="313">
        <f t="shared" si="20"/>
        <v>478065288.04000002</v>
      </c>
      <c r="T95" s="330">
        <f t="shared" si="21"/>
        <v>8.3865217886464105</v>
      </c>
      <c r="V95" s="172"/>
    </row>
    <row r="96" spans="1:26">
      <c r="A96" s="216" t="str">
        <f t="shared" si="17"/>
        <v>7121p</v>
      </c>
      <c r="B96" s="621" t="str">
        <f>+VLOOKUP(LEFT($A96,LEN(A96)-1)*1,Master!$D$30:$G$229,4,FALSE)</f>
        <v>Doprinosi za penzijsko i invalidsko osiguranje</v>
      </c>
      <c r="C96" s="622"/>
      <c r="D96" s="622"/>
      <c r="E96" s="622"/>
      <c r="F96" s="622"/>
      <c r="G96" s="225">
        <v>7550452.8499999996</v>
      </c>
      <c r="H96" s="225">
        <v>24366605.109999999</v>
      </c>
      <c r="I96" s="225">
        <v>31891479.559999999</v>
      </c>
      <c r="J96" s="225">
        <v>32988975.75</v>
      </c>
      <c r="K96" s="225">
        <v>29598378.829999998</v>
      </c>
      <c r="L96" s="225">
        <v>33851315.109999999</v>
      </c>
      <c r="M96" s="225">
        <v>32996526.960000001</v>
      </c>
      <c r="N96" s="225">
        <v>35394821.75</v>
      </c>
      <c r="O96" s="225">
        <v>35762026.799999997</v>
      </c>
      <c r="P96" s="225">
        <v>41374533.736666702</v>
      </c>
      <c r="Q96" s="225">
        <v>40410869.616666697</v>
      </c>
      <c r="R96" s="225">
        <v>72638197.856666699</v>
      </c>
      <c r="S96" s="312">
        <f t="shared" si="20"/>
        <v>418824183.93000001</v>
      </c>
      <c r="T96" s="329">
        <f t="shared" si="21"/>
        <v>7.3472771021331802</v>
      </c>
      <c r="V96" s="172"/>
      <c r="W96" s="172"/>
    </row>
    <row r="97" spans="1:23">
      <c r="A97" s="216" t="str">
        <f t="shared" si="17"/>
        <v>7122p</v>
      </c>
      <c r="B97" s="621" t="str">
        <f>+VLOOKUP(LEFT($A97,LEN(A97)-1)*1,Master!$D$30:$G$229,4,FALSE)</f>
        <v>Doprinosi za zdravstveno osiguranje</v>
      </c>
      <c r="C97" s="622"/>
      <c r="D97" s="622"/>
      <c r="E97" s="622"/>
      <c r="F97" s="622"/>
      <c r="G97" s="225">
        <v>3618221.62</v>
      </c>
      <c r="H97" s="225">
        <v>8815681.4700000007</v>
      </c>
      <c r="I97" s="225">
        <v>2582574.44</v>
      </c>
      <c r="J97" s="225">
        <v>1899377.01</v>
      </c>
      <c r="K97" s="225">
        <v>1480944.7</v>
      </c>
      <c r="L97" s="225">
        <v>1150315.93</v>
      </c>
      <c r="M97" s="225">
        <v>951006.28</v>
      </c>
      <c r="N97" s="225">
        <v>823067.88</v>
      </c>
      <c r="O97" s="225">
        <v>668162.97</v>
      </c>
      <c r="P97" s="225">
        <v>162054.15333333501</v>
      </c>
      <c r="Q97" s="225">
        <v>162054.15333333501</v>
      </c>
      <c r="R97" s="225">
        <v>162054.15333333501</v>
      </c>
      <c r="S97" s="312">
        <f t="shared" si="20"/>
        <v>22475514.760000002</v>
      </c>
      <c r="T97" s="329">
        <f t="shared" si="21"/>
        <v>0.39427960774682502</v>
      </c>
      <c r="V97" s="172"/>
    </row>
    <row r="98" spans="1:23">
      <c r="A98" s="216" t="str">
        <f t="shared" si="17"/>
        <v>7123p</v>
      </c>
      <c r="B98" s="621" t="str">
        <f>+VLOOKUP(LEFT($A98,LEN(A98)-1)*1,Master!$D$30:$G$229,4,FALSE)</f>
        <v>Doprinosi za osiguranje od nezaposlenosti</v>
      </c>
      <c r="C98" s="622"/>
      <c r="D98" s="622"/>
      <c r="E98" s="622"/>
      <c r="F98" s="622"/>
      <c r="G98" s="225">
        <v>333527.59999999998</v>
      </c>
      <c r="H98" s="225">
        <v>1107968.99</v>
      </c>
      <c r="I98" s="225">
        <v>1459655.88</v>
      </c>
      <c r="J98" s="225">
        <v>1501790.24</v>
      </c>
      <c r="K98" s="225">
        <v>1379492.12</v>
      </c>
      <c r="L98" s="225">
        <v>1561408.27</v>
      </c>
      <c r="M98" s="225">
        <v>1571588.31</v>
      </c>
      <c r="N98" s="225">
        <v>1597593.61</v>
      </c>
      <c r="O98" s="225">
        <v>1507262.14</v>
      </c>
      <c r="P98" s="225">
        <v>2577754.3266666699</v>
      </c>
      <c r="Q98" s="225">
        <v>2677754.3266666699</v>
      </c>
      <c r="R98" s="225">
        <v>3377754.3266666699</v>
      </c>
      <c r="S98" s="312">
        <f t="shared" si="20"/>
        <v>20653550.140000001</v>
      </c>
      <c r="T98" s="329">
        <f t="shared" si="21"/>
        <v>0.36231755911865798</v>
      </c>
      <c r="V98" s="172"/>
    </row>
    <row r="99" spans="1:23">
      <c r="A99" s="216" t="str">
        <f t="shared" si="17"/>
        <v>7124p</v>
      </c>
      <c r="B99" s="621" t="str">
        <f>+VLOOKUP(LEFT($A99,LEN(A99)-1)*1,Master!$D$30:$G$229,4,FALSE)</f>
        <v>Ostali doprinosi</v>
      </c>
      <c r="C99" s="622"/>
      <c r="D99" s="622"/>
      <c r="E99" s="622"/>
      <c r="F99" s="622"/>
      <c r="G99" s="225">
        <v>229600.09</v>
      </c>
      <c r="H99" s="225">
        <v>694038.42</v>
      </c>
      <c r="I99" s="225">
        <v>1123049.72</v>
      </c>
      <c r="J99" s="225">
        <v>1202347.48</v>
      </c>
      <c r="K99" s="225">
        <v>1004714.74</v>
      </c>
      <c r="L99" s="225">
        <v>1233253.05</v>
      </c>
      <c r="M99" s="225">
        <v>1191310.73</v>
      </c>
      <c r="N99" s="225">
        <v>1199541.6100000001</v>
      </c>
      <c r="O99" s="225">
        <v>1060809.44</v>
      </c>
      <c r="P99" s="225">
        <v>1991124.6433333301</v>
      </c>
      <c r="Q99" s="225">
        <v>1891124.6433333301</v>
      </c>
      <c r="R99" s="225">
        <v>3291124.6433333298</v>
      </c>
      <c r="S99" s="312">
        <f t="shared" si="20"/>
        <v>16112039.210000001</v>
      </c>
      <c r="T99" s="329">
        <f t="shared" si="21"/>
        <v>0.28264751964774398</v>
      </c>
      <c r="V99" s="172"/>
    </row>
    <row r="100" spans="1:23">
      <c r="A100" s="216" t="str">
        <f t="shared" si="17"/>
        <v>713p</v>
      </c>
      <c r="B100" s="623" t="str">
        <f>+VLOOKUP(LEFT($A100,LEN(A100)-1)*1,Master!$D$30:$G$229,4,FALSE)</f>
        <v>Takse</v>
      </c>
      <c r="C100" s="624"/>
      <c r="D100" s="624"/>
      <c r="E100" s="624"/>
      <c r="F100" s="624"/>
      <c r="G100" s="232">
        <v>635258.53</v>
      </c>
      <c r="H100" s="232">
        <v>808672.01</v>
      </c>
      <c r="I100" s="232">
        <v>976895.25</v>
      </c>
      <c r="J100" s="232">
        <v>1014885.97</v>
      </c>
      <c r="K100" s="232">
        <v>989967.52</v>
      </c>
      <c r="L100" s="232">
        <v>1292686.01</v>
      </c>
      <c r="M100" s="232">
        <v>1450241.78</v>
      </c>
      <c r="N100" s="232">
        <v>1794328.3</v>
      </c>
      <c r="O100" s="232">
        <v>1183872.1599999999</v>
      </c>
      <c r="P100" s="232">
        <v>1076581.87333333</v>
      </c>
      <c r="Q100" s="232">
        <v>876581.87333333003</v>
      </c>
      <c r="R100" s="232">
        <v>1276581.87333333</v>
      </c>
      <c r="S100" s="313">
        <f t="shared" si="20"/>
        <v>13376553.15</v>
      </c>
      <c r="T100" s="330">
        <f t="shared" si="21"/>
        <v>0.23465990369096901</v>
      </c>
      <c r="V100" s="172"/>
    </row>
    <row r="101" spans="1:23">
      <c r="A101" s="216" t="str">
        <f t="shared" si="17"/>
        <v>714p</v>
      </c>
      <c r="B101" s="623" t="str">
        <f>+VLOOKUP(LEFT($A101,LEN(A101)-1)*1,Master!$D$30:$G$229,4,FALSE)</f>
        <v>Naknade</v>
      </c>
      <c r="C101" s="624"/>
      <c r="D101" s="624"/>
      <c r="E101" s="624"/>
      <c r="F101" s="624"/>
      <c r="G101" s="232">
        <v>12538803.32</v>
      </c>
      <c r="H101" s="232">
        <v>2358745.7999999998</v>
      </c>
      <c r="I101" s="232">
        <v>2432089.7200000002</v>
      </c>
      <c r="J101" s="232">
        <v>3083781.29</v>
      </c>
      <c r="K101" s="232">
        <v>2678608.52</v>
      </c>
      <c r="L101" s="232">
        <v>4570368.01</v>
      </c>
      <c r="M101" s="232">
        <v>3736951.12</v>
      </c>
      <c r="N101" s="232">
        <v>3318573.47</v>
      </c>
      <c r="O101" s="232">
        <v>9160845.5500000007</v>
      </c>
      <c r="P101" s="232">
        <v>3515025.5066666701</v>
      </c>
      <c r="Q101" s="232">
        <v>3115025.5066666701</v>
      </c>
      <c r="R101" s="232">
        <v>4215025.5066666696</v>
      </c>
      <c r="S101" s="313">
        <f t="shared" si="20"/>
        <v>54723843.32</v>
      </c>
      <c r="T101" s="330">
        <f t="shared" si="21"/>
        <v>0.96000005824152701</v>
      </c>
      <c r="V101" s="172"/>
    </row>
    <row r="102" spans="1:23">
      <c r="A102" s="216" t="str">
        <f t="shared" si="17"/>
        <v>715p</v>
      </c>
      <c r="B102" s="623" t="str">
        <f>+VLOOKUP(LEFT($A102,LEN(A102)-1)*1,Master!$D$30:$G$229,4,FALSE)</f>
        <v>Ostali prihodi</v>
      </c>
      <c r="C102" s="624"/>
      <c r="D102" s="624"/>
      <c r="E102" s="624"/>
      <c r="F102" s="624"/>
      <c r="G102" s="232">
        <v>1280630.6100000001</v>
      </c>
      <c r="H102" s="232">
        <v>1589565.7</v>
      </c>
      <c r="I102" s="232">
        <v>1733963.47</v>
      </c>
      <c r="J102" s="232">
        <v>3432683.27</v>
      </c>
      <c r="K102" s="232">
        <v>3422423.95</v>
      </c>
      <c r="L102" s="232">
        <v>2748963.77</v>
      </c>
      <c r="M102" s="232">
        <v>3152431.28</v>
      </c>
      <c r="N102" s="232">
        <v>3601917.47</v>
      </c>
      <c r="O102" s="232">
        <v>2166236.2000000002</v>
      </c>
      <c r="P102" s="232">
        <v>2305486.89</v>
      </c>
      <c r="Q102" s="232">
        <v>2005486.89</v>
      </c>
      <c r="R102" s="232">
        <v>3205486.89</v>
      </c>
      <c r="S102" s="313">
        <f t="shared" si="20"/>
        <v>30645276.390000001</v>
      </c>
      <c r="T102" s="330">
        <f t="shared" si="21"/>
        <v>0.53759870167005797</v>
      </c>
      <c r="V102" s="172"/>
    </row>
    <row r="103" spans="1:23">
      <c r="A103" s="216" t="str">
        <f t="shared" si="17"/>
        <v>73p</v>
      </c>
      <c r="B103" s="623" t="str">
        <f>+VLOOKUP(LEFT($A103,LEN(A103)-1)*1,Master!$D$30:$G$229,4,FALSE)</f>
        <v>Primici od otplate kredita i sredstva prenesena iz prethodne godine</v>
      </c>
      <c r="C103" s="624"/>
      <c r="D103" s="624"/>
      <c r="E103" s="624"/>
      <c r="F103" s="624"/>
      <c r="G103" s="232">
        <v>124509.95</v>
      </c>
      <c r="H103" s="232">
        <v>574574.73</v>
      </c>
      <c r="I103" s="232">
        <v>672855.19</v>
      </c>
      <c r="J103" s="232">
        <v>750452.36</v>
      </c>
      <c r="K103" s="232">
        <v>894295.88</v>
      </c>
      <c r="L103" s="232">
        <v>3753999.56</v>
      </c>
      <c r="M103" s="232">
        <v>308101.69</v>
      </c>
      <c r="N103" s="232">
        <v>1524959.66</v>
      </c>
      <c r="O103" s="232">
        <v>1144155.6100000001</v>
      </c>
      <c r="P103" s="232">
        <v>0</v>
      </c>
      <c r="Q103" s="232">
        <v>0</v>
      </c>
      <c r="R103" s="232">
        <v>0</v>
      </c>
      <c r="S103" s="313">
        <f t="shared" si="20"/>
        <v>9747904.6300000008</v>
      </c>
      <c r="T103" s="330">
        <f t="shared" si="21"/>
        <v>0.17100387043014501</v>
      </c>
      <c r="V103" s="172"/>
      <c r="W103" s="172"/>
    </row>
    <row r="104" spans="1:23">
      <c r="A104" s="216" t="str">
        <f t="shared" si="17"/>
        <v>74p</v>
      </c>
      <c r="B104" s="625" t="str">
        <f>+VLOOKUP(LEFT($A104,LEN(A104)-1)*1,Master!$D$30:$G$229,4,FALSE)</f>
        <v>Donacije i transferi</v>
      </c>
      <c r="C104" s="626"/>
      <c r="D104" s="626"/>
      <c r="E104" s="626"/>
      <c r="F104" s="626"/>
      <c r="G104" s="232">
        <v>944706.6</v>
      </c>
      <c r="H104" s="232">
        <v>1117937.32</v>
      </c>
      <c r="I104" s="232">
        <v>4945090.66</v>
      </c>
      <c r="J104" s="232">
        <v>2104525.41</v>
      </c>
      <c r="K104" s="232">
        <v>651019.71</v>
      </c>
      <c r="L104" s="232">
        <v>3347743.2</v>
      </c>
      <c r="M104" s="232">
        <v>1853223.08</v>
      </c>
      <c r="N104" s="232">
        <v>6896634.3600000003</v>
      </c>
      <c r="O104" s="232">
        <v>1689253.82</v>
      </c>
      <c r="P104" s="232">
        <v>4972757.6133333296</v>
      </c>
      <c r="Q104" s="232">
        <v>8572757.6133333296</v>
      </c>
      <c r="R104" s="232">
        <v>9772757.6133333296</v>
      </c>
      <c r="S104" s="314">
        <f t="shared" si="20"/>
        <v>46868407</v>
      </c>
      <c r="T104" s="331">
        <f t="shared" si="21"/>
        <v>0.82219505648726399</v>
      </c>
      <c r="V104" s="172"/>
    </row>
    <row r="105" spans="1:23">
      <c r="A105" s="216" t="str">
        <f t="shared" si="17"/>
        <v>4p</v>
      </c>
      <c r="B105" s="617" t="str">
        <f>+VLOOKUP(LEFT($A105,LEN(A105)-1)*1,Master!$D$30:$G$229,4,FALSE)</f>
        <v>Izdaci budžeta</v>
      </c>
      <c r="C105" s="618"/>
      <c r="D105" s="618"/>
      <c r="E105" s="618"/>
      <c r="F105" s="618"/>
      <c r="G105" s="217">
        <f t="shared" ref="G105:R105" si="23">+G106+G116+G122+SUM(G123:G127)</f>
        <v>135523250.91</v>
      </c>
      <c r="H105" s="217">
        <f t="shared" si="23"/>
        <v>150834089.16999999</v>
      </c>
      <c r="I105" s="217">
        <f t="shared" si="23"/>
        <v>152224116.24000001</v>
      </c>
      <c r="J105" s="217">
        <f t="shared" si="23"/>
        <v>202240908.69</v>
      </c>
      <c r="K105" s="217">
        <f t="shared" si="23"/>
        <v>146275241.75</v>
      </c>
      <c r="L105" s="217">
        <f t="shared" si="23"/>
        <v>179868475.11000001</v>
      </c>
      <c r="M105" s="217">
        <f t="shared" si="23"/>
        <v>178564947.84</v>
      </c>
      <c r="N105" s="217">
        <f t="shared" si="23"/>
        <v>147040975.11000001</v>
      </c>
      <c r="O105" s="217">
        <f t="shared" si="23"/>
        <v>202134465.49000001</v>
      </c>
      <c r="P105" s="217">
        <f t="shared" si="23"/>
        <v>289006911.81666702</v>
      </c>
      <c r="Q105" s="217">
        <f t="shared" si="23"/>
        <v>289006911.81666702</v>
      </c>
      <c r="R105" s="217">
        <f t="shared" si="23"/>
        <v>311543750.086667</v>
      </c>
      <c r="S105" s="315">
        <f t="shared" si="20"/>
        <v>2384264044.0300002</v>
      </c>
      <c r="T105" s="350">
        <f t="shared" si="21"/>
        <v>41.826258578871702</v>
      </c>
      <c r="V105" s="173"/>
    </row>
    <row r="106" spans="1:23">
      <c r="A106" s="216" t="str">
        <f t="shared" si="17"/>
        <v>41p</v>
      </c>
      <c r="B106" s="627" t="str">
        <f>+VLOOKUP(LEFT($A106,LEN(A106)-1)*1,Master!$D$30:$G$229,4,FALSE)</f>
        <v>Tekući izdaci</v>
      </c>
      <c r="C106" s="628"/>
      <c r="D106" s="628"/>
      <c r="E106" s="628"/>
      <c r="F106" s="628"/>
      <c r="G106" s="240">
        <f t="shared" ref="G106:R106" si="24">+SUM(G107:G115)</f>
        <v>50898622.75</v>
      </c>
      <c r="H106" s="240">
        <f t="shared" si="24"/>
        <v>61674016.409999996</v>
      </c>
      <c r="I106" s="240">
        <f t="shared" si="24"/>
        <v>59813922.18</v>
      </c>
      <c r="J106" s="240">
        <f t="shared" si="24"/>
        <v>96816184.329999998</v>
      </c>
      <c r="K106" s="240">
        <f t="shared" si="24"/>
        <v>58712954.390000001</v>
      </c>
      <c r="L106" s="240">
        <f t="shared" si="24"/>
        <v>71887625.939999998</v>
      </c>
      <c r="M106" s="240">
        <f t="shared" si="24"/>
        <v>67839356.109999999</v>
      </c>
      <c r="N106" s="240">
        <f t="shared" si="24"/>
        <v>64016075.759999998</v>
      </c>
      <c r="O106" s="240">
        <f t="shared" si="24"/>
        <v>80374470.549999997</v>
      </c>
      <c r="P106" s="240">
        <f t="shared" si="24"/>
        <v>107720251.61</v>
      </c>
      <c r="Q106" s="240">
        <f t="shared" si="24"/>
        <v>107720251.61</v>
      </c>
      <c r="R106" s="241">
        <f t="shared" si="24"/>
        <v>130257088.88</v>
      </c>
      <c r="S106" s="311">
        <f t="shared" si="20"/>
        <v>957730820.51999998</v>
      </c>
      <c r="T106" s="327">
        <f t="shared" si="21"/>
        <v>16.801116071152901</v>
      </c>
      <c r="V106" s="173"/>
      <c r="W106" s="173"/>
    </row>
    <row r="107" spans="1:23">
      <c r="A107" s="216" t="str">
        <f t="shared" si="17"/>
        <v>411p</v>
      </c>
      <c r="B107" s="621" t="str">
        <f>+VLOOKUP(LEFT($A107,LEN(A107)-1)*1,Master!$D$30:$G$229,4,FALSE)</f>
        <v>Bruto zarade i doprinosi na teret poslodavca</v>
      </c>
      <c r="C107" s="622"/>
      <c r="D107" s="622"/>
      <c r="E107" s="622"/>
      <c r="F107" s="622"/>
      <c r="G107" s="225">
        <v>44240125.009999998</v>
      </c>
      <c r="H107" s="225">
        <v>44550830.43</v>
      </c>
      <c r="I107" s="225">
        <v>40375934.009999998</v>
      </c>
      <c r="J107" s="225">
        <v>46977114.020000003</v>
      </c>
      <c r="K107" s="225">
        <v>41754372.079999998</v>
      </c>
      <c r="L107" s="225">
        <v>47101871.299999997</v>
      </c>
      <c r="M107" s="225">
        <v>44920963.490000002</v>
      </c>
      <c r="N107" s="225">
        <v>43889720.369999997</v>
      </c>
      <c r="O107" s="225">
        <v>44535467.409999996</v>
      </c>
      <c r="P107" s="225">
        <v>53967463.813333303</v>
      </c>
      <c r="Q107" s="225">
        <v>53967463.813333303</v>
      </c>
      <c r="R107" s="225">
        <v>53967463.813333303</v>
      </c>
      <c r="S107" s="312">
        <f t="shared" si="20"/>
        <v>560248789.55999994</v>
      </c>
      <c r="T107" s="329">
        <f t="shared" si="21"/>
        <v>9.8282364318293496</v>
      </c>
      <c r="V107" s="172"/>
    </row>
    <row r="108" spans="1:23">
      <c r="A108" s="216" t="str">
        <f t="shared" si="17"/>
        <v>412p</v>
      </c>
      <c r="B108" s="621" t="str">
        <f>+VLOOKUP(LEFT($A108,LEN(A108)-1)*1,Master!$D$30:$G$229,4,FALSE)</f>
        <v>Ostala lična primanja</v>
      </c>
      <c r="C108" s="622"/>
      <c r="D108" s="622"/>
      <c r="E108" s="622"/>
      <c r="F108" s="622"/>
      <c r="G108" s="225">
        <v>137001.32999999999</v>
      </c>
      <c r="H108" s="225">
        <v>1212395.8600000001</v>
      </c>
      <c r="I108" s="225">
        <v>946225.55</v>
      </c>
      <c r="J108" s="225">
        <v>1448549.91</v>
      </c>
      <c r="K108" s="225">
        <v>1078145.3400000001</v>
      </c>
      <c r="L108" s="225">
        <v>2203226.23</v>
      </c>
      <c r="M108" s="225">
        <v>1651284.02</v>
      </c>
      <c r="N108" s="225">
        <v>1322412.92</v>
      </c>
      <c r="O108" s="225">
        <v>1530315.42</v>
      </c>
      <c r="P108" s="225">
        <v>2596726.7266666698</v>
      </c>
      <c r="Q108" s="225">
        <v>2596726.7266666698</v>
      </c>
      <c r="R108" s="225">
        <v>2586888.7266666698</v>
      </c>
      <c r="S108" s="312">
        <f t="shared" si="20"/>
        <v>19309898.760000002</v>
      </c>
      <c r="T108" s="329">
        <f t="shared" si="21"/>
        <v>0.33874638200828</v>
      </c>
      <c r="V108" s="172"/>
    </row>
    <row r="109" spans="1:23">
      <c r="A109" s="216" t="str">
        <f t="shared" si="17"/>
        <v>413p</v>
      </c>
      <c r="B109" s="621" t="str">
        <f>+VLOOKUP(LEFT($A109,LEN(A109)-1)*1,Master!$D$30:$G$229,4,FALSE)</f>
        <v>Rashodi za materijal</v>
      </c>
      <c r="C109" s="622"/>
      <c r="D109" s="622"/>
      <c r="E109" s="622"/>
      <c r="F109" s="622"/>
      <c r="G109" s="225">
        <v>140825.03</v>
      </c>
      <c r="H109" s="225">
        <v>3489117.82</v>
      </c>
      <c r="I109" s="225">
        <v>2628375.67</v>
      </c>
      <c r="J109" s="225">
        <v>2038640.9</v>
      </c>
      <c r="K109" s="225">
        <v>1012773.59</v>
      </c>
      <c r="L109" s="225">
        <v>4898255.55</v>
      </c>
      <c r="M109" s="225">
        <v>2338020.7999999998</v>
      </c>
      <c r="N109" s="225">
        <v>4632464.3099999996</v>
      </c>
      <c r="O109" s="225">
        <v>2320647.7000000002</v>
      </c>
      <c r="P109" s="225">
        <v>8236382.3600000003</v>
      </c>
      <c r="Q109" s="225">
        <v>8236382.3600000003</v>
      </c>
      <c r="R109" s="225">
        <v>8210640.76000001</v>
      </c>
      <c r="S109" s="312">
        <f t="shared" si="20"/>
        <v>48182526.850000001</v>
      </c>
      <c r="T109" s="329">
        <f t="shared" si="21"/>
        <v>0.84524817293523302</v>
      </c>
      <c r="V109" s="172"/>
    </row>
    <row r="110" spans="1:23">
      <c r="A110" s="216" t="str">
        <f t="shared" si="17"/>
        <v>414p</v>
      </c>
      <c r="B110" s="621" t="str">
        <f>+VLOOKUP(LEFT($A110,LEN(A110)-1)*1,Master!$D$30:$G$229,4,FALSE)</f>
        <v>Rashodi za usluge</v>
      </c>
      <c r="C110" s="622"/>
      <c r="D110" s="622"/>
      <c r="E110" s="622"/>
      <c r="F110" s="622"/>
      <c r="G110" s="225">
        <v>1088181.68</v>
      </c>
      <c r="H110" s="225">
        <v>2912682.95</v>
      </c>
      <c r="I110" s="225">
        <v>4471137.08</v>
      </c>
      <c r="J110" s="225">
        <v>6152655.29</v>
      </c>
      <c r="K110" s="225">
        <v>2627348.3199999998</v>
      </c>
      <c r="L110" s="225">
        <v>5667722.6900000004</v>
      </c>
      <c r="M110" s="225">
        <v>3971417.36</v>
      </c>
      <c r="N110" s="225">
        <v>4243743.3099999996</v>
      </c>
      <c r="O110" s="225">
        <v>4864024.1500000004</v>
      </c>
      <c r="P110" s="225">
        <v>10058637.5466667</v>
      </c>
      <c r="Q110" s="225">
        <v>10058637.5466667</v>
      </c>
      <c r="R110" s="225">
        <v>10058637.5466667</v>
      </c>
      <c r="S110" s="312">
        <f t="shared" si="20"/>
        <v>66174825.469999999</v>
      </c>
      <c r="T110" s="329">
        <f t="shared" si="21"/>
        <v>1.1608803850606999</v>
      </c>
      <c r="V110" s="172"/>
    </row>
    <row r="111" spans="1:23">
      <c r="A111" s="216" t="str">
        <f t="shared" si="17"/>
        <v>415p</v>
      </c>
      <c r="B111" s="621" t="str">
        <f>+VLOOKUP(LEFT($A111,LEN(A111)-1)*1,Master!$D$30:$G$229,4,FALSE)</f>
        <v>Rashodi za tekuće održavanje</v>
      </c>
      <c r="C111" s="622"/>
      <c r="D111" s="622"/>
      <c r="E111" s="622"/>
      <c r="F111" s="622"/>
      <c r="G111" s="225">
        <v>51153.02</v>
      </c>
      <c r="H111" s="225">
        <v>1786959.03</v>
      </c>
      <c r="I111" s="225">
        <v>1812618.69</v>
      </c>
      <c r="J111" s="225">
        <v>1718005.59</v>
      </c>
      <c r="K111" s="225">
        <v>1522624.21</v>
      </c>
      <c r="L111" s="225">
        <v>1758456.51</v>
      </c>
      <c r="M111" s="225">
        <v>1898548.19</v>
      </c>
      <c r="N111" s="225">
        <v>1129451.49</v>
      </c>
      <c r="O111" s="225">
        <v>2940859.11</v>
      </c>
      <c r="P111" s="225">
        <v>4461159.95</v>
      </c>
      <c r="Q111" s="225">
        <v>4461159.95</v>
      </c>
      <c r="R111" s="225">
        <v>4461159.95</v>
      </c>
      <c r="S111" s="312">
        <f t="shared" si="20"/>
        <v>28002155.690000001</v>
      </c>
      <c r="T111" s="329">
        <f t="shared" si="21"/>
        <v>0.49123141691811101</v>
      </c>
      <c r="V111" s="172"/>
    </row>
    <row r="112" spans="1:23">
      <c r="A112" s="216" t="str">
        <f t="shared" si="17"/>
        <v>416p</v>
      </c>
      <c r="B112" s="621" t="str">
        <f>+VLOOKUP(LEFT($A112,LEN(A112)-1)*1,Master!$D$30:$G$229,4,FALSE)</f>
        <v>Kamate</v>
      </c>
      <c r="C112" s="622"/>
      <c r="D112" s="622"/>
      <c r="E112" s="622"/>
      <c r="F112" s="622"/>
      <c r="G112" s="225">
        <v>3854762.25</v>
      </c>
      <c r="H112" s="225">
        <v>1270344.19</v>
      </c>
      <c r="I112" s="225">
        <v>949082.56</v>
      </c>
      <c r="J112" s="225">
        <v>27195621.07</v>
      </c>
      <c r="K112" s="225">
        <v>4588473.78</v>
      </c>
      <c r="L112" s="225">
        <v>1216799.03</v>
      </c>
      <c r="M112" s="225">
        <v>3784062.82</v>
      </c>
      <c r="N112" s="225">
        <v>1331665.03</v>
      </c>
      <c r="O112" s="225">
        <v>13564532.83</v>
      </c>
      <c r="P112" s="225">
        <v>4036426.76</v>
      </c>
      <c r="Q112" s="225">
        <v>4036426.76</v>
      </c>
      <c r="R112" s="225">
        <v>26608843.629999999</v>
      </c>
      <c r="S112" s="312">
        <f t="shared" si="20"/>
        <v>92437040.709999993</v>
      </c>
      <c r="T112" s="329">
        <f t="shared" si="21"/>
        <v>1.6215886729001501</v>
      </c>
      <c r="V112" s="172"/>
    </row>
    <row r="113" spans="1:22">
      <c r="A113" s="216" t="str">
        <f t="shared" si="17"/>
        <v>417p</v>
      </c>
      <c r="B113" s="621" t="str">
        <f>+VLOOKUP(LEFT($A113,LEN(A113)-1)*1,Master!$D$30:$G$229,4,FALSE)</f>
        <v>Renta</v>
      </c>
      <c r="C113" s="622"/>
      <c r="D113" s="622"/>
      <c r="E113" s="622"/>
      <c r="F113" s="622"/>
      <c r="G113" s="225">
        <v>222069.04</v>
      </c>
      <c r="H113" s="225">
        <v>743329.49</v>
      </c>
      <c r="I113" s="225">
        <v>821318.4</v>
      </c>
      <c r="J113" s="225">
        <v>1247632.42</v>
      </c>
      <c r="K113" s="225">
        <v>498993.7</v>
      </c>
      <c r="L113" s="225">
        <v>995508.2</v>
      </c>
      <c r="M113" s="225">
        <v>1038790.11</v>
      </c>
      <c r="N113" s="225">
        <v>884250.45</v>
      </c>
      <c r="O113" s="225">
        <v>1095625.8400000001</v>
      </c>
      <c r="P113" s="225">
        <v>1375364.11333333</v>
      </c>
      <c r="Q113" s="225">
        <v>1375364.11333333</v>
      </c>
      <c r="R113" s="225">
        <v>1375364.11333333</v>
      </c>
      <c r="S113" s="312">
        <f t="shared" si="20"/>
        <v>11673609.99</v>
      </c>
      <c r="T113" s="329">
        <f t="shared" si="21"/>
        <v>0.20478580432952101</v>
      </c>
      <c r="V113" s="172"/>
    </row>
    <row r="114" spans="1:22">
      <c r="A114" s="216" t="str">
        <f t="shared" si="17"/>
        <v>418p</v>
      </c>
      <c r="B114" s="621" t="str">
        <f>+VLOOKUP(LEFT($A114,LEN(A114)-1)*1,Master!$D$30:$G$229,4,FALSE)</f>
        <v>Subvencije</v>
      </c>
      <c r="C114" s="622"/>
      <c r="D114" s="622"/>
      <c r="E114" s="622"/>
      <c r="F114" s="622"/>
      <c r="G114" s="225">
        <v>511006.04</v>
      </c>
      <c r="H114" s="225">
        <v>2686343.5</v>
      </c>
      <c r="I114" s="225">
        <v>4730535.5999999996</v>
      </c>
      <c r="J114" s="225">
        <v>6972651.8399999999</v>
      </c>
      <c r="K114" s="225">
        <v>2647649.44</v>
      </c>
      <c r="L114" s="225">
        <v>3319529.01</v>
      </c>
      <c r="M114" s="225">
        <v>3592301.72</v>
      </c>
      <c r="N114" s="225">
        <v>3747108.69</v>
      </c>
      <c r="O114" s="225">
        <v>6868760.4699999997</v>
      </c>
      <c r="P114" s="225">
        <v>10584907.5566667</v>
      </c>
      <c r="Q114" s="225">
        <v>10584907.5566667</v>
      </c>
      <c r="R114" s="225">
        <v>10584907.5566667</v>
      </c>
      <c r="S114" s="312">
        <f t="shared" si="20"/>
        <v>66830608.979999997</v>
      </c>
      <c r="T114" s="329">
        <f t="shared" si="21"/>
        <v>1.1723845516104101</v>
      </c>
      <c r="V114" s="172"/>
    </row>
    <row r="115" spans="1:22">
      <c r="A115" s="216" t="str">
        <f t="shared" si="17"/>
        <v>419p</v>
      </c>
      <c r="B115" s="621" t="str">
        <f>+VLOOKUP(LEFT($A115,LEN(A115)-1)*1,Master!$D$30:$G$229,4,FALSE)</f>
        <v>Ostali izdaci</v>
      </c>
      <c r="C115" s="622"/>
      <c r="D115" s="622"/>
      <c r="E115" s="622"/>
      <c r="F115" s="622"/>
      <c r="G115" s="225">
        <v>653499.35</v>
      </c>
      <c r="H115" s="225">
        <v>3022013.14</v>
      </c>
      <c r="I115" s="225">
        <v>3078694.62</v>
      </c>
      <c r="J115" s="225">
        <v>3065313.29</v>
      </c>
      <c r="K115" s="225">
        <v>2982573.93</v>
      </c>
      <c r="L115" s="225">
        <v>4726257.42</v>
      </c>
      <c r="M115" s="225">
        <v>4643967.5999999996</v>
      </c>
      <c r="N115" s="225">
        <v>2835259.19</v>
      </c>
      <c r="O115" s="225">
        <v>2654237.62</v>
      </c>
      <c r="P115" s="225">
        <v>12403182.7833333</v>
      </c>
      <c r="Q115" s="225">
        <v>12403182.7833333</v>
      </c>
      <c r="R115" s="225">
        <v>12403182.7833333</v>
      </c>
      <c r="S115" s="312">
        <f t="shared" si="20"/>
        <v>64871364.509999998</v>
      </c>
      <c r="T115" s="329">
        <f t="shared" si="21"/>
        <v>1.1380142535611499</v>
      </c>
      <c r="V115" s="172"/>
    </row>
    <row r="116" spans="1:22">
      <c r="A116" s="216" t="str">
        <f t="shared" si="17"/>
        <v>42p</v>
      </c>
      <c r="B116" s="649" t="str">
        <f>+VLOOKUP(LEFT($A116,LEN(A116)-1)*1,Master!$D$30:$G$229,4,FALSE)</f>
        <v>Transferi za socijalnu zaštitu</v>
      </c>
      <c r="C116" s="650"/>
      <c r="D116" s="650"/>
      <c r="E116" s="650"/>
      <c r="F116" s="650"/>
      <c r="G116" s="242">
        <f t="shared" ref="G116:R116" si="25">+SUM(G117:G121)</f>
        <v>43461857.619999997</v>
      </c>
      <c r="H116" s="242">
        <f t="shared" si="25"/>
        <v>49030666.979999997</v>
      </c>
      <c r="I116" s="242">
        <f t="shared" si="25"/>
        <v>50283198.670000002</v>
      </c>
      <c r="J116" s="242">
        <f t="shared" si="25"/>
        <v>49157743.100000001</v>
      </c>
      <c r="K116" s="242">
        <f t="shared" si="25"/>
        <v>51083547.039999999</v>
      </c>
      <c r="L116" s="242">
        <f t="shared" si="25"/>
        <v>53813247.140000001</v>
      </c>
      <c r="M116" s="242">
        <f t="shared" si="25"/>
        <v>55873905.100000001</v>
      </c>
      <c r="N116" s="242">
        <f t="shared" si="25"/>
        <v>54392412.859999999</v>
      </c>
      <c r="O116" s="242">
        <f t="shared" si="25"/>
        <v>55114295.5</v>
      </c>
      <c r="P116" s="242">
        <f t="shared" si="25"/>
        <v>78609110.530000001</v>
      </c>
      <c r="Q116" s="242">
        <f t="shared" si="25"/>
        <v>78609110.530000001</v>
      </c>
      <c r="R116" s="242">
        <f t="shared" si="25"/>
        <v>78609110.530000001</v>
      </c>
      <c r="S116" s="313">
        <f t="shared" si="20"/>
        <v>698038205.60000002</v>
      </c>
      <c r="T116" s="330">
        <f t="shared" si="21"/>
        <v>12.245424980703101</v>
      </c>
      <c r="V116" s="172"/>
    </row>
    <row r="117" spans="1:22">
      <c r="A117" s="216" t="str">
        <f t="shared" si="17"/>
        <v>421p</v>
      </c>
      <c r="B117" s="621" t="str">
        <f>+VLOOKUP(LEFT($A117,LEN(A117)-1)*1,Master!$D$30:$G$229,4,FALSE)</f>
        <v>Prava iz oblasti socijalne zaštite</v>
      </c>
      <c r="C117" s="622"/>
      <c r="D117" s="622"/>
      <c r="E117" s="622"/>
      <c r="F117" s="622"/>
      <c r="G117" s="225">
        <v>8200110.4000000004</v>
      </c>
      <c r="H117" s="225">
        <v>8172331.5999999996</v>
      </c>
      <c r="I117" s="225">
        <v>8605052.6899999995</v>
      </c>
      <c r="J117" s="225">
        <v>8606006.9800000004</v>
      </c>
      <c r="K117" s="225">
        <v>11845768.039999999</v>
      </c>
      <c r="L117" s="225">
        <v>11977864.439999999</v>
      </c>
      <c r="M117" s="225">
        <v>11864302.59</v>
      </c>
      <c r="N117" s="225">
        <v>12016260.289999999</v>
      </c>
      <c r="O117" s="225">
        <v>12319371.460000001</v>
      </c>
      <c r="P117" s="225">
        <v>17084310.5033333</v>
      </c>
      <c r="Q117" s="225">
        <v>17084310.5033333</v>
      </c>
      <c r="R117" s="225">
        <v>17084310.5033333</v>
      </c>
      <c r="S117" s="312">
        <f t="shared" si="20"/>
        <v>144860000</v>
      </c>
      <c r="T117" s="329">
        <f t="shared" si="21"/>
        <v>2.5412251771805501</v>
      </c>
      <c r="V117" s="172"/>
    </row>
    <row r="118" spans="1:22">
      <c r="A118" s="216" t="str">
        <f t="shared" ref="A118:A134" si="26">+CONCATENATE(A42,"p")</f>
        <v>422p</v>
      </c>
      <c r="B118" s="621" t="str">
        <f>+VLOOKUP(LEFT($A118,LEN(A118)-1)*1,Master!$D$30:$G$229,4,FALSE)</f>
        <v>Sredstva za tehnološke viškove</v>
      </c>
      <c r="C118" s="622"/>
      <c r="D118" s="622"/>
      <c r="E118" s="622"/>
      <c r="F118" s="622"/>
      <c r="G118" s="225">
        <v>0</v>
      </c>
      <c r="H118" s="225">
        <v>2498429.92</v>
      </c>
      <c r="I118" s="225">
        <v>2440778.17</v>
      </c>
      <c r="J118" s="225">
        <v>2410229.4500000002</v>
      </c>
      <c r="K118" s="225">
        <v>2318949.15</v>
      </c>
      <c r="L118" s="225">
        <v>2335079.0099999998</v>
      </c>
      <c r="M118" s="225">
        <v>2195965.0099999998</v>
      </c>
      <c r="N118" s="225">
        <v>2189311.09</v>
      </c>
      <c r="O118" s="225">
        <v>2177499.94</v>
      </c>
      <c r="P118" s="225">
        <v>3824082.1866666698</v>
      </c>
      <c r="Q118" s="225">
        <v>3824082.1866666698</v>
      </c>
      <c r="R118" s="225">
        <v>3824082.1866666698</v>
      </c>
      <c r="S118" s="312">
        <f t="shared" si="20"/>
        <v>30038488.300000001</v>
      </c>
      <c r="T118" s="329">
        <f t="shared" si="21"/>
        <v>0.52695404357588904</v>
      </c>
      <c r="V118" s="172"/>
    </row>
    <row r="119" spans="1:22">
      <c r="A119" s="216" t="str">
        <f t="shared" si="26"/>
        <v>423p</v>
      </c>
      <c r="B119" s="621" t="str">
        <f>+VLOOKUP(LEFT($A119,LEN(A119)-1)*1,Master!$D$30:$G$229,4,FALSE)</f>
        <v>Prava iz oblasti penzijskog i invalidskog osiguranja</v>
      </c>
      <c r="C119" s="622"/>
      <c r="D119" s="622"/>
      <c r="E119" s="622"/>
      <c r="F119" s="622"/>
      <c r="G119" s="225">
        <v>35149513.420000002</v>
      </c>
      <c r="H119" s="225">
        <v>36354430.689999998</v>
      </c>
      <c r="I119" s="225">
        <v>36069832.590000004</v>
      </c>
      <c r="J119" s="225">
        <v>36181040.329999998</v>
      </c>
      <c r="K119" s="225">
        <v>35168591.789999999</v>
      </c>
      <c r="L119" s="225">
        <v>37894311.82</v>
      </c>
      <c r="M119" s="225">
        <v>37880340.310000002</v>
      </c>
      <c r="N119" s="225">
        <v>38069530.060000002</v>
      </c>
      <c r="O119" s="225">
        <v>38038058.109999999</v>
      </c>
      <c r="P119" s="225">
        <v>54747985.7033334</v>
      </c>
      <c r="Q119" s="225">
        <v>54747985.7033334</v>
      </c>
      <c r="R119" s="225">
        <v>54747985.7033334</v>
      </c>
      <c r="S119" s="312">
        <f t="shared" si="20"/>
        <v>495049606.23000002</v>
      </c>
      <c r="T119" s="329">
        <f t="shared" si="21"/>
        <v>8.68447137446495</v>
      </c>
      <c r="V119" s="172"/>
    </row>
    <row r="120" spans="1:22">
      <c r="A120" s="216" t="str">
        <f t="shared" si="26"/>
        <v>424p</v>
      </c>
      <c r="B120" s="621" t="str">
        <f>+VLOOKUP(LEFT($A120,LEN(A120)-1)*1,Master!$D$30:$G$229,4,FALSE)</f>
        <v>Ostala prava iz oblasti zdravstvene zaštite</v>
      </c>
      <c r="C120" s="622"/>
      <c r="D120" s="622"/>
      <c r="E120" s="622"/>
      <c r="F120" s="622"/>
      <c r="G120" s="225">
        <v>103430</v>
      </c>
      <c r="H120" s="225">
        <v>1069904.71</v>
      </c>
      <c r="I120" s="225">
        <v>1609138.94</v>
      </c>
      <c r="J120" s="225">
        <v>1370159.43</v>
      </c>
      <c r="K120" s="225">
        <v>659345.03</v>
      </c>
      <c r="L120" s="225">
        <v>804103.22</v>
      </c>
      <c r="M120" s="225">
        <v>2611388.4700000002</v>
      </c>
      <c r="N120" s="225">
        <v>1036291.46</v>
      </c>
      <c r="O120" s="225">
        <v>1292962.81</v>
      </c>
      <c r="P120" s="225">
        <v>1374407.63</v>
      </c>
      <c r="Q120" s="225">
        <v>1374407.63</v>
      </c>
      <c r="R120" s="225">
        <v>1374407.63</v>
      </c>
      <c r="S120" s="312">
        <f t="shared" si="20"/>
        <v>14679946.960000001</v>
      </c>
      <c r="T120" s="329">
        <f t="shared" si="21"/>
        <v>0.257524857203003</v>
      </c>
      <c r="V120" s="172"/>
    </row>
    <row r="121" spans="1:22">
      <c r="A121" s="216" t="str">
        <f t="shared" si="26"/>
        <v>425p</v>
      </c>
      <c r="B121" s="621" t="str">
        <f>+VLOOKUP(LEFT($A121,LEN(A121)-1)*1,Master!$D$30:$G$229,4,FALSE)</f>
        <v>Ostala prava iz zdravstvenog osiguranja</v>
      </c>
      <c r="C121" s="622"/>
      <c r="D121" s="622"/>
      <c r="E121" s="622"/>
      <c r="F121" s="622"/>
      <c r="G121" s="225">
        <v>8803.7999999999993</v>
      </c>
      <c r="H121" s="225">
        <v>935570.06</v>
      </c>
      <c r="I121" s="225">
        <v>1558396.28</v>
      </c>
      <c r="J121" s="225">
        <v>590306.91</v>
      </c>
      <c r="K121" s="225">
        <v>1090893.03</v>
      </c>
      <c r="L121" s="225">
        <v>801888.65</v>
      </c>
      <c r="M121" s="225">
        <v>1321908.72</v>
      </c>
      <c r="N121" s="225">
        <v>1081019.96</v>
      </c>
      <c r="O121" s="225">
        <v>1286403.18</v>
      </c>
      <c r="P121" s="225">
        <v>1578324.5066666701</v>
      </c>
      <c r="Q121" s="225">
        <v>1578324.5066666701</v>
      </c>
      <c r="R121" s="225">
        <v>1578324.5066666701</v>
      </c>
      <c r="S121" s="312">
        <f t="shared" si="20"/>
        <v>13410164.109999999</v>
      </c>
      <c r="T121" s="329">
        <f t="shared" si="21"/>
        <v>0.23524952827871701</v>
      </c>
      <c r="V121" s="172"/>
    </row>
    <row r="122" spans="1:22">
      <c r="A122" s="216" t="str">
        <f t="shared" si="26"/>
        <v>43p</v>
      </c>
      <c r="B122" s="629" t="str">
        <f>+VLOOKUP(LEFT($A122,LEN(A122)-1)*1,Master!$D$30:$G$229,4,FALSE)</f>
        <v>Transferi institucijama, pojedincima, nevladinom i javnom sektoru</v>
      </c>
      <c r="C122" s="630"/>
      <c r="D122" s="630"/>
      <c r="E122" s="630"/>
      <c r="F122" s="630"/>
      <c r="G122" s="232">
        <v>7351440.8700000001</v>
      </c>
      <c r="H122" s="232">
        <v>23788257.170000002</v>
      </c>
      <c r="I122" s="232">
        <v>30704364.969999999</v>
      </c>
      <c r="J122" s="232">
        <v>28731832.690000001</v>
      </c>
      <c r="K122" s="232">
        <v>16386723.550000001</v>
      </c>
      <c r="L122" s="232">
        <v>26579249.149999999</v>
      </c>
      <c r="M122" s="232">
        <v>21692065.57</v>
      </c>
      <c r="N122" s="232">
        <v>18751731.399999999</v>
      </c>
      <c r="O122" s="232">
        <v>29316367.350000001</v>
      </c>
      <c r="P122" s="232">
        <v>36220465.866666697</v>
      </c>
      <c r="Q122" s="232">
        <v>36220465.866666697</v>
      </c>
      <c r="R122" s="232">
        <v>36220465.866666697</v>
      </c>
      <c r="S122" s="313">
        <f t="shared" si="20"/>
        <v>311963430.31999999</v>
      </c>
      <c r="T122" s="330">
        <f t="shared" si="21"/>
        <v>5.4726585909760699</v>
      </c>
      <c r="V122" s="172"/>
    </row>
    <row r="123" spans="1:22">
      <c r="A123" s="216" t="str">
        <f t="shared" si="26"/>
        <v>44p</v>
      </c>
      <c r="B123" s="629" t="str">
        <f>+VLOOKUP(LEFT($A123,LEN(A123)-1)*1,Master!$D$30:$G$229,4,FALSE)</f>
        <v>Kapitalni izdaci</v>
      </c>
      <c r="C123" s="630"/>
      <c r="D123" s="630"/>
      <c r="E123" s="630"/>
      <c r="F123" s="630"/>
      <c r="G123" s="232">
        <v>16016474.34</v>
      </c>
      <c r="H123" s="232">
        <v>11650538.710000001</v>
      </c>
      <c r="I123" s="232">
        <v>7995861.7599999998</v>
      </c>
      <c r="J123" s="232">
        <v>25620437.93</v>
      </c>
      <c r="K123" s="232">
        <v>18640717.440000001</v>
      </c>
      <c r="L123" s="232">
        <v>23469892.199999999</v>
      </c>
      <c r="M123" s="232">
        <v>25045170.949999999</v>
      </c>
      <c r="N123" s="232">
        <v>7683091.5899999999</v>
      </c>
      <c r="O123" s="232">
        <v>16121479.17</v>
      </c>
      <c r="P123" s="232">
        <v>41814542.016666703</v>
      </c>
      <c r="Q123" s="232">
        <v>41814542.016666703</v>
      </c>
      <c r="R123" s="232">
        <v>41814542.016666703</v>
      </c>
      <c r="S123" s="313">
        <f t="shared" si="20"/>
        <v>277687290.13999999</v>
      </c>
      <c r="T123" s="330">
        <f t="shared" si="21"/>
        <v>4.8713649943863597</v>
      </c>
      <c r="U123" s="172"/>
      <c r="V123" s="172"/>
    </row>
    <row r="124" spans="1:22">
      <c r="A124" s="216" t="str">
        <f t="shared" si="26"/>
        <v>451p</v>
      </c>
      <c r="B124" s="631" t="str">
        <f>+VLOOKUP(LEFT($A124,LEN(A124)-1)*1,Master!$D$30:$G$229,4,FALSE)</f>
        <v>Pozajmice i krediti</v>
      </c>
      <c r="C124" s="632"/>
      <c r="D124" s="632"/>
      <c r="E124" s="632"/>
      <c r="F124" s="632"/>
      <c r="G124" s="225">
        <v>0</v>
      </c>
      <c r="H124" s="225">
        <v>248510</v>
      </c>
      <c r="I124" s="225">
        <v>1730</v>
      </c>
      <c r="J124" s="225">
        <v>302436</v>
      </c>
      <c r="K124" s="225">
        <v>260378</v>
      </c>
      <c r="L124" s="225">
        <v>700</v>
      </c>
      <c r="M124" s="225">
        <v>0</v>
      </c>
      <c r="N124" s="225">
        <v>350</v>
      </c>
      <c r="O124" s="225">
        <v>0</v>
      </c>
      <c r="P124" s="225">
        <v>619965.66666666698</v>
      </c>
      <c r="Q124" s="225">
        <v>619965.66666666698</v>
      </c>
      <c r="R124" s="225">
        <v>619965.66666666698</v>
      </c>
      <c r="S124" s="312">
        <f t="shared" si="20"/>
        <v>2674001</v>
      </c>
      <c r="T124" s="329">
        <f t="shared" si="21"/>
        <v>4.6909006385516802E-2</v>
      </c>
      <c r="U124" s="172"/>
      <c r="V124" s="172"/>
    </row>
    <row r="125" spans="1:22">
      <c r="A125" s="216" t="str">
        <f t="shared" si="26"/>
        <v>47p</v>
      </c>
      <c r="B125" s="631" t="str">
        <f>+VLOOKUP(LEFT($A125,LEN(A125)-1)*1,Master!$D$30:$G$229,4,FALSE)</f>
        <v>Rezerve</v>
      </c>
      <c r="C125" s="632"/>
      <c r="D125" s="632"/>
      <c r="E125" s="632"/>
      <c r="F125" s="632"/>
      <c r="G125" s="225">
        <v>265800</v>
      </c>
      <c r="H125" s="225">
        <v>495710</v>
      </c>
      <c r="I125" s="225">
        <v>1101664.26</v>
      </c>
      <c r="J125" s="225">
        <v>401200</v>
      </c>
      <c r="K125" s="225">
        <v>45800</v>
      </c>
      <c r="L125" s="225">
        <v>3114786.03</v>
      </c>
      <c r="M125" s="225">
        <v>5703477.5800000001</v>
      </c>
      <c r="N125" s="225">
        <v>1405979.19</v>
      </c>
      <c r="O125" s="225">
        <v>20100803.789999999</v>
      </c>
      <c r="P125" s="225">
        <v>22444044.2466667</v>
      </c>
      <c r="Q125" s="225">
        <v>22444044.2466667</v>
      </c>
      <c r="R125" s="225">
        <v>22444044.2466667</v>
      </c>
      <c r="S125" s="312">
        <f t="shared" si="20"/>
        <v>99967353.590000004</v>
      </c>
      <c r="T125" s="329">
        <f t="shared" si="21"/>
        <v>1.7536901549014099</v>
      </c>
      <c r="U125" s="172"/>
      <c r="V125" s="172"/>
    </row>
    <row r="126" spans="1:22">
      <c r="A126" s="216" t="str">
        <f t="shared" si="26"/>
        <v>462p</v>
      </c>
      <c r="B126" s="631" t="str">
        <f>+VLOOKUP(LEFT($A126,LEN(A126)-1)*1,Master!$D$30:$G$229,4,FALSE)</f>
        <v>Otplata garancija</v>
      </c>
      <c r="C126" s="632"/>
      <c r="D126" s="632"/>
      <c r="E126" s="632"/>
      <c r="F126" s="632"/>
      <c r="G126" s="225">
        <v>0</v>
      </c>
      <c r="H126" s="225">
        <v>0</v>
      </c>
      <c r="I126" s="225">
        <v>0</v>
      </c>
      <c r="J126" s="225">
        <v>0</v>
      </c>
      <c r="K126" s="225">
        <v>0</v>
      </c>
      <c r="L126" s="225">
        <v>0</v>
      </c>
      <c r="M126" s="225">
        <v>0</v>
      </c>
      <c r="N126" s="225">
        <v>0</v>
      </c>
      <c r="O126" s="225">
        <v>0</v>
      </c>
      <c r="P126" s="225">
        <v>0</v>
      </c>
      <c r="Q126" s="225">
        <v>0</v>
      </c>
      <c r="R126" s="225">
        <v>1</v>
      </c>
      <c r="S126" s="312">
        <f t="shared" si="20"/>
        <v>1</v>
      </c>
      <c r="T126" s="329">
        <f t="shared" si="21"/>
        <v>1.75426285874675E-8</v>
      </c>
      <c r="U126" s="172"/>
      <c r="V126" s="172"/>
    </row>
    <row r="127" spans="1:22">
      <c r="A127" s="247" t="str">
        <f t="shared" si="26"/>
        <v>4630p</v>
      </c>
      <c r="B127" s="631" t="str">
        <f>+VLOOKUP(LEFT($A127,LEN(A127)-1)*1,Master!$D$30:$G$229,4,FALSE)</f>
        <v>Otplata obaveza iz prethodnog perioda</v>
      </c>
      <c r="C127" s="632"/>
      <c r="D127" s="632"/>
      <c r="E127" s="632"/>
      <c r="F127" s="632"/>
      <c r="G127" s="225">
        <v>17529055.329999998</v>
      </c>
      <c r="H127" s="225">
        <v>3946389.9</v>
      </c>
      <c r="I127" s="225">
        <v>2323374.4</v>
      </c>
      <c r="J127" s="225">
        <v>1211074.6399999999</v>
      </c>
      <c r="K127" s="225">
        <v>1145121.33</v>
      </c>
      <c r="L127" s="225">
        <v>1002974.65</v>
      </c>
      <c r="M127" s="225">
        <v>2410972.5299999998</v>
      </c>
      <c r="N127" s="225">
        <v>791334.31</v>
      </c>
      <c r="O127" s="225">
        <v>1107049.1299999999</v>
      </c>
      <c r="P127" s="225">
        <v>1578531.88</v>
      </c>
      <c r="Q127" s="225">
        <v>1578531.88</v>
      </c>
      <c r="R127" s="225">
        <v>1578531.88</v>
      </c>
      <c r="S127" s="317">
        <f t="shared" si="20"/>
        <v>36202941.859999999</v>
      </c>
      <c r="T127" s="342">
        <f t="shared" si="21"/>
        <v>0.63509476282366095</v>
      </c>
      <c r="U127" s="172"/>
      <c r="V127" s="172"/>
    </row>
    <row r="128" spans="1:22">
      <c r="A128" s="216" t="str">
        <f t="shared" si="26"/>
        <v>1005p</v>
      </c>
      <c r="B128" s="631" t="str">
        <f>+VLOOKUP(LEFT($A128,LEN(A128)-1)*1,Master!$D$30:$G$229,4,FALSE)</f>
        <v>Neto povećanje obaveza</v>
      </c>
      <c r="C128" s="632"/>
      <c r="D128" s="632"/>
      <c r="E128" s="632"/>
      <c r="F128" s="632"/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92">
        <f>SUM(G128:R128)</f>
        <v>0</v>
      </c>
      <c r="T128" s="338">
        <f t="shared" si="21"/>
        <v>0</v>
      </c>
      <c r="U128" s="172"/>
      <c r="V128" s="172"/>
    </row>
    <row r="129" spans="1:22">
      <c r="A129" s="247" t="str">
        <f t="shared" si="26"/>
        <v>1000p</v>
      </c>
      <c r="B129" s="645" t="str">
        <f>+VLOOKUP(LEFT($A129,LEN(A129)-1)*1,Master!$D$30:$G$226,4,FALSE)</f>
        <v>Suficit / deficit</v>
      </c>
      <c r="C129" s="646"/>
      <c r="D129" s="646"/>
      <c r="E129" s="646"/>
      <c r="F129" s="646"/>
      <c r="G129" s="217">
        <f t="shared" ref="G129:R129" si="27">+G86-G105</f>
        <v>-27708044.210000001</v>
      </c>
      <c r="H129" s="217">
        <f t="shared" si="27"/>
        <v>-26184314.52</v>
      </c>
      <c r="I129" s="217">
        <f t="shared" si="27"/>
        <v>31956870.969999999</v>
      </c>
      <c r="J129" s="217">
        <f t="shared" si="27"/>
        <v>-20283584.3699999</v>
      </c>
      <c r="K129" s="217">
        <f t="shared" si="27"/>
        <v>8454993.5200000107</v>
      </c>
      <c r="L129" s="217">
        <f t="shared" si="27"/>
        <v>-10807149.02</v>
      </c>
      <c r="M129" s="217">
        <f t="shared" si="27"/>
        <v>-12762172.130000001</v>
      </c>
      <c r="N129" s="217">
        <f t="shared" si="27"/>
        <v>47349499.1599999</v>
      </c>
      <c r="O129" s="217">
        <f t="shared" si="27"/>
        <v>-26530659.460000001</v>
      </c>
      <c r="P129" s="217">
        <f t="shared" si="27"/>
        <v>-148561818.746667</v>
      </c>
      <c r="Q129" s="217">
        <f t="shared" si="27"/>
        <v>-152725507.16666701</v>
      </c>
      <c r="R129" s="217">
        <f t="shared" si="27"/>
        <v>-115435017.196667</v>
      </c>
      <c r="S129" s="318">
        <f t="shared" si="20"/>
        <v>-453236903.17000002</v>
      </c>
      <c r="T129" s="340">
        <f t="shared" si="21"/>
        <v>-7.9509666544452999</v>
      </c>
      <c r="U129" s="172"/>
      <c r="V129" s="172"/>
    </row>
    <row r="130" spans="1:22">
      <c r="A130" s="247" t="str">
        <f t="shared" si="26"/>
        <v>1001p</v>
      </c>
      <c r="B130" s="647" t="str">
        <f>+VLOOKUP(LEFT($A130,LEN(A130)-1)*1,Master!$D$30:$G$226,4,FALSE)</f>
        <v>Primarni suficit/deficit</v>
      </c>
      <c r="C130" s="648"/>
      <c r="D130" s="648"/>
      <c r="E130" s="648"/>
      <c r="F130" s="648"/>
      <c r="G130" s="250">
        <f>+G129+G112</f>
        <v>-23853281.960000001</v>
      </c>
      <c r="H130" s="250">
        <f t="shared" ref="H130:R130" si="28">+H129+H112</f>
        <v>-24913970.329999998</v>
      </c>
      <c r="I130" s="250">
        <f t="shared" si="28"/>
        <v>32905953.530000001</v>
      </c>
      <c r="J130" s="250">
        <f t="shared" si="28"/>
        <v>6912036.7000000803</v>
      </c>
      <c r="K130" s="250">
        <f t="shared" si="28"/>
        <v>13043467.300000001</v>
      </c>
      <c r="L130" s="250">
        <f t="shared" si="28"/>
        <v>-9590349.9899999797</v>
      </c>
      <c r="M130" s="250">
        <f t="shared" si="28"/>
        <v>-8978109.3100000191</v>
      </c>
      <c r="N130" s="250">
        <f t="shared" si="28"/>
        <v>48681164.189999901</v>
      </c>
      <c r="O130" s="250">
        <f t="shared" si="28"/>
        <v>-12966126.630000001</v>
      </c>
      <c r="P130" s="250">
        <f t="shared" si="28"/>
        <v>-144525391.98666701</v>
      </c>
      <c r="Q130" s="250">
        <f t="shared" si="28"/>
        <v>-148689080.40666699</v>
      </c>
      <c r="R130" s="250">
        <f t="shared" si="28"/>
        <v>-88826173.566666707</v>
      </c>
      <c r="S130" s="318">
        <f t="shared" si="20"/>
        <v>-360799862.45999998</v>
      </c>
      <c r="T130" s="340">
        <f t="shared" si="21"/>
        <v>-6.3293779815451501</v>
      </c>
      <c r="U130" s="172"/>
      <c r="V130" s="172"/>
    </row>
    <row r="131" spans="1:22">
      <c r="A131" s="247" t="str">
        <f t="shared" si="26"/>
        <v>46p</v>
      </c>
      <c r="B131" s="649" t="str">
        <f>+VLOOKUP(LEFT($A131,LEN(A131)-1)*1,Master!$D$30:$G$226,4,FALSE)</f>
        <v>Otplata dugova</v>
      </c>
      <c r="C131" s="650"/>
      <c r="D131" s="650"/>
      <c r="E131" s="650"/>
      <c r="F131" s="650"/>
      <c r="G131" s="242">
        <f>+SUM(G132:G133)</f>
        <v>28431258.969999999</v>
      </c>
      <c r="H131" s="242">
        <f t="shared" ref="H131:R131" si="29">+SUM(H132:H133)</f>
        <v>14209001.130000001</v>
      </c>
      <c r="I131" s="242">
        <f t="shared" si="29"/>
        <v>11671682.99</v>
      </c>
      <c r="J131" s="242">
        <f t="shared" si="29"/>
        <v>57474225.630000003</v>
      </c>
      <c r="K131" s="242">
        <f t="shared" si="29"/>
        <v>39081986.149999999</v>
      </c>
      <c r="L131" s="242">
        <f t="shared" si="29"/>
        <v>11628176.57</v>
      </c>
      <c r="M131" s="351">
        <f t="shared" ref="M131" si="30">+SUM(M132:M133)</f>
        <v>30399609.420000002</v>
      </c>
      <c r="N131" s="242">
        <f t="shared" si="29"/>
        <v>13945467.43</v>
      </c>
      <c r="O131" s="242">
        <f t="shared" si="29"/>
        <v>10059315</v>
      </c>
      <c r="P131" s="242">
        <f t="shared" si="29"/>
        <v>5778395.2733333297</v>
      </c>
      <c r="Q131" s="242">
        <f t="shared" si="29"/>
        <v>32377155.383333299</v>
      </c>
      <c r="R131" s="242">
        <f t="shared" si="29"/>
        <v>37097385.813333303</v>
      </c>
      <c r="S131" s="319">
        <f t="shared" si="20"/>
        <v>292153659.75999999</v>
      </c>
      <c r="T131" s="341">
        <f t="shared" si="21"/>
        <v>5.1251431436390398</v>
      </c>
      <c r="U131" s="172"/>
      <c r="V131" s="172"/>
    </row>
    <row r="132" spans="1:22">
      <c r="A132" s="247" t="str">
        <f t="shared" si="26"/>
        <v>4611p</v>
      </c>
      <c r="B132" s="635" t="str">
        <f>+VLOOKUP(LEFT($A132,LEN(A132)-1)*1,Master!$D$30:$G$226,4,FALSE)</f>
        <v>Otplata hartija od vrijednosti i kredita rezidentima</v>
      </c>
      <c r="C132" s="636"/>
      <c r="D132" s="636"/>
      <c r="E132" s="636"/>
      <c r="F132" s="636"/>
      <c r="G132" s="253">
        <v>2390495.08</v>
      </c>
      <c r="H132" s="253">
        <v>3087670.22</v>
      </c>
      <c r="I132" s="253">
        <v>2560106.65</v>
      </c>
      <c r="J132" s="253">
        <v>4658647.91</v>
      </c>
      <c r="K132" s="253">
        <v>8572190.1199999992</v>
      </c>
      <c r="L132" s="253">
        <v>713784.35</v>
      </c>
      <c r="M132" s="253">
        <v>2437648.0699999998</v>
      </c>
      <c r="N132" s="253">
        <v>2374633.7599999998</v>
      </c>
      <c r="O132" s="253">
        <v>722146.47</v>
      </c>
      <c r="P132" s="253">
        <v>2457849.32333333</v>
      </c>
      <c r="Q132" s="253">
        <v>9233144.0033333302</v>
      </c>
      <c r="R132" s="253">
        <v>720539.803333338</v>
      </c>
      <c r="S132" s="317">
        <f t="shared" si="20"/>
        <v>39928855.759999998</v>
      </c>
      <c r="T132" s="342">
        <f t="shared" si="21"/>
        <v>0.70045708652024397</v>
      </c>
      <c r="U132" s="172"/>
      <c r="V132" s="172"/>
    </row>
    <row r="133" spans="1:22">
      <c r="A133" s="247" t="str">
        <f t="shared" si="26"/>
        <v>4612p</v>
      </c>
      <c r="B133" s="631" t="str">
        <f>+VLOOKUP(LEFT($A133,LEN(A133)-1)*1,Master!$D$30:$G$226,4,FALSE)</f>
        <v>Otplata hartija od vrijednosti i kredita nerezidentima</v>
      </c>
      <c r="C133" s="632"/>
      <c r="D133" s="632"/>
      <c r="E133" s="632"/>
      <c r="F133" s="632"/>
      <c r="G133" s="253">
        <v>26040763.890000001</v>
      </c>
      <c r="H133" s="253">
        <v>11121330.91</v>
      </c>
      <c r="I133" s="253">
        <v>9111576.3399999999</v>
      </c>
      <c r="J133" s="253">
        <v>52815577.719999999</v>
      </c>
      <c r="K133" s="253">
        <v>30509796.030000001</v>
      </c>
      <c r="L133" s="253">
        <v>10914392.220000001</v>
      </c>
      <c r="M133" s="253">
        <v>27961961.350000001</v>
      </c>
      <c r="N133" s="253">
        <v>11570833.67</v>
      </c>
      <c r="O133" s="253">
        <v>9337168.5299999993</v>
      </c>
      <c r="P133" s="253">
        <v>3320545.95</v>
      </c>
      <c r="Q133" s="253">
        <v>23144011.379999999</v>
      </c>
      <c r="R133" s="253">
        <v>36376846.009999998</v>
      </c>
      <c r="S133" s="317">
        <f t="shared" si="20"/>
        <v>252224804</v>
      </c>
      <c r="T133" s="342">
        <f t="shared" si="21"/>
        <v>4.4246860571187998</v>
      </c>
      <c r="U133" s="172"/>
      <c r="V133" s="172"/>
    </row>
    <row r="134" spans="1:22">
      <c r="A134" s="247" t="str">
        <f t="shared" si="26"/>
        <v>4418p</v>
      </c>
      <c r="B134" s="617" t="str">
        <f>+VLOOKUP(LEFT($A134,LEN(A134)-1)*1,Master!$D$30:$G$226,4,FALSE)</f>
        <v>Izdaci za kupovinu hartija od vrijednosti</v>
      </c>
      <c r="C134" s="618"/>
      <c r="D134" s="618"/>
      <c r="E134" s="618"/>
      <c r="F134" s="618"/>
      <c r="G134" s="217">
        <v>0</v>
      </c>
      <c r="H134" s="217">
        <v>0</v>
      </c>
      <c r="I134" s="217">
        <v>0</v>
      </c>
      <c r="J134" s="217">
        <v>0</v>
      </c>
      <c r="K134" s="217">
        <v>0</v>
      </c>
      <c r="L134" s="217">
        <v>0</v>
      </c>
      <c r="M134" s="217">
        <v>0</v>
      </c>
      <c r="N134" s="217">
        <v>0</v>
      </c>
      <c r="O134" s="217">
        <v>0</v>
      </c>
      <c r="P134" s="217">
        <v>3536336.6666666698</v>
      </c>
      <c r="Q134" s="217">
        <v>3536336.6666666698</v>
      </c>
      <c r="R134" s="217">
        <v>3536336.6666666698</v>
      </c>
      <c r="S134" s="320">
        <f t="shared" si="20"/>
        <v>10609010</v>
      </c>
      <c r="T134" s="353">
        <f t="shared" si="21"/>
        <v>0.18610992211072899</v>
      </c>
      <c r="U134" s="172"/>
      <c r="V134" s="172"/>
    </row>
    <row r="135" spans="1:22">
      <c r="A135" s="247" t="str">
        <f>+CONCATENATE(A60,"p")</f>
        <v>1002p</v>
      </c>
      <c r="B135" s="633" t="str">
        <f>+VLOOKUP(LEFT($A135,LEN(A135)-1)*1,Master!$D$30:$G$226,4,FALSE)</f>
        <v>Nedostajuća sredstva</v>
      </c>
      <c r="C135" s="634"/>
      <c r="D135" s="634"/>
      <c r="E135" s="634"/>
      <c r="F135" s="634"/>
      <c r="G135" s="257">
        <f t="shared" ref="G135:R135" si="31">+G129-G131-G134</f>
        <v>-56139303.18</v>
      </c>
      <c r="H135" s="257">
        <f t="shared" si="31"/>
        <v>-40393315.649999999</v>
      </c>
      <c r="I135" s="257">
        <f t="shared" si="31"/>
        <v>20285187.98</v>
      </c>
      <c r="J135" s="257">
        <f t="shared" si="31"/>
        <v>-77757809.999999896</v>
      </c>
      <c r="K135" s="257">
        <f t="shared" si="31"/>
        <v>-30626992.629999999</v>
      </c>
      <c r="L135" s="257">
        <f t="shared" si="31"/>
        <v>-22435325.59</v>
      </c>
      <c r="M135" s="257">
        <f t="shared" si="31"/>
        <v>-43161781.549999997</v>
      </c>
      <c r="N135" s="257">
        <f t="shared" si="31"/>
        <v>33404031.7299999</v>
      </c>
      <c r="O135" s="257">
        <f t="shared" si="31"/>
        <v>-36589974.460000001</v>
      </c>
      <c r="P135" s="257">
        <f t="shared" si="31"/>
        <v>-157876550.686667</v>
      </c>
      <c r="Q135" s="257">
        <f t="shared" si="31"/>
        <v>-188638999.216667</v>
      </c>
      <c r="R135" s="257">
        <f t="shared" si="31"/>
        <v>-156068739.676667</v>
      </c>
      <c r="S135" s="322">
        <f t="shared" si="20"/>
        <v>-755999572.92999995</v>
      </c>
      <c r="T135" s="344">
        <f t="shared" si="21"/>
        <v>-13.2622197201951</v>
      </c>
      <c r="U135" s="172"/>
      <c r="V135" s="172"/>
    </row>
    <row r="136" spans="1:22">
      <c r="A136" s="247" t="str">
        <f>+CONCATENATE(A61,"p")</f>
        <v>1003p</v>
      </c>
      <c r="B136" s="617" t="str">
        <f>+VLOOKUP(LEFT($A136,LEN(A136)-1)*1,Master!$D$30:$G$226,4,FALSE)</f>
        <v>Finansiranje</v>
      </c>
      <c r="C136" s="618"/>
      <c r="D136" s="618"/>
      <c r="E136" s="618"/>
      <c r="F136" s="618"/>
      <c r="G136" s="217">
        <f t="shared" ref="G136:R136" si="32">+SUM(G137:G140)</f>
        <v>56139303.18</v>
      </c>
      <c r="H136" s="217">
        <f t="shared" si="32"/>
        <v>40393315.649999999</v>
      </c>
      <c r="I136" s="217">
        <f t="shared" si="32"/>
        <v>-20285187.98</v>
      </c>
      <c r="J136" s="217">
        <f t="shared" si="32"/>
        <v>77757809.999999896</v>
      </c>
      <c r="K136" s="217">
        <f t="shared" si="32"/>
        <v>30626992.629999999</v>
      </c>
      <c r="L136" s="217">
        <f t="shared" si="32"/>
        <v>22435325.59</v>
      </c>
      <c r="M136" s="217">
        <f t="shared" si="32"/>
        <v>43161781.549999997</v>
      </c>
      <c r="N136" s="217">
        <f t="shared" si="32"/>
        <v>-33404031.7299999</v>
      </c>
      <c r="O136" s="217">
        <f t="shared" si="32"/>
        <v>36589974.460000001</v>
      </c>
      <c r="P136" s="217">
        <f t="shared" si="32"/>
        <v>157876550.686667</v>
      </c>
      <c r="Q136" s="217">
        <f t="shared" si="32"/>
        <v>188638999.216667</v>
      </c>
      <c r="R136" s="217">
        <f t="shared" si="32"/>
        <v>156068739.676667</v>
      </c>
      <c r="S136" s="323">
        <f t="shared" si="20"/>
        <v>755999572.92999995</v>
      </c>
      <c r="T136" s="345">
        <f t="shared" si="21"/>
        <v>13.2622197201951</v>
      </c>
      <c r="U136" s="172"/>
      <c r="V136" s="172"/>
    </row>
    <row r="137" spans="1:22">
      <c r="A137" s="247" t="str">
        <f>+CONCATENATE(A62,"p")</f>
        <v>7511p</v>
      </c>
      <c r="B137" s="635" t="str">
        <f>+VLOOKUP(LEFT($A137,LEN(A137)-1)*1,Master!$D$30:$G$226,4,FALSE)</f>
        <v>Pozajmice i krediti od domaćih izvora</v>
      </c>
      <c r="C137" s="636"/>
      <c r="D137" s="636"/>
      <c r="E137" s="636"/>
      <c r="F137" s="636"/>
      <c r="G137" s="253">
        <v>0</v>
      </c>
      <c r="H137" s="253">
        <v>0</v>
      </c>
      <c r="I137" s="253">
        <v>0</v>
      </c>
      <c r="J137" s="253">
        <v>0</v>
      </c>
      <c r="K137" s="253">
        <v>0</v>
      </c>
      <c r="L137" s="253">
        <v>0</v>
      </c>
      <c r="M137" s="253">
        <v>0</v>
      </c>
      <c r="N137" s="253">
        <v>0</v>
      </c>
      <c r="O137" s="253">
        <v>0</v>
      </c>
      <c r="P137" s="253">
        <v>116666666.666667</v>
      </c>
      <c r="Q137" s="253">
        <v>116666666.666667</v>
      </c>
      <c r="R137" s="253">
        <v>116666666.666667</v>
      </c>
      <c r="S137" s="317">
        <f t="shared" si="20"/>
        <v>350000000</v>
      </c>
      <c r="T137" s="342">
        <f t="shared" si="21"/>
        <v>6.1399200056136403</v>
      </c>
      <c r="U137" s="172"/>
      <c r="V137" s="172"/>
    </row>
    <row r="138" spans="1:22">
      <c r="A138" s="247" t="str">
        <f>+CONCATENATE(A63,"p")</f>
        <v>7512p</v>
      </c>
      <c r="B138" s="631" t="str">
        <f>+VLOOKUP(LEFT($A138,LEN(A138)-1)*1,Master!$D$30:$G$226,4,FALSE)</f>
        <v>Pozajmice i krediti od inostranih izvora</v>
      </c>
      <c r="C138" s="632"/>
      <c r="D138" s="632"/>
      <c r="E138" s="632"/>
      <c r="F138" s="632"/>
      <c r="G138" s="253">
        <v>12789994.92</v>
      </c>
      <c r="H138" s="253">
        <v>10460525.210000001</v>
      </c>
      <c r="I138" s="253">
        <v>1259301.6499999999</v>
      </c>
      <c r="J138" s="253">
        <v>8146150.04</v>
      </c>
      <c r="K138" s="253">
        <v>11238716.789999999</v>
      </c>
      <c r="L138" s="253">
        <v>12964517.65</v>
      </c>
      <c r="M138" s="253">
        <v>8206743.4400000004</v>
      </c>
      <c r="N138" s="253">
        <v>2667369.89</v>
      </c>
      <c r="O138" s="253">
        <v>2025946.22</v>
      </c>
      <c r="P138" s="253">
        <v>10080244.73</v>
      </c>
      <c r="Q138" s="253">
        <v>10080244.73</v>
      </c>
      <c r="R138" s="253">
        <v>10080244.73</v>
      </c>
      <c r="S138" s="317">
        <f t="shared" si="20"/>
        <v>100000000</v>
      </c>
      <c r="T138" s="342">
        <f t="shared" si="21"/>
        <v>1.7542628587467499</v>
      </c>
      <c r="U138" s="172"/>
      <c r="V138" s="172"/>
    </row>
    <row r="139" spans="1:22">
      <c r="A139" s="247" t="str">
        <f>+CONCATENATE(A64,"p")</f>
        <v>72p</v>
      </c>
      <c r="B139" s="631" t="str">
        <f>+VLOOKUP(LEFT($A139,LEN(A139)-1)*1,Master!$D$30:$G$226,4,FALSE)</f>
        <v>Primici od prodaje imovine</v>
      </c>
      <c r="C139" s="632"/>
      <c r="D139" s="632"/>
      <c r="E139" s="632"/>
      <c r="F139" s="632"/>
      <c r="G139" s="253">
        <v>710212.98</v>
      </c>
      <c r="H139" s="253">
        <v>70539.22</v>
      </c>
      <c r="I139" s="253">
        <v>383792.48</v>
      </c>
      <c r="J139" s="253">
        <v>766267.74</v>
      </c>
      <c r="K139" s="253">
        <v>26413.63</v>
      </c>
      <c r="L139" s="253">
        <v>243495.39</v>
      </c>
      <c r="M139" s="253">
        <v>209628.7</v>
      </c>
      <c r="N139" s="253">
        <v>313064.5</v>
      </c>
      <c r="O139" s="253">
        <v>705089.56</v>
      </c>
      <c r="P139" s="253">
        <v>857165.26666666695</v>
      </c>
      <c r="Q139" s="253">
        <v>857165.26666666695</v>
      </c>
      <c r="R139" s="253">
        <v>857165.26666666695</v>
      </c>
      <c r="S139" s="317">
        <f t="shared" si="20"/>
        <v>6000000</v>
      </c>
      <c r="T139" s="342">
        <f t="shared" si="21"/>
        <v>0.105255771524805</v>
      </c>
      <c r="U139" s="172"/>
      <c r="V139" s="172"/>
    </row>
    <row r="140" spans="1:22">
      <c r="A140" s="247" t="str">
        <f t="shared" ref="A140" si="33">+CONCATENATE(A66,"p")</f>
        <v>1004p</v>
      </c>
      <c r="B140" s="262" t="str">
        <f>+VLOOKUP(LEFT($A140,LEN(A140)-1)*1,Master!$D$30:$G$226,4,FALSE)</f>
        <v>Povećanje / smanjenje depozita</v>
      </c>
      <c r="C140" s="263"/>
      <c r="D140" s="263"/>
      <c r="E140" s="263"/>
      <c r="F140" s="263"/>
      <c r="G140" s="264">
        <f t="shared" ref="G140:R140" si="34">-G135-SUM(G137:G139)</f>
        <v>42639095.280000001</v>
      </c>
      <c r="H140" s="264">
        <f t="shared" si="34"/>
        <v>29862251.219999999</v>
      </c>
      <c r="I140" s="264">
        <f t="shared" si="34"/>
        <v>-21928282.109999999</v>
      </c>
      <c r="J140" s="264">
        <f t="shared" si="34"/>
        <v>68845392.219999894</v>
      </c>
      <c r="K140" s="264">
        <f t="shared" si="34"/>
        <v>19361862.210000001</v>
      </c>
      <c r="L140" s="264">
        <f t="shared" si="34"/>
        <v>9227312.5499999803</v>
      </c>
      <c r="M140" s="264">
        <f t="shared" si="34"/>
        <v>34745409.409999996</v>
      </c>
      <c r="N140" s="264">
        <f t="shared" si="34"/>
        <v>-36384466.1199999</v>
      </c>
      <c r="O140" s="264">
        <f t="shared" si="34"/>
        <v>33858938.68</v>
      </c>
      <c r="P140" s="264">
        <f t="shared" si="34"/>
        <v>30272474.0233333</v>
      </c>
      <c r="Q140" s="264">
        <f t="shared" si="34"/>
        <v>61034922.553333297</v>
      </c>
      <c r="R140" s="264">
        <f t="shared" si="34"/>
        <v>28464663.013333298</v>
      </c>
      <c r="S140" s="324">
        <f t="shared" si="20"/>
        <v>299999572.93000001</v>
      </c>
      <c r="T140" s="347">
        <f t="shared" si="21"/>
        <v>5.2627810843098697</v>
      </c>
      <c r="U140" s="172"/>
      <c r="V140" s="172"/>
    </row>
    <row r="142" spans="1:22">
      <c r="G142" s="172"/>
    </row>
    <row r="143" spans="1:22">
      <c r="G143" s="172"/>
      <c r="H143" s="172"/>
      <c r="I143" s="172"/>
      <c r="J143" s="172"/>
      <c r="K143" s="172"/>
      <c r="L143" s="172"/>
      <c r="M143" s="172"/>
      <c r="N143" s="172"/>
      <c r="O143" s="172"/>
      <c r="P143" s="172"/>
      <c r="Q143" s="172"/>
      <c r="R143" s="172"/>
    </row>
    <row r="144" spans="1:22">
      <c r="N144" s="172"/>
    </row>
    <row r="147" spans="19:19">
      <c r="S147" s="172"/>
    </row>
    <row r="148" spans="19:19">
      <c r="S148" s="172"/>
    </row>
  </sheetData>
  <mergeCells count="116">
    <mergeCell ref="B134:F134"/>
    <mergeCell ref="B135:F135"/>
    <mergeCell ref="B136:F136"/>
    <mergeCell ref="B137:F137"/>
    <mergeCell ref="B138:F138"/>
    <mergeCell ref="B139:F139"/>
    <mergeCell ref="B83:F85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B64:F64"/>
    <mergeCell ref="B65:F65"/>
    <mergeCell ref="G83:R83"/>
    <mergeCell ref="S84:T84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21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22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pageSetUpPr fitToPage="1"/>
  </sheetPr>
  <dimension ref="A1:X146"/>
  <sheetViews>
    <sheetView workbookViewId="0">
      <pane ySplit="1" topLeftCell="A2" activePane="bottomLeft" state="frozen"/>
      <selection pane="bottomLeft" activeCell="S53" sqref="S53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8.7109375" style="129" customWidth="1"/>
    <col min="6" max="6" width="0.42578125" style="129" customWidth="1"/>
    <col min="7" max="9" width="10.7109375" style="129" customWidth="1"/>
    <col min="10" max="10" width="14.42578125" style="129" customWidth="1"/>
    <col min="11" max="18" width="10.7109375" style="129" customWidth="1"/>
    <col min="19" max="19" width="13.28515625" style="129" customWidth="1"/>
    <col min="20" max="20" width="10.7109375" style="129" customWidth="1"/>
    <col min="21" max="21" width="20.28515625" style="129" customWidth="1"/>
    <col min="22" max="22" width="14.85546875" style="129" customWidth="1"/>
    <col min="23" max="23" width="11.28515625" style="129" customWidth="1"/>
    <col min="24" max="24" width="10.42578125" style="129" customWidth="1"/>
    <col min="25" max="16384" width="9.140625" style="129"/>
  </cols>
  <sheetData>
    <row r="1" spans="1:22" s="127" customFormat="1" ht="3" customHeight="1">
      <c r="A1" s="130"/>
    </row>
    <row r="2" spans="1:22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269"/>
      <c r="M2" s="132"/>
      <c r="N2" s="132"/>
      <c r="O2" s="132"/>
      <c r="P2" s="132"/>
      <c r="Q2" s="132"/>
      <c r="R2" s="132"/>
      <c r="S2" s="132"/>
      <c r="T2" s="132"/>
    </row>
    <row r="3" spans="1:22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2" s="127" customFormat="1" ht="15">
      <c r="A4" s="131"/>
      <c r="B4" s="132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269"/>
      <c r="T4" s="268"/>
    </row>
    <row r="5" spans="1:22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</row>
    <row r="6" spans="1:22">
      <c r="A6" s="136"/>
      <c r="B6" s="137"/>
      <c r="C6" s="137"/>
      <c r="D6" s="137"/>
      <c r="E6" s="137"/>
      <c r="F6" s="137"/>
      <c r="G6" s="138" t="s">
        <v>72</v>
      </c>
      <c r="H6" s="138" t="s">
        <v>73</v>
      </c>
      <c r="I6" s="138" t="s">
        <v>74</v>
      </c>
      <c r="J6" s="138" t="s">
        <v>75</v>
      </c>
      <c r="K6" s="138" t="s">
        <v>76</v>
      </c>
      <c r="L6" s="138" t="s">
        <v>77</v>
      </c>
      <c r="M6" s="138" t="s">
        <v>78</v>
      </c>
      <c r="N6" s="138" t="s">
        <v>79</v>
      </c>
      <c r="O6" s="138" t="s">
        <v>80</v>
      </c>
      <c r="P6" s="138" t="s">
        <v>81</v>
      </c>
      <c r="Q6" s="138" t="s">
        <v>82</v>
      </c>
      <c r="R6" s="138" t="s">
        <v>83</v>
      </c>
      <c r="S6" s="137"/>
      <c r="T6" s="137"/>
    </row>
    <row r="7" spans="1:22" ht="15" customHeight="1">
      <c r="A7" s="136"/>
      <c r="B7" s="584" t="str">
        <f>+Master!G252</f>
        <v>Ostvarenje budžeta</v>
      </c>
      <c r="C7" s="585"/>
      <c r="D7" s="585"/>
      <c r="E7" s="585"/>
      <c r="F7" s="585"/>
      <c r="G7" s="550">
        <v>2021</v>
      </c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4"/>
      <c r="S7" s="139" t="str">
        <f>+Master!G249</f>
        <v>BDP</v>
      </c>
      <c r="T7" s="140">
        <v>4955116000</v>
      </c>
    </row>
    <row r="8" spans="1:22" ht="16.5" customHeight="1">
      <c r="A8" s="136"/>
      <c r="B8" s="586"/>
      <c r="C8" s="587"/>
      <c r="D8" s="587"/>
      <c r="E8" s="587"/>
      <c r="F8" s="588"/>
      <c r="G8" s="141" t="str">
        <f>+Master!G232</f>
        <v>Januar</v>
      </c>
      <c r="H8" s="141" t="str">
        <f>+Master!G233</f>
        <v>Februar</v>
      </c>
      <c r="I8" s="141" t="str">
        <f>+Master!G234</f>
        <v>Mart</v>
      </c>
      <c r="J8" s="141" t="str">
        <f>+Master!G235</f>
        <v>April</v>
      </c>
      <c r="K8" s="141" t="str">
        <f>+Master!G236</f>
        <v>Maj</v>
      </c>
      <c r="L8" s="141" t="str">
        <f>+Master!G237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0" t="str">
        <f>+Master!G247</f>
        <v>Jan - Dec</v>
      </c>
      <c r="T8" s="554"/>
    </row>
    <row r="9" spans="1:22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2">
      <c r="A10" s="145">
        <v>7</v>
      </c>
      <c r="B10" s="558" t="str">
        <f>+VLOOKUP($A10,Master!$D$30:$G$226,4,FALSE)</f>
        <v>Prihodi budžeta</v>
      </c>
      <c r="C10" s="559"/>
      <c r="D10" s="559"/>
      <c r="E10" s="559"/>
      <c r="F10" s="559"/>
      <c r="G10" s="146">
        <f>+G11+G19+SUM(G24:G28)</f>
        <v>88645153.459999993</v>
      </c>
      <c r="H10" s="146">
        <f t="shared" ref="H10:R10" si="1">+H11+H19+SUM(H24:H28)</f>
        <v>105602053.27</v>
      </c>
      <c r="I10" s="146">
        <f t="shared" si="1"/>
        <v>154192756.19</v>
      </c>
      <c r="J10" s="146">
        <f t="shared" si="1"/>
        <v>144095507.38</v>
      </c>
      <c r="K10" s="146">
        <f t="shared" si="1"/>
        <v>136581593.40000001</v>
      </c>
      <c r="L10" s="146">
        <f t="shared" si="1"/>
        <v>158977216.27000001</v>
      </c>
      <c r="M10" s="146">
        <f t="shared" si="1"/>
        <v>194099538.63</v>
      </c>
      <c r="N10" s="146">
        <f t="shared" si="1"/>
        <v>190105745.75999999</v>
      </c>
      <c r="O10" s="146">
        <f t="shared" si="1"/>
        <v>172070591.90000001</v>
      </c>
      <c r="P10" s="146">
        <f t="shared" si="1"/>
        <v>160001549.75</v>
      </c>
      <c r="Q10" s="146">
        <f t="shared" si="1"/>
        <v>158602978.81999999</v>
      </c>
      <c r="R10" s="146">
        <f t="shared" si="1"/>
        <v>248407354.71000001</v>
      </c>
      <c r="S10" s="279">
        <f>+SUM(G10:R10)</f>
        <v>1911382039.54</v>
      </c>
      <c r="T10" s="325">
        <f>+S10/$T$7*100</f>
        <v>38.573911075744697</v>
      </c>
      <c r="U10" s="326"/>
      <c r="V10" s="172"/>
    </row>
    <row r="11" spans="1:22">
      <c r="A11" s="145">
        <v>711</v>
      </c>
      <c r="B11" s="560" t="str">
        <f>+VLOOKUP($A11,Master!$D$30:$G$226,4,FALSE)</f>
        <v>Porezi</v>
      </c>
      <c r="C11" s="561"/>
      <c r="D11" s="561"/>
      <c r="E11" s="561"/>
      <c r="F11" s="561"/>
      <c r="G11" s="149">
        <f t="shared" ref="G11:R11" si="2">+SUM(G12:G18)</f>
        <v>67412896.5</v>
      </c>
      <c r="H11" s="149">
        <f t="shared" si="2"/>
        <v>61433590.359999999</v>
      </c>
      <c r="I11" s="149">
        <f t="shared" si="2"/>
        <v>99466337.219999999</v>
      </c>
      <c r="J11" s="149">
        <f t="shared" si="2"/>
        <v>92940577.079999998</v>
      </c>
      <c r="K11" s="149">
        <f t="shared" si="2"/>
        <v>83251772.959999993</v>
      </c>
      <c r="L11" s="149">
        <f t="shared" si="2"/>
        <v>99847003.469999999</v>
      </c>
      <c r="M11" s="149">
        <f t="shared" si="2"/>
        <v>111713566.28</v>
      </c>
      <c r="N11" s="149">
        <f t="shared" si="2"/>
        <v>132227415.31</v>
      </c>
      <c r="O11" s="149">
        <f t="shared" si="2"/>
        <v>113016911.38</v>
      </c>
      <c r="P11" s="149">
        <f t="shared" si="2"/>
        <v>104570246.48999999</v>
      </c>
      <c r="Q11" s="149">
        <f t="shared" si="2"/>
        <v>100241778.90000001</v>
      </c>
      <c r="R11" s="150">
        <f t="shared" si="2"/>
        <v>117752057.5</v>
      </c>
      <c r="S11" s="281">
        <f>+SUM(G11:R11)</f>
        <v>1183874153.45</v>
      </c>
      <c r="T11" s="327">
        <f t="shared" ref="T11:T64" si="3">+S11/$T$7*100</f>
        <v>23.891956383059402</v>
      </c>
      <c r="U11" s="326"/>
      <c r="V11" s="328"/>
    </row>
    <row r="12" spans="1:22">
      <c r="A12" s="145">
        <v>7111</v>
      </c>
      <c r="B12" s="562" t="str">
        <f>+VLOOKUP($A12,Master!$D$30:$G$226,4,FALSE)</f>
        <v>Porez na dohodak fizičkih lica</v>
      </c>
      <c r="C12" s="563"/>
      <c r="D12" s="563"/>
      <c r="E12" s="563"/>
      <c r="F12" s="563"/>
      <c r="G12" s="153">
        <v>3976518.5</v>
      </c>
      <c r="H12" s="153">
        <v>8360437.5599999996</v>
      </c>
      <c r="I12" s="153">
        <v>10457309.710000001</v>
      </c>
      <c r="J12" s="153">
        <v>9203378.8300000001</v>
      </c>
      <c r="K12" s="153">
        <v>10107603.84</v>
      </c>
      <c r="L12" s="153">
        <v>10833911.470000001</v>
      </c>
      <c r="M12" s="153">
        <v>9978268.9000000004</v>
      </c>
      <c r="N12" s="153">
        <v>11428081.060000001</v>
      </c>
      <c r="O12" s="153">
        <v>11496389.41</v>
      </c>
      <c r="P12" s="153">
        <v>10714688.65</v>
      </c>
      <c r="Q12" s="153">
        <v>11130007.369999999</v>
      </c>
      <c r="R12" s="153">
        <v>19177675.75</v>
      </c>
      <c r="S12" s="270">
        <f t="shared" ref="S12:S64" si="4">+SUM(G12:R12)</f>
        <v>126864271.05</v>
      </c>
      <c r="T12" s="329">
        <f t="shared" si="3"/>
        <v>2.5602684387207102</v>
      </c>
      <c r="U12" s="326"/>
      <c r="V12" s="172"/>
    </row>
    <row r="13" spans="1:22">
      <c r="A13" s="145">
        <v>7112</v>
      </c>
      <c r="B13" s="562" t="str">
        <f>+VLOOKUP($A13,Master!$D$30:$G$226,4,FALSE)</f>
        <v>Porez na dobit pravnih lica</v>
      </c>
      <c r="C13" s="563"/>
      <c r="D13" s="563"/>
      <c r="E13" s="563"/>
      <c r="F13" s="563"/>
      <c r="G13" s="153">
        <v>779973.22</v>
      </c>
      <c r="H13" s="153">
        <v>1616177.79</v>
      </c>
      <c r="I13" s="153">
        <v>28472275</v>
      </c>
      <c r="J13" s="153">
        <v>17773856.079999998</v>
      </c>
      <c r="K13" s="153">
        <v>4206538.32</v>
      </c>
      <c r="L13" s="153">
        <v>3910959.72</v>
      </c>
      <c r="M13" s="153">
        <v>6304757.04</v>
      </c>
      <c r="N13" s="153">
        <v>3777349.92</v>
      </c>
      <c r="O13" s="153">
        <v>3090820.1</v>
      </c>
      <c r="P13" s="153">
        <v>812369.36</v>
      </c>
      <c r="Q13" s="153">
        <v>572934.72</v>
      </c>
      <c r="R13" s="153">
        <v>3395713.2</v>
      </c>
      <c r="S13" s="270">
        <f t="shared" si="4"/>
        <v>74713724.469999999</v>
      </c>
      <c r="T13" s="329">
        <f t="shared" si="3"/>
        <v>1.50780979638015</v>
      </c>
      <c r="U13" s="326"/>
      <c r="V13" s="172"/>
    </row>
    <row r="14" spans="1:22">
      <c r="A14" s="145">
        <v>7113</v>
      </c>
      <c r="B14" s="562" t="str">
        <f>+VLOOKUP($A14,Master!$D$30:$G$226,4,FALSE)</f>
        <v>Porez na promet nepokretnosti</v>
      </c>
      <c r="C14" s="563"/>
      <c r="D14" s="563"/>
      <c r="E14" s="563"/>
      <c r="F14" s="563"/>
      <c r="G14" s="153">
        <v>115386.02</v>
      </c>
      <c r="H14" s="153">
        <v>87272.18</v>
      </c>
      <c r="I14" s="153">
        <v>106253.15</v>
      </c>
      <c r="J14" s="153">
        <v>140632.47</v>
      </c>
      <c r="K14" s="153">
        <v>152712.75</v>
      </c>
      <c r="L14" s="153">
        <v>131529.14000000001</v>
      </c>
      <c r="M14" s="153">
        <v>131925.03</v>
      </c>
      <c r="N14" s="153">
        <v>253511.29</v>
      </c>
      <c r="O14" s="153">
        <v>186859.21</v>
      </c>
      <c r="P14" s="153">
        <v>188590.96</v>
      </c>
      <c r="Q14" s="153">
        <v>256744.67</v>
      </c>
      <c r="R14" s="153">
        <v>326836.90000000002</v>
      </c>
      <c r="S14" s="270">
        <f t="shared" si="4"/>
        <v>2078253.77</v>
      </c>
      <c r="T14" s="329">
        <f t="shared" si="3"/>
        <v>4.1941576544323102E-2</v>
      </c>
      <c r="U14" s="326"/>
      <c r="V14" s="172"/>
    </row>
    <row r="15" spans="1:22">
      <c r="A15" s="145">
        <v>7114</v>
      </c>
      <c r="B15" s="562" t="str">
        <f>+VLOOKUP($A15,Master!$D$30:$G$226,4,FALSE)</f>
        <v>Porez na dodatu vrijednost</v>
      </c>
      <c r="C15" s="563"/>
      <c r="D15" s="563"/>
      <c r="E15" s="563"/>
      <c r="F15" s="563"/>
      <c r="G15" s="153">
        <v>44109794.259999998</v>
      </c>
      <c r="H15" s="153">
        <v>35917952.619999997</v>
      </c>
      <c r="I15" s="153">
        <v>44544288.810000002</v>
      </c>
      <c r="J15" s="153">
        <v>47233544.119999997</v>
      </c>
      <c r="K15" s="153">
        <v>46983393.619999997</v>
      </c>
      <c r="L15" s="153">
        <v>60277408.149999999</v>
      </c>
      <c r="M15" s="153">
        <v>66270748.509999998</v>
      </c>
      <c r="N15" s="153">
        <v>82197493.75</v>
      </c>
      <c r="O15" s="153">
        <v>66021485.600000001</v>
      </c>
      <c r="P15" s="153">
        <v>66173641.18</v>
      </c>
      <c r="Q15" s="153">
        <v>62811263.609999999</v>
      </c>
      <c r="R15" s="153">
        <v>69407107.409999996</v>
      </c>
      <c r="S15" s="270">
        <f t="shared" si="4"/>
        <v>691948121.63999999</v>
      </c>
      <c r="T15" s="329">
        <f t="shared" si="3"/>
        <v>13.9643173164866</v>
      </c>
      <c r="U15" s="326"/>
      <c r="V15" s="172"/>
    </row>
    <row r="16" spans="1:22">
      <c r="A16" s="145">
        <v>7115</v>
      </c>
      <c r="B16" s="562" t="str">
        <f>+VLOOKUP($A16,Master!$D$30:$G$226,4,FALSE)</f>
        <v>Akcize</v>
      </c>
      <c r="C16" s="563"/>
      <c r="D16" s="563"/>
      <c r="E16" s="563"/>
      <c r="F16" s="563"/>
      <c r="G16" s="153">
        <v>16359067.73</v>
      </c>
      <c r="H16" s="153">
        <v>13163287.779999999</v>
      </c>
      <c r="I16" s="153">
        <v>12802969.220000001</v>
      </c>
      <c r="J16" s="153">
        <v>15614369.880000001</v>
      </c>
      <c r="K16" s="153">
        <v>18572804.940000001</v>
      </c>
      <c r="L16" s="153">
        <v>20986549.629999999</v>
      </c>
      <c r="M16" s="153">
        <v>25125271.359999999</v>
      </c>
      <c r="N16" s="153">
        <v>30364249.789999999</v>
      </c>
      <c r="O16" s="153">
        <v>28556581.329999998</v>
      </c>
      <c r="P16" s="153">
        <v>23175011.010000002</v>
      </c>
      <c r="Q16" s="153">
        <v>22114560.530000001</v>
      </c>
      <c r="R16" s="153">
        <v>21883171.960000001</v>
      </c>
      <c r="S16" s="270">
        <f t="shared" si="4"/>
        <v>248717895.16</v>
      </c>
      <c r="T16" s="329">
        <f t="shared" si="3"/>
        <v>5.01941619853097</v>
      </c>
      <c r="U16" s="326"/>
      <c r="V16" s="172"/>
    </row>
    <row r="17" spans="1:23">
      <c r="A17" s="145">
        <v>7116</v>
      </c>
      <c r="B17" s="562" t="str">
        <f>+VLOOKUP($A17,Master!$D$30:$G$226,4,FALSE)</f>
        <v>Porez na međunarodnu trgovinu i transakcije</v>
      </c>
      <c r="C17" s="563"/>
      <c r="D17" s="563"/>
      <c r="E17" s="563"/>
      <c r="F17" s="563"/>
      <c r="G17" s="153">
        <v>1266274.3400000001</v>
      </c>
      <c r="H17" s="153">
        <v>1543418.52</v>
      </c>
      <c r="I17" s="153">
        <v>2245463.5699999998</v>
      </c>
      <c r="J17" s="153">
        <v>2120318.15</v>
      </c>
      <c r="K17" s="153">
        <v>2352710.86</v>
      </c>
      <c r="L17" s="153">
        <v>2642568.09</v>
      </c>
      <c r="M17" s="153">
        <v>2891108.46</v>
      </c>
      <c r="N17" s="153">
        <v>3107860.7</v>
      </c>
      <c r="O17" s="153">
        <v>2664634.4500000002</v>
      </c>
      <c r="P17" s="153">
        <v>2522288.0299999998</v>
      </c>
      <c r="Q17" s="153">
        <v>2368746</v>
      </c>
      <c r="R17" s="153">
        <v>2571250.9</v>
      </c>
      <c r="S17" s="270">
        <f t="shared" si="4"/>
        <v>28296642.07</v>
      </c>
      <c r="T17" s="329">
        <f t="shared" si="3"/>
        <v>0.57105912495287703</v>
      </c>
      <c r="U17" s="326"/>
      <c r="V17" s="172"/>
    </row>
    <row r="18" spans="1:23">
      <c r="A18" s="145">
        <v>7118</v>
      </c>
      <c r="B18" s="562" t="str">
        <f>+VLOOKUP($A18,Master!$D$30:$G$226,4,FALSE)</f>
        <v>Ostali državni porezi</v>
      </c>
      <c r="C18" s="563"/>
      <c r="D18" s="563"/>
      <c r="E18" s="563"/>
      <c r="F18" s="563"/>
      <c r="G18" s="153">
        <v>805882.43</v>
      </c>
      <c r="H18" s="153">
        <v>745043.91</v>
      </c>
      <c r="I18" s="153">
        <v>837777.76</v>
      </c>
      <c r="J18" s="153">
        <v>854477.55</v>
      </c>
      <c r="K18" s="153">
        <v>876008.63</v>
      </c>
      <c r="L18" s="153">
        <v>1064077.27</v>
      </c>
      <c r="M18" s="153">
        <v>1011486.98</v>
      </c>
      <c r="N18" s="153">
        <v>1098868.8</v>
      </c>
      <c r="O18" s="153">
        <v>1000141.28</v>
      </c>
      <c r="P18" s="153">
        <v>983657.3</v>
      </c>
      <c r="Q18" s="153">
        <v>987522</v>
      </c>
      <c r="R18" s="153">
        <v>990301.38</v>
      </c>
      <c r="S18" s="270">
        <f t="shared" si="4"/>
        <v>11255245.289999999</v>
      </c>
      <c r="T18" s="329">
        <f t="shared" si="3"/>
        <v>0.227143931443785</v>
      </c>
      <c r="U18" s="326"/>
      <c r="V18" s="172"/>
    </row>
    <row r="19" spans="1:23">
      <c r="A19" s="145">
        <v>712</v>
      </c>
      <c r="B19" s="564" t="str">
        <f>+VLOOKUP($A19,Master!$D$30:$G$226,4,FALSE)</f>
        <v>Doprinosi</v>
      </c>
      <c r="C19" s="565"/>
      <c r="D19" s="565"/>
      <c r="E19" s="565"/>
      <c r="F19" s="565"/>
      <c r="G19" s="156">
        <f>SUM(G20:G23)</f>
        <v>15932204.300000001</v>
      </c>
      <c r="H19" s="156">
        <f t="shared" ref="H19:R19" si="5">SUM(H20:H23)</f>
        <v>37116900.719999999</v>
      </c>
      <c r="I19" s="156">
        <f t="shared" si="5"/>
        <v>47599893.060000002</v>
      </c>
      <c r="J19" s="156">
        <f t="shared" si="5"/>
        <v>43139138.689999998</v>
      </c>
      <c r="K19" s="156">
        <f t="shared" si="5"/>
        <v>44073764.859999999</v>
      </c>
      <c r="L19" s="156">
        <f t="shared" si="5"/>
        <v>48669027.799999997</v>
      </c>
      <c r="M19" s="156">
        <f t="shared" si="5"/>
        <v>43206185.729999997</v>
      </c>
      <c r="N19" s="156">
        <f t="shared" si="5"/>
        <v>49096195.219999999</v>
      </c>
      <c r="O19" s="156">
        <f t="shared" si="5"/>
        <v>47503080.450000003</v>
      </c>
      <c r="P19" s="156">
        <f t="shared" si="5"/>
        <v>44583829.93</v>
      </c>
      <c r="Q19" s="156">
        <f t="shared" si="5"/>
        <v>46560226.979999997</v>
      </c>
      <c r="R19" s="156">
        <f t="shared" si="5"/>
        <v>86995680.920000002</v>
      </c>
      <c r="S19" s="284">
        <f t="shared" si="4"/>
        <v>554476128.65999997</v>
      </c>
      <c r="T19" s="330">
        <f t="shared" si="3"/>
        <v>11.1899727203157</v>
      </c>
      <c r="U19" s="326"/>
      <c r="V19" s="172"/>
    </row>
    <row r="20" spans="1:23">
      <c r="A20" s="145">
        <v>7121</v>
      </c>
      <c r="B20" s="562" t="str">
        <f>+VLOOKUP($A20,Master!$D$30:$G$226,4,FALSE)</f>
        <v>Doprinosi za penzijsko i invalidsko osiguranje</v>
      </c>
      <c r="C20" s="563"/>
      <c r="D20" s="563"/>
      <c r="E20" s="563"/>
      <c r="F20" s="563"/>
      <c r="G20" s="153">
        <v>9950495.5</v>
      </c>
      <c r="H20" s="153">
        <v>22994578.370000001</v>
      </c>
      <c r="I20" s="153">
        <v>29662575.77</v>
      </c>
      <c r="J20" s="153">
        <v>25833212.48</v>
      </c>
      <c r="K20" s="153">
        <v>27398377.559999999</v>
      </c>
      <c r="L20" s="153">
        <v>29842404.879999999</v>
      </c>
      <c r="M20" s="153">
        <v>26861277.859999999</v>
      </c>
      <c r="N20" s="153">
        <v>30394889.460000001</v>
      </c>
      <c r="O20" s="153">
        <v>29243345.5</v>
      </c>
      <c r="P20" s="153">
        <v>27909453.050000001</v>
      </c>
      <c r="Q20" s="153">
        <v>28933702.27</v>
      </c>
      <c r="R20" s="153">
        <v>54713937.329999998</v>
      </c>
      <c r="S20" s="270">
        <f t="shared" si="4"/>
        <v>343738250.02999997</v>
      </c>
      <c r="T20" s="329">
        <f t="shared" si="3"/>
        <v>6.9370373979135902</v>
      </c>
      <c r="U20" s="326"/>
      <c r="V20" s="172"/>
    </row>
    <row r="21" spans="1:23">
      <c r="A21" s="145">
        <v>7122</v>
      </c>
      <c r="B21" s="562" t="str">
        <f>+VLOOKUP($A21,Master!$D$30:$G$226,4,FALSE)</f>
        <v>Doprinosi za zdravstveno osiguranje</v>
      </c>
      <c r="C21" s="563"/>
      <c r="D21" s="563"/>
      <c r="E21" s="563"/>
      <c r="F21" s="563"/>
      <c r="G21" s="153">
        <v>5150520.4400000004</v>
      </c>
      <c r="H21" s="153">
        <v>12116620.91</v>
      </c>
      <c r="I21" s="153">
        <v>15296477.220000001</v>
      </c>
      <c r="J21" s="153">
        <v>15012464.390000001</v>
      </c>
      <c r="K21" s="153">
        <v>14196669.73</v>
      </c>
      <c r="L21" s="153">
        <v>16061038.619999999</v>
      </c>
      <c r="M21" s="153">
        <v>13912010.1</v>
      </c>
      <c r="N21" s="153">
        <v>16090735.119999999</v>
      </c>
      <c r="O21" s="153">
        <v>15676970.460000001</v>
      </c>
      <c r="P21" s="153">
        <v>14237401.24</v>
      </c>
      <c r="Q21" s="153">
        <v>15188463.41</v>
      </c>
      <c r="R21" s="153">
        <v>27627105</v>
      </c>
      <c r="S21" s="270">
        <f t="shared" si="4"/>
        <v>180566476.63999999</v>
      </c>
      <c r="T21" s="329">
        <f t="shared" si="3"/>
        <v>3.6440413633101598</v>
      </c>
      <c r="U21" s="326"/>
      <c r="V21" s="172"/>
    </row>
    <row r="22" spans="1:23">
      <c r="A22" s="145">
        <v>7123</v>
      </c>
      <c r="B22" s="562" t="str">
        <f>+VLOOKUP($A22,Master!$D$30:$G$226,4,FALSE)</f>
        <v>Doprinosi za osiguranje od nezaposlenosti</v>
      </c>
      <c r="C22" s="563"/>
      <c r="D22" s="563"/>
      <c r="E22" s="563"/>
      <c r="F22" s="563"/>
      <c r="G22" s="153">
        <v>466272.92</v>
      </c>
      <c r="H22" s="153">
        <v>1105749.08</v>
      </c>
      <c r="I22" s="153">
        <v>1459515.26</v>
      </c>
      <c r="J22" s="153">
        <v>1275582.3600000001</v>
      </c>
      <c r="K22" s="153">
        <v>1335498.02</v>
      </c>
      <c r="L22" s="153">
        <v>1443808.88</v>
      </c>
      <c r="M22" s="153">
        <v>1293249.31</v>
      </c>
      <c r="N22" s="153">
        <v>1413222.93</v>
      </c>
      <c r="O22" s="153">
        <v>1381018.38</v>
      </c>
      <c r="P22" s="153">
        <v>1312625.81</v>
      </c>
      <c r="Q22" s="153">
        <v>1349119.82</v>
      </c>
      <c r="R22" s="153">
        <v>2523171.67</v>
      </c>
      <c r="S22" s="270">
        <f t="shared" si="4"/>
        <v>16358834.439999999</v>
      </c>
      <c r="T22" s="329">
        <f t="shared" si="3"/>
        <v>0.33014029217479501</v>
      </c>
      <c r="U22" s="326"/>
      <c r="V22" s="172"/>
    </row>
    <row r="23" spans="1:23">
      <c r="A23" s="145">
        <v>7124</v>
      </c>
      <c r="B23" s="562" t="str">
        <f>+VLOOKUP($A23,Master!$D$30:$G$226,4,FALSE)</f>
        <v>Ostali doprinosi</v>
      </c>
      <c r="C23" s="563"/>
      <c r="D23" s="563"/>
      <c r="E23" s="563"/>
      <c r="F23" s="563"/>
      <c r="G23" s="153">
        <v>364915.44</v>
      </c>
      <c r="H23" s="153">
        <v>899952.36</v>
      </c>
      <c r="I23" s="153">
        <v>1181324.81</v>
      </c>
      <c r="J23" s="153">
        <v>1017879.46</v>
      </c>
      <c r="K23" s="153">
        <v>1143219.55</v>
      </c>
      <c r="L23" s="153">
        <v>1321775.42</v>
      </c>
      <c r="M23" s="153">
        <v>1139648.46</v>
      </c>
      <c r="N23" s="153">
        <v>1197347.71</v>
      </c>
      <c r="O23" s="153">
        <v>1201746.1100000001</v>
      </c>
      <c r="P23" s="153">
        <v>1124349.83</v>
      </c>
      <c r="Q23" s="153">
        <v>1088941.48</v>
      </c>
      <c r="R23" s="153">
        <v>2131466.92</v>
      </c>
      <c r="S23" s="270">
        <f t="shared" si="4"/>
        <v>13812567.550000001</v>
      </c>
      <c r="T23" s="329">
        <f t="shared" si="3"/>
        <v>0.27875366691718201</v>
      </c>
      <c r="U23" s="326"/>
      <c r="V23" s="172"/>
    </row>
    <row r="24" spans="1:23">
      <c r="A24" s="145">
        <v>713</v>
      </c>
      <c r="B24" s="566" t="str">
        <f>+VLOOKUP($A24,Master!$D$30:$G$226,4,FALSE)</f>
        <v>Takse</v>
      </c>
      <c r="C24" s="567"/>
      <c r="D24" s="567"/>
      <c r="E24" s="567"/>
      <c r="F24" s="567"/>
      <c r="G24" s="159">
        <v>584646.93999999994</v>
      </c>
      <c r="H24" s="159">
        <v>704783.95</v>
      </c>
      <c r="I24" s="159">
        <v>872908.3</v>
      </c>
      <c r="J24" s="159">
        <v>708969.28</v>
      </c>
      <c r="K24" s="159">
        <v>950302.02</v>
      </c>
      <c r="L24" s="159">
        <v>1102631.99</v>
      </c>
      <c r="M24" s="159">
        <v>1493538.93</v>
      </c>
      <c r="N24" s="159">
        <v>1647875.46</v>
      </c>
      <c r="O24" s="159">
        <v>1279203.6200000001</v>
      </c>
      <c r="P24" s="159">
        <v>999355.85</v>
      </c>
      <c r="Q24" s="159">
        <v>1092535.69</v>
      </c>
      <c r="R24" s="159">
        <v>1205165.5</v>
      </c>
      <c r="S24" s="284">
        <f t="shared" si="4"/>
        <v>12641917.529999999</v>
      </c>
      <c r="T24" s="330">
        <f t="shared" si="3"/>
        <v>0.25512858891698997</v>
      </c>
      <c r="U24" s="326"/>
      <c r="V24" s="172"/>
    </row>
    <row r="25" spans="1:23">
      <c r="A25" s="145">
        <v>714</v>
      </c>
      <c r="B25" s="566" t="str">
        <f>+VLOOKUP($A25,Master!$D$30:$G$226,4,FALSE)</f>
        <v>Naknade</v>
      </c>
      <c r="C25" s="567"/>
      <c r="D25" s="567"/>
      <c r="E25" s="567"/>
      <c r="F25" s="567"/>
      <c r="G25" s="159">
        <v>2883058.19</v>
      </c>
      <c r="H25" s="159">
        <v>2375091.2999999998</v>
      </c>
      <c r="I25" s="159">
        <v>2388170.21</v>
      </c>
      <c r="J25" s="159">
        <v>3519204.05</v>
      </c>
      <c r="K25" s="159">
        <v>2612132.11</v>
      </c>
      <c r="L25" s="159">
        <v>3324411.04</v>
      </c>
      <c r="M25" s="159">
        <v>4686227.58</v>
      </c>
      <c r="N25" s="159">
        <v>3469493.29</v>
      </c>
      <c r="O25" s="159">
        <v>3922721.92</v>
      </c>
      <c r="P25" s="159">
        <v>4441066.2300000004</v>
      </c>
      <c r="Q25" s="159">
        <v>5178797.51</v>
      </c>
      <c r="R25" s="159">
        <v>12294668.550000001</v>
      </c>
      <c r="S25" s="284">
        <f t="shared" si="4"/>
        <v>51095041.979999997</v>
      </c>
      <c r="T25" s="330">
        <f t="shared" si="3"/>
        <v>1.03115733274458</v>
      </c>
      <c r="U25" s="326"/>
      <c r="V25" s="172"/>
    </row>
    <row r="26" spans="1:23">
      <c r="A26" s="145">
        <v>715</v>
      </c>
      <c r="B26" s="566" t="str">
        <f>+VLOOKUP($A26,Master!$D$30:$G$226,4,FALSE)</f>
        <v>Ostali prihodi</v>
      </c>
      <c r="C26" s="567"/>
      <c r="D26" s="567"/>
      <c r="E26" s="567"/>
      <c r="F26" s="567"/>
      <c r="G26" s="159">
        <v>1525496.18</v>
      </c>
      <c r="H26" s="159">
        <v>1791757.35</v>
      </c>
      <c r="I26" s="159">
        <v>1693779.5</v>
      </c>
      <c r="J26" s="159">
        <v>1358988.92</v>
      </c>
      <c r="K26" s="159">
        <v>3754382.9</v>
      </c>
      <c r="L26" s="159">
        <v>2287001.67</v>
      </c>
      <c r="M26" s="159">
        <v>30215055.109999999</v>
      </c>
      <c r="N26" s="159">
        <v>2283335.13</v>
      </c>
      <c r="O26" s="159">
        <v>1871626.8</v>
      </c>
      <c r="P26" s="159">
        <v>1566793.48</v>
      </c>
      <c r="Q26" s="159">
        <v>1628758.26</v>
      </c>
      <c r="R26" s="159">
        <v>9339583.0500000007</v>
      </c>
      <c r="S26" s="284">
        <f t="shared" si="4"/>
        <v>59316558.350000001</v>
      </c>
      <c r="T26" s="330">
        <f t="shared" si="3"/>
        <v>1.1970770886090301</v>
      </c>
      <c r="U26" s="326"/>
      <c r="V26" s="172"/>
    </row>
    <row r="27" spans="1:23">
      <c r="A27" s="145">
        <v>73</v>
      </c>
      <c r="B27" s="566" t="str">
        <f>+VLOOKUP($A27,Master!$D$30:$G$226,4,FALSE)</f>
        <v>Primici od otplate kredita i sredstva prenesena iz prethodne godine</v>
      </c>
      <c r="C27" s="567"/>
      <c r="D27" s="567"/>
      <c r="E27" s="567"/>
      <c r="F27" s="567"/>
      <c r="G27" s="159">
        <v>110781.34</v>
      </c>
      <c r="H27" s="159">
        <v>820681.81</v>
      </c>
      <c r="I27" s="159">
        <v>648742.61</v>
      </c>
      <c r="J27" s="159">
        <v>877190.87</v>
      </c>
      <c r="K27" s="159">
        <v>917316.42</v>
      </c>
      <c r="L27" s="159">
        <v>1262111.45</v>
      </c>
      <c r="M27" s="159">
        <v>410107.7</v>
      </c>
      <c r="N27" s="159">
        <v>594112.48</v>
      </c>
      <c r="O27" s="159">
        <v>261920.15</v>
      </c>
      <c r="P27" s="159">
        <v>739287.02</v>
      </c>
      <c r="Q27" s="159">
        <v>1198500.76</v>
      </c>
      <c r="R27" s="159">
        <v>2260792.52</v>
      </c>
      <c r="S27" s="284">
        <f t="shared" si="4"/>
        <v>10101545.130000001</v>
      </c>
      <c r="T27" s="330">
        <f t="shared" si="3"/>
        <v>0.20386092131849201</v>
      </c>
      <c r="U27" s="326"/>
      <c r="V27" s="172"/>
    </row>
    <row r="28" spans="1:23">
      <c r="A28" s="145">
        <v>74</v>
      </c>
      <c r="B28" s="568" t="str">
        <f>+VLOOKUP($A28,Master!$D$30:$G$226,4,FALSE)</f>
        <v>Donacije i transferi</v>
      </c>
      <c r="C28" s="569"/>
      <c r="D28" s="569"/>
      <c r="E28" s="569"/>
      <c r="F28" s="569"/>
      <c r="G28" s="159">
        <v>196070.01</v>
      </c>
      <c r="H28" s="159">
        <v>1359247.78</v>
      </c>
      <c r="I28" s="159">
        <v>1522925.29</v>
      </c>
      <c r="J28" s="159">
        <v>1551438.49</v>
      </c>
      <c r="K28" s="159">
        <v>1021922.13</v>
      </c>
      <c r="L28" s="159">
        <v>2485028.85</v>
      </c>
      <c r="M28" s="159">
        <v>2374857.2999999998</v>
      </c>
      <c r="N28" s="159">
        <v>787318.87</v>
      </c>
      <c r="O28" s="159">
        <v>4215127.58</v>
      </c>
      <c r="P28" s="159">
        <v>3100970.75</v>
      </c>
      <c r="Q28" s="159">
        <v>2702380.72</v>
      </c>
      <c r="R28" s="159">
        <v>18559406.670000002</v>
      </c>
      <c r="S28" s="284">
        <f t="shared" si="4"/>
        <v>39876694.439999998</v>
      </c>
      <c r="T28" s="331">
        <f t="shared" si="3"/>
        <v>0.80475804078047797</v>
      </c>
      <c r="U28" s="326"/>
      <c r="V28" s="172"/>
    </row>
    <row r="29" spans="1:23">
      <c r="A29" s="145">
        <v>4</v>
      </c>
      <c r="B29" s="570" t="str">
        <f>+VLOOKUP($A29,Master!$D$30:$G$226,4,FALSE)</f>
        <v>Izdaci budžeta</v>
      </c>
      <c r="C29" s="571"/>
      <c r="D29" s="571"/>
      <c r="E29" s="571"/>
      <c r="F29" s="571"/>
      <c r="G29" s="146">
        <f>+G30+G40+G46+SUM(G47:G51)</f>
        <v>127396828.25</v>
      </c>
      <c r="H29" s="146">
        <f t="shared" ref="H29:R29" si="6">+H30+H40+H46+SUM(H47:H51)</f>
        <v>157167837.00999999</v>
      </c>
      <c r="I29" s="146">
        <f t="shared" si="6"/>
        <v>164445477.49000001</v>
      </c>
      <c r="J29" s="146">
        <f t="shared" si="6"/>
        <v>184229402.44</v>
      </c>
      <c r="K29" s="146">
        <f t="shared" si="6"/>
        <v>156160617.69999999</v>
      </c>
      <c r="L29" s="146">
        <f t="shared" si="6"/>
        <v>155954573.21000001</v>
      </c>
      <c r="M29" s="146">
        <f t="shared" si="6"/>
        <v>153615847.25999999</v>
      </c>
      <c r="N29" s="146">
        <f t="shared" si="6"/>
        <v>129238299.73</v>
      </c>
      <c r="O29" s="146">
        <f t="shared" si="6"/>
        <v>178825524.81</v>
      </c>
      <c r="P29" s="146">
        <f t="shared" si="6"/>
        <v>157199480.03</v>
      </c>
      <c r="Q29" s="146">
        <f t="shared" si="6"/>
        <v>171968946.21000001</v>
      </c>
      <c r="R29" s="146">
        <f t="shared" si="6"/>
        <v>274697551.67000002</v>
      </c>
      <c r="S29" s="287">
        <f t="shared" si="4"/>
        <v>2010900385.8099999</v>
      </c>
      <c r="T29" s="332">
        <f t="shared" si="3"/>
        <v>40.5823069694029</v>
      </c>
    </row>
    <row r="30" spans="1:23">
      <c r="A30" s="145">
        <v>41</v>
      </c>
      <c r="B30" s="574" t="str">
        <f>+VLOOKUP($A30,Master!$D$30:$G$226,4,FALSE)</f>
        <v>Tekući izdaci</v>
      </c>
      <c r="C30" s="575"/>
      <c r="D30" s="575"/>
      <c r="E30" s="575"/>
      <c r="F30" s="575"/>
      <c r="G30" s="168">
        <f t="shared" ref="G30:R30" si="7">+SUM(G31:G39)</f>
        <v>51210284.649999999</v>
      </c>
      <c r="H30" s="168">
        <f t="shared" si="7"/>
        <v>62965413.100000001</v>
      </c>
      <c r="I30" s="168">
        <f t="shared" si="7"/>
        <v>74935995.659999996</v>
      </c>
      <c r="J30" s="168">
        <f t="shared" si="7"/>
        <v>90496993.260000005</v>
      </c>
      <c r="K30" s="168">
        <f t="shared" si="7"/>
        <v>68124731.879999995</v>
      </c>
      <c r="L30" s="168">
        <f t="shared" si="7"/>
        <v>67097102.759999998</v>
      </c>
      <c r="M30" s="168">
        <f t="shared" si="7"/>
        <v>63481997.490000002</v>
      </c>
      <c r="N30" s="168">
        <f t="shared" si="7"/>
        <v>55427957.799999997</v>
      </c>
      <c r="O30" s="168">
        <f t="shared" si="7"/>
        <v>78413496.099999994</v>
      </c>
      <c r="P30" s="168">
        <f t="shared" si="7"/>
        <v>65409325.240000002</v>
      </c>
      <c r="Q30" s="168">
        <f t="shared" si="7"/>
        <v>70426763.629999995</v>
      </c>
      <c r="R30" s="169">
        <f t="shared" si="7"/>
        <v>127800869.73</v>
      </c>
      <c r="S30" s="289">
        <f t="shared" si="4"/>
        <v>875790931.29999995</v>
      </c>
      <c r="T30" s="327">
        <f t="shared" si="3"/>
        <v>17.674478888082501</v>
      </c>
      <c r="U30" s="270"/>
    </row>
    <row r="31" spans="1:23">
      <c r="A31" s="145">
        <v>411</v>
      </c>
      <c r="B31" s="562" t="str">
        <f>+VLOOKUP($A31,Master!$D$30:$G$226,4,FALSE)</f>
        <v>Bruto zarade i doprinosi na teret poslodavca</v>
      </c>
      <c r="C31" s="563"/>
      <c r="D31" s="563"/>
      <c r="E31" s="563"/>
      <c r="F31" s="563"/>
      <c r="G31" s="153">
        <v>40605076.340000004</v>
      </c>
      <c r="H31" s="153">
        <v>49306803.189999998</v>
      </c>
      <c r="I31" s="153">
        <v>44665315.899999999</v>
      </c>
      <c r="J31" s="153">
        <v>46104548.219999999</v>
      </c>
      <c r="K31" s="153">
        <v>46327073.869999997</v>
      </c>
      <c r="L31" s="153">
        <v>44231501.740000002</v>
      </c>
      <c r="M31" s="153">
        <v>43807195.049999997</v>
      </c>
      <c r="N31" s="153">
        <v>42438933.920000002</v>
      </c>
      <c r="O31" s="153">
        <v>43464407.469999999</v>
      </c>
      <c r="P31" s="153">
        <v>44324596.259999998</v>
      </c>
      <c r="Q31" s="153">
        <v>42746815.590000004</v>
      </c>
      <c r="R31" s="153">
        <v>47109142.439999998</v>
      </c>
      <c r="S31" s="270">
        <f t="shared" si="4"/>
        <v>535131409.99000001</v>
      </c>
      <c r="T31" s="329">
        <f t="shared" si="3"/>
        <v>10.7995738140136</v>
      </c>
      <c r="U31" s="326"/>
      <c r="V31" s="172"/>
      <c r="W31" s="172"/>
    </row>
    <row r="32" spans="1:23">
      <c r="A32" s="145">
        <v>412</v>
      </c>
      <c r="B32" s="562" t="str">
        <f>+VLOOKUP($A32,Master!$D$30:$G$226,4,FALSE)</f>
        <v>Ostala lična primanja</v>
      </c>
      <c r="C32" s="563"/>
      <c r="D32" s="563"/>
      <c r="E32" s="563"/>
      <c r="F32" s="563"/>
      <c r="G32" s="153">
        <v>108603.95</v>
      </c>
      <c r="H32" s="153">
        <v>889477.21</v>
      </c>
      <c r="I32" s="153">
        <v>864515.21</v>
      </c>
      <c r="J32" s="153">
        <v>1093625.3</v>
      </c>
      <c r="K32" s="153">
        <v>847625.01</v>
      </c>
      <c r="L32" s="153">
        <v>813914.56</v>
      </c>
      <c r="M32" s="153">
        <v>749930.47</v>
      </c>
      <c r="N32" s="153">
        <v>668764.4</v>
      </c>
      <c r="O32" s="153">
        <v>915237.68</v>
      </c>
      <c r="P32" s="153">
        <v>879406.09</v>
      </c>
      <c r="Q32" s="153">
        <v>1196263.8500000001</v>
      </c>
      <c r="R32" s="153">
        <v>2247806.5299999998</v>
      </c>
      <c r="S32" s="270">
        <f t="shared" si="4"/>
        <v>11275170.26</v>
      </c>
      <c r="T32" s="329">
        <f t="shared" si="3"/>
        <v>0.22754604049632701</v>
      </c>
      <c r="U32" s="326"/>
      <c r="V32" s="172"/>
    </row>
    <row r="33" spans="1:24">
      <c r="A33" s="145">
        <v>413</v>
      </c>
      <c r="B33" s="562" t="str">
        <f>+VLOOKUP($A33,Master!$D$30:$G$226,4,FALSE)</f>
        <v>Rashodi za materijal</v>
      </c>
      <c r="C33" s="563"/>
      <c r="D33" s="563"/>
      <c r="E33" s="563"/>
      <c r="F33" s="563"/>
      <c r="G33" s="153">
        <v>596838.26</v>
      </c>
      <c r="H33" s="153">
        <v>1661848.94</v>
      </c>
      <c r="I33" s="153">
        <v>2846541.08</v>
      </c>
      <c r="J33" s="153">
        <v>2296904.4900000002</v>
      </c>
      <c r="K33" s="153">
        <v>3107444.27</v>
      </c>
      <c r="L33" s="153">
        <v>3282627.05</v>
      </c>
      <c r="M33" s="153">
        <v>1182931.33</v>
      </c>
      <c r="N33" s="153">
        <v>1969996.33</v>
      </c>
      <c r="O33" s="153">
        <v>2482311.52</v>
      </c>
      <c r="P33" s="153">
        <v>3816798.21</v>
      </c>
      <c r="Q33" s="153">
        <v>3299098.02</v>
      </c>
      <c r="R33" s="153">
        <v>8911018.8100000005</v>
      </c>
      <c r="S33" s="270">
        <f t="shared" si="4"/>
        <v>35454358.310000002</v>
      </c>
      <c r="T33" s="329">
        <f t="shared" si="3"/>
        <v>0.71551015778439897</v>
      </c>
      <c r="U33" s="326"/>
      <c r="V33" s="326"/>
      <c r="W33" s="328"/>
      <c r="X33" s="328"/>
    </row>
    <row r="34" spans="1:24" s="267" customFormat="1">
      <c r="A34" s="272">
        <v>414</v>
      </c>
      <c r="B34" s="600" t="str">
        <f>+VLOOKUP($A34,Master!$D$30:$G$226,4,FALSE)</f>
        <v>Rashodi za usluge</v>
      </c>
      <c r="C34" s="601"/>
      <c r="D34" s="601"/>
      <c r="E34" s="601"/>
      <c r="F34" s="601"/>
      <c r="G34" s="153">
        <v>1050676.99</v>
      </c>
      <c r="H34" s="153">
        <v>2622012.9300000002</v>
      </c>
      <c r="I34" s="153">
        <v>3354519.16</v>
      </c>
      <c r="J34" s="153">
        <v>6154506.5599999996</v>
      </c>
      <c r="K34" s="153">
        <v>5017598.9000000004</v>
      </c>
      <c r="L34" s="153">
        <v>3879531.65</v>
      </c>
      <c r="M34" s="153">
        <v>6369348.1299999999</v>
      </c>
      <c r="N34" s="153">
        <v>4219891.16</v>
      </c>
      <c r="O34" s="153">
        <v>4939166.8</v>
      </c>
      <c r="P34" s="153">
        <v>4343483.78</v>
      </c>
      <c r="Q34" s="153">
        <v>4786018.53</v>
      </c>
      <c r="R34" s="153">
        <v>13024531.369999999</v>
      </c>
      <c r="S34" s="270">
        <f t="shared" si="4"/>
        <v>59761285.960000001</v>
      </c>
      <c r="T34" s="329">
        <f t="shared" si="3"/>
        <v>1.20605220866676</v>
      </c>
      <c r="U34" s="326"/>
    </row>
    <row r="35" spans="1:24">
      <c r="A35" s="145">
        <v>415</v>
      </c>
      <c r="B35" s="562" t="str">
        <f>+VLOOKUP($A35,Master!$D$30:$G$226,4,FALSE)</f>
        <v>Rashodi za tekuće održavanje</v>
      </c>
      <c r="C35" s="563"/>
      <c r="D35" s="563"/>
      <c r="E35" s="563"/>
      <c r="F35" s="563"/>
      <c r="G35" s="153">
        <v>189404.04</v>
      </c>
      <c r="H35" s="153">
        <v>914551.09</v>
      </c>
      <c r="I35" s="153">
        <v>2439729.2400000002</v>
      </c>
      <c r="J35" s="153">
        <v>1685725.93</v>
      </c>
      <c r="K35" s="153">
        <v>1714591.59</v>
      </c>
      <c r="L35" s="153">
        <v>1668289.12</v>
      </c>
      <c r="M35" s="153">
        <v>1673838.33</v>
      </c>
      <c r="N35" s="153">
        <v>625484.89</v>
      </c>
      <c r="O35" s="153">
        <v>2494776.16</v>
      </c>
      <c r="P35" s="153">
        <v>1622294.67</v>
      </c>
      <c r="Q35" s="153">
        <v>2048358.48</v>
      </c>
      <c r="R35" s="153">
        <v>4621532.54</v>
      </c>
      <c r="S35" s="270">
        <f t="shared" si="4"/>
        <v>21698576.079999998</v>
      </c>
      <c r="T35" s="329">
        <f t="shared" si="3"/>
        <v>0.43790248462397202</v>
      </c>
      <c r="U35" s="326"/>
      <c r="V35" s="172"/>
    </row>
    <row r="36" spans="1:24">
      <c r="A36" s="145">
        <v>416</v>
      </c>
      <c r="B36" s="562" t="str">
        <f>+VLOOKUP($A36,Master!$D$30:$G$226,4,FALSE)</f>
        <v>Kamate</v>
      </c>
      <c r="C36" s="563"/>
      <c r="D36" s="563"/>
      <c r="E36" s="563"/>
      <c r="F36" s="563"/>
      <c r="G36" s="153">
        <v>7577485.0700000003</v>
      </c>
      <c r="H36" s="153">
        <v>1964190.38</v>
      </c>
      <c r="I36" s="153">
        <v>14787982.57</v>
      </c>
      <c r="J36" s="153">
        <v>22768511.960000001</v>
      </c>
      <c r="K36" s="153">
        <v>6700300.8399999999</v>
      </c>
      <c r="L36" s="153">
        <v>5290054.43</v>
      </c>
      <c r="M36" s="153">
        <v>4536771.22</v>
      </c>
      <c r="N36" s="153">
        <v>1656473.82</v>
      </c>
      <c r="O36" s="153">
        <v>14251047.82</v>
      </c>
      <c r="P36" s="153">
        <v>1257915.1499999999</v>
      </c>
      <c r="Q36" s="153">
        <v>6572572.5</v>
      </c>
      <c r="R36" s="153">
        <v>26695596.420000002</v>
      </c>
      <c r="S36" s="270">
        <f t="shared" si="4"/>
        <v>114058902.18000001</v>
      </c>
      <c r="T36" s="329">
        <f t="shared" si="3"/>
        <v>2.3018412117899998</v>
      </c>
      <c r="U36" s="326"/>
      <c r="V36" s="172"/>
    </row>
    <row r="37" spans="1:24">
      <c r="A37" s="145">
        <v>417</v>
      </c>
      <c r="B37" s="562" t="str">
        <f>+VLOOKUP($A37,Master!$D$30:$G$226,4,FALSE)</f>
        <v>Renta</v>
      </c>
      <c r="C37" s="563"/>
      <c r="D37" s="563"/>
      <c r="E37" s="563"/>
      <c r="F37" s="563"/>
      <c r="G37" s="153">
        <v>38595.83</v>
      </c>
      <c r="H37" s="153">
        <v>967161.85</v>
      </c>
      <c r="I37" s="153">
        <v>803228.89</v>
      </c>
      <c r="J37" s="153">
        <v>789217.3</v>
      </c>
      <c r="K37" s="153">
        <v>642844.74</v>
      </c>
      <c r="L37" s="153">
        <v>989320.52</v>
      </c>
      <c r="M37" s="153">
        <v>776698.1</v>
      </c>
      <c r="N37" s="153">
        <v>599617.06999999995</v>
      </c>
      <c r="O37" s="153">
        <v>1289567.81</v>
      </c>
      <c r="P37" s="153">
        <v>956228.2</v>
      </c>
      <c r="Q37" s="153">
        <v>1013643.73</v>
      </c>
      <c r="R37" s="153">
        <v>2324906.65</v>
      </c>
      <c r="S37" s="270">
        <f t="shared" si="4"/>
        <v>11191030.689999999</v>
      </c>
      <c r="T37" s="329">
        <f t="shared" si="3"/>
        <v>0.22584800618189399</v>
      </c>
      <c r="U37" s="326"/>
      <c r="V37" s="172"/>
    </row>
    <row r="38" spans="1:24">
      <c r="A38" s="145">
        <v>418</v>
      </c>
      <c r="B38" s="562" t="str">
        <f>+VLOOKUP($A38,Master!$D$30:$G$226,4,FALSE)</f>
        <v>Subvencije</v>
      </c>
      <c r="C38" s="563"/>
      <c r="D38" s="563"/>
      <c r="E38" s="563"/>
      <c r="F38" s="563"/>
      <c r="G38" s="153">
        <v>250639.34</v>
      </c>
      <c r="H38" s="153">
        <v>2319834.88</v>
      </c>
      <c r="I38" s="153">
        <v>1744604.63</v>
      </c>
      <c r="J38" s="153">
        <v>6896008.3300000001</v>
      </c>
      <c r="K38" s="153">
        <v>1176181.68</v>
      </c>
      <c r="L38" s="153">
        <v>4169288.28</v>
      </c>
      <c r="M38" s="153">
        <v>2490496.2400000002</v>
      </c>
      <c r="N38" s="153">
        <v>1281724.1100000001</v>
      </c>
      <c r="O38" s="153">
        <v>5015730.92</v>
      </c>
      <c r="P38" s="153">
        <v>5211144.05</v>
      </c>
      <c r="Q38" s="153">
        <v>4749689.82</v>
      </c>
      <c r="R38" s="153">
        <v>13213431.09</v>
      </c>
      <c r="S38" s="270">
        <f t="shared" si="4"/>
        <v>48518773.369999997</v>
      </c>
      <c r="T38" s="329">
        <f t="shared" si="3"/>
        <v>0.97916523790764998</v>
      </c>
      <c r="U38" s="326"/>
      <c r="V38" s="172"/>
    </row>
    <row r="39" spans="1:24" s="267" customFormat="1">
      <c r="A39" s="272">
        <v>419</v>
      </c>
      <c r="B39" s="600" t="str">
        <f>+VLOOKUP($A39,Master!$D$30:$G$226,4,FALSE)</f>
        <v>Ostali izdaci</v>
      </c>
      <c r="C39" s="601"/>
      <c r="D39" s="601"/>
      <c r="E39" s="601"/>
      <c r="F39" s="601"/>
      <c r="G39" s="153">
        <v>792964.83</v>
      </c>
      <c r="H39" s="153">
        <v>2319532.63</v>
      </c>
      <c r="I39" s="153">
        <v>3429558.98</v>
      </c>
      <c r="J39" s="153">
        <v>2707945.17</v>
      </c>
      <c r="K39" s="153">
        <v>2591070.98</v>
      </c>
      <c r="L39" s="153">
        <v>2772575.41</v>
      </c>
      <c r="M39" s="153">
        <v>1894788.62</v>
      </c>
      <c r="N39" s="153">
        <v>1967072.1</v>
      </c>
      <c r="O39" s="153">
        <v>3561249.92</v>
      </c>
      <c r="P39" s="153">
        <v>2997458.83</v>
      </c>
      <c r="Q39" s="153">
        <v>4014303.11</v>
      </c>
      <c r="R39" s="153">
        <v>9652903.8800000008</v>
      </c>
      <c r="S39" s="270">
        <f t="shared" si="4"/>
        <v>38701424.460000001</v>
      </c>
      <c r="T39" s="329">
        <f t="shared" si="3"/>
        <v>0.781039726617904</v>
      </c>
      <c r="U39" s="326"/>
      <c r="V39" s="172"/>
    </row>
    <row r="40" spans="1:24">
      <c r="A40" s="145">
        <v>42</v>
      </c>
      <c r="B40" s="576" t="str">
        <f>+VLOOKUP($A40,Master!$D$30:$G$226,4,FALSE)</f>
        <v>Transferi za socijalnu zaštitu</v>
      </c>
      <c r="C40" s="577"/>
      <c r="D40" s="577"/>
      <c r="E40" s="577"/>
      <c r="F40" s="577"/>
      <c r="G40" s="174">
        <f>+SUM(G41:G45)</f>
        <v>43785961.259999998</v>
      </c>
      <c r="H40" s="174">
        <f t="shared" ref="H40:R40" si="8">+SUM(H41:H45)</f>
        <v>45968964.68</v>
      </c>
      <c r="I40" s="174">
        <f t="shared" si="8"/>
        <v>47469284.640000001</v>
      </c>
      <c r="J40" s="174">
        <f t="shared" si="8"/>
        <v>47454391.899999999</v>
      </c>
      <c r="K40" s="174">
        <f t="shared" si="8"/>
        <v>47582478.649999999</v>
      </c>
      <c r="L40" s="174">
        <f t="shared" si="8"/>
        <v>47701801.869999997</v>
      </c>
      <c r="M40" s="174">
        <f t="shared" si="8"/>
        <v>46709328.350000001</v>
      </c>
      <c r="N40" s="174">
        <f t="shared" si="8"/>
        <v>48312853.210000001</v>
      </c>
      <c r="O40" s="174">
        <f t="shared" si="8"/>
        <v>47346058.890000001</v>
      </c>
      <c r="P40" s="174">
        <f t="shared" si="8"/>
        <v>47321393.020000003</v>
      </c>
      <c r="Q40" s="174">
        <f t="shared" si="8"/>
        <v>47602308.229999997</v>
      </c>
      <c r="R40" s="175">
        <f t="shared" si="8"/>
        <v>50150725.600000001</v>
      </c>
      <c r="S40" s="333">
        <f t="shared" si="4"/>
        <v>567405550.29999995</v>
      </c>
      <c r="T40" s="334">
        <f t="shared" si="3"/>
        <v>11.4509034763263</v>
      </c>
      <c r="U40" s="270"/>
    </row>
    <row r="41" spans="1:24">
      <c r="A41" s="145">
        <v>421</v>
      </c>
      <c r="B41" s="562" t="str">
        <f>+VLOOKUP($A41,Master!$D$30:$G$226,4,FALSE)</f>
        <v>Prava iz oblasti socijalne zaštite</v>
      </c>
      <c r="C41" s="563"/>
      <c r="D41" s="563"/>
      <c r="E41" s="563"/>
      <c r="F41" s="563"/>
      <c r="G41" s="153">
        <v>6454244.7199999997</v>
      </c>
      <c r="H41" s="153">
        <v>6750144.4400000004</v>
      </c>
      <c r="I41" s="153">
        <v>6520717.1299999999</v>
      </c>
      <c r="J41" s="153">
        <v>6831472.7699999996</v>
      </c>
      <c r="K41" s="153">
        <v>6484537.2599999998</v>
      </c>
      <c r="L41" s="153">
        <v>6972648.9400000004</v>
      </c>
      <c r="M41" s="153">
        <v>6924485.1699999999</v>
      </c>
      <c r="N41" s="153">
        <v>6922132.7699999996</v>
      </c>
      <c r="O41" s="153">
        <v>7012911.9400000004</v>
      </c>
      <c r="P41" s="153">
        <v>7587918.79</v>
      </c>
      <c r="Q41" s="153">
        <v>8108140.6100000003</v>
      </c>
      <c r="R41" s="153">
        <v>8364482.7699999996</v>
      </c>
      <c r="S41" s="270">
        <f t="shared" si="4"/>
        <v>84933837.310000002</v>
      </c>
      <c r="T41" s="329">
        <f t="shared" si="3"/>
        <v>1.7140635518926299</v>
      </c>
      <c r="U41" s="326"/>
      <c r="V41" s="172"/>
    </row>
    <row r="42" spans="1:24">
      <c r="A42" s="145">
        <v>422</v>
      </c>
      <c r="B42" s="562" t="str">
        <f>+VLOOKUP($A42,Master!$D$30:$G$226,4,FALSE)</f>
        <v>Sredstva za tehnološke viškove</v>
      </c>
      <c r="C42" s="563"/>
      <c r="D42" s="563"/>
      <c r="E42" s="563"/>
      <c r="F42" s="563"/>
      <c r="G42" s="153">
        <v>7431.6</v>
      </c>
      <c r="H42" s="153">
        <v>1490578.4</v>
      </c>
      <c r="I42" s="153">
        <v>1502929.47</v>
      </c>
      <c r="J42" s="153">
        <v>2281979.0699999998</v>
      </c>
      <c r="K42" s="153">
        <v>2473730.75</v>
      </c>
      <c r="L42" s="153">
        <v>2394445.0099999998</v>
      </c>
      <c r="M42" s="153">
        <v>1479581.31</v>
      </c>
      <c r="N42" s="153">
        <v>3011655.31</v>
      </c>
      <c r="O42" s="153">
        <v>1946279.26</v>
      </c>
      <c r="P42" s="153">
        <v>1580041.11</v>
      </c>
      <c r="Q42" s="153">
        <v>1693671.28</v>
      </c>
      <c r="R42" s="153">
        <v>3225105.76</v>
      </c>
      <c r="S42" s="270">
        <f t="shared" si="4"/>
        <v>23087428.329999998</v>
      </c>
      <c r="T42" s="329">
        <f t="shared" si="3"/>
        <v>0.46593113723271101</v>
      </c>
      <c r="U42" s="326"/>
      <c r="V42" s="172"/>
    </row>
    <row r="43" spans="1:24">
      <c r="A43" s="145">
        <v>423</v>
      </c>
      <c r="B43" s="562" t="str">
        <f>+VLOOKUP($A43,Master!$D$30:$G$226,4,FALSE)</f>
        <v>Prava iz oblasti penzijskog i invalidskog osiguranja</v>
      </c>
      <c r="C43" s="563"/>
      <c r="D43" s="563"/>
      <c r="E43" s="563"/>
      <c r="F43" s="563"/>
      <c r="G43" s="153">
        <v>35881608.200000003</v>
      </c>
      <c r="H43" s="153">
        <v>36381736.170000002</v>
      </c>
      <c r="I43" s="153">
        <v>36148021.82</v>
      </c>
      <c r="J43" s="153">
        <v>36173730.149999999</v>
      </c>
      <c r="K43" s="153">
        <v>36021435.969999999</v>
      </c>
      <c r="L43" s="153">
        <v>35679553.039999999</v>
      </c>
      <c r="M43" s="153">
        <v>35659550.979999997</v>
      </c>
      <c r="N43" s="153">
        <v>35676248.939999998</v>
      </c>
      <c r="O43" s="153">
        <v>35868624.289999999</v>
      </c>
      <c r="P43" s="153">
        <v>35842810.990000002</v>
      </c>
      <c r="Q43" s="153">
        <v>35886030.640000001</v>
      </c>
      <c r="R43" s="153">
        <v>35788467.600000001</v>
      </c>
      <c r="S43" s="270">
        <f t="shared" si="4"/>
        <v>431007818.79000002</v>
      </c>
      <c r="T43" s="329">
        <f t="shared" si="3"/>
        <v>8.6982387251882702</v>
      </c>
      <c r="U43" s="326"/>
      <c r="V43" s="172"/>
    </row>
    <row r="44" spans="1:24">
      <c r="A44" s="145">
        <v>424</v>
      </c>
      <c r="B44" s="562" t="str">
        <f>+VLOOKUP($A44,Master!$D$30:$G$226,4,FALSE)</f>
        <v>Ostala prava iz oblasti zdravstvene zaštite</v>
      </c>
      <c r="C44" s="563"/>
      <c r="D44" s="563"/>
      <c r="E44" s="563"/>
      <c r="F44" s="563"/>
      <c r="G44" s="153">
        <v>828960.19</v>
      </c>
      <c r="H44" s="153">
        <v>1147931.58</v>
      </c>
      <c r="I44" s="153">
        <v>1836110.36</v>
      </c>
      <c r="J44" s="153">
        <v>1348826.37</v>
      </c>
      <c r="K44" s="153">
        <v>1665470.72</v>
      </c>
      <c r="L44" s="153">
        <v>1598295.14</v>
      </c>
      <c r="M44" s="153">
        <v>1892227.84</v>
      </c>
      <c r="N44" s="153">
        <v>1514594.61</v>
      </c>
      <c r="O44" s="153">
        <v>1755810.82</v>
      </c>
      <c r="P44" s="153">
        <v>978865.16</v>
      </c>
      <c r="Q44" s="153">
        <v>925856.6</v>
      </c>
      <c r="R44" s="153">
        <v>1584384.3</v>
      </c>
      <c r="S44" s="270">
        <f t="shared" si="4"/>
        <v>17077333.690000001</v>
      </c>
      <c r="T44" s="329">
        <f t="shared" si="3"/>
        <v>0.34464044212083</v>
      </c>
      <c r="U44" s="326"/>
      <c r="V44" s="172"/>
    </row>
    <row r="45" spans="1:24" s="267" customFormat="1">
      <c r="A45" s="272">
        <v>425</v>
      </c>
      <c r="B45" s="602" t="str">
        <f>+VLOOKUP($A45,Master!$D$30:$G$226,4,FALSE)</f>
        <v>Ostala prava iz zdravstvenog osiguranja</v>
      </c>
      <c r="C45" s="603"/>
      <c r="D45" s="603"/>
      <c r="E45" s="603"/>
      <c r="F45" s="603"/>
      <c r="G45" s="153">
        <v>613716.55000000005</v>
      </c>
      <c r="H45" s="153">
        <v>198574.09</v>
      </c>
      <c r="I45" s="153">
        <v>1461505.86</v>
      </c>
      <c r="J45" s="153">
        <v>818383.54</v>
      </c>
      <c r="K45" s="153">
        <v>937303.95</v>
      </c>
      <c r="L45" s="153">
        <v>1056859.74</v>
      </c>
      <c r="M45" s="153">
        <v>753483.05</v>
      </c>
      <c r="N45" s="153">
        <v>1188221.58</v>
      </c>
      <c r="O45" s="153">
        <v>762432.58</v>
      </c>
      <c r="P45" s="153">
        <v>1331756.97</v>
      </c>
      <c r="Q45" s="153">
        <v>988609.1</v>
      </c>
      <c r="R45" s="153">
        <v>1188285.17</v>
      </c>
      <c r="S45" s="270">
        <f t="shared" si="4"/>
        <v>11299132.18</v>
      </c>
      <c r="T45" s="329">
        <f t="shared" si="3"/>
        <v>0.228029619891845</v>
      </c>
      <c r="U45" s="326"/>
      <c r="V45" s="172"/>
    </row>
    <row r="46" spans="1:24">
      <c r="A46" s="145">
        <v>43</v>
      </c>
      <c r="B46" s="580" t="str">
        <f>+VLOOKUP($A46,Master!$D$30:$G$226,4,FALSE)</f>
        <v>Transferi institucijama, pojedincima, nevladinom i javnom sektoru</v>
      </c>
      <c r="C46" s="581"/>
      <c r="D46" s="581"/>
      <c r="E46" s="581"/>
      <c r="F46" s="581"/>
      <c r="G46" s="159">
        <v>12392775.73</v>
      </c>
      <c r="H46" s="159">
        <v>21028699.079999998</v>
      </c>
      <c r="I46" s="159">
        <v>23735027.57</v>
      </c>
      <c r="J46" s="159">
        <v>17556277.370000001</v>
      </c>
      <c r="K46" s="159">
        <v>19594755.170000002</v>
      </c>
      <c r="L46" s="159">
        <v>24268005.550000001</v>
      </c>
      <c r="M46" s="159">
        <v>18906470.68</v>
      </c>
      <c r="N46" s="159">
        <v>16083684.529999999</v>
      </c>
      <c r="O46" s="159">
        <v>26541391.52</v>
      </c>
      <c r="P46" s="159">
        <v>20455248.059999999</v>
      </c>
      <c r="Q46" s="159">
        <v>27077034.149999999</v>
      </c>
      <c r="R46" s="159">
        <v>29427111.050000001</v>
      </c>
      <c r="S46" s="284">
        <f t="shared" si="4"/>
        <v>257066480.46000001</v>
      </c>
      <c r="T46" s="330">
        <f t="shared" si="3"/>
        <v>5.1879003530896197</v>
      </c>
      <c r="U46" s="326"/>
      <c r="V46" s="172"/>
    </row>
    <row r="47" spans="1:24">
      <c r="A47" s="145">
        <v>44</v>
      </c>
      <c r="B47" s="580" t="str">
        <f>+VLOOKUP($A47,Master!$D$30:$G$226,4,FALSE)</f>
        <v>Kapitalni izdaci</v>
      </c>
      <c r="C47" s="581"/>
      <c r="D47" s="581"/>
      <c r="E47" s="581"/>
      <c r="F47" s="581"/>
      <c r="G47" s="159">
        <v>11603510.130000001</v>
      </c>
      <c r="H47" s="159">
        <v>4574318.42</v>
      </c>
      <c r="I47" s="159">
        <v>8279888.46</v>
      </c>
      <c r="J47" s="159">
        <v>16938736.609999999</v>
      </c>
      <c r="K47" s="159">
        <v>6491669.8099999996</v>
      </c>
      <c r="L47" s="159">
        <v>11935338.039999999</v>
      </c>
      <c r="M47" s="159">
        <v>13239855.810000001</v>
      </c>
      <c r="N47" s="159">
        <v>7339618.0199999996</v>
      </c>
      <c r="O47" s="159">
        <v>24684802.260000002</v>
      </c>
      <c r="P47" s="159">
        <v>20452763.75</v>
      </c>
      <c r="Q47" s="159">
        <v>19451903.010000002</v>
      </c>
      <c r="R47" s="159">
        <v>59175879.799999997</v>
      </c>
      <c r="S47" s="284">
        <f t="shared" si="4"/>
        <v>204168284.12</v>
      </c>
      <c r="T47" s="330">
        <f t="shared" si="3"/>
        <v>4.1203532696308196</v>
      </c>
      <c r="U47" s="326"/>
      <c r="V47" s="172"/>
    </row>
    <row r="48" spans="1:24">
      <c r="A48" s="145">
        <v>451</v>
      </c>
      <c r="B48" s="604" t="str">
        <f>+VLOOKUP($A48,Master!$D$30:$G$226,4,FALSE)</f>
        <v>Pozajmice i krediti</v>
      </c>
      <c r="C48" s="605"/>
      <c r="D48" s="605"/>
      <c r="E48" s="605"/>
      <c r="F48" s="605"/>
      <c r="G48" s="153">
        <v>0</v>
      </c>
      <c r="H48" s="153">
        <v>259894</v>
      </c>
      <c r="I48" s="153">
        <v>5000</v>
      </c>
      <c r="J48" s="153">
        <v>287224</v>
      </c>
      <c r="K48" s="153">
        <v>0</v>
      </c>
      <c r="L48" s="153">
        <v>276662</v>
      </c>
      <c r="M48" s="153">
        <v>0</v>
      </c>
      <c r="N48" s="153">
        <v>0</v>
      </c>
      <c r="O48" s="153">
        <v>0</v>
      </c>
      <c r="P48" s="153">
        <v>320698</v>
      </c>
      <c r="Q48" s="153">
        <v>1680</v>
      </c>
      <c r="R48" s="153">
        <v>164365</v>
      </c>
      <c r="S48" s="270">
        <f t="shared" si="4"/>
        <v>1315523</v>
      </c>
      <c r="T48" s="329">
        <f t="shared" si="3"/>
        <v>2.6548783116278198E-2</v>
      </c>
      <c r="U48" s="326"/>
      <c r="V48" s="172"/>
    </row>
    <row r="49" spans="1:22" s="267" customFormat="1">
      <c r="A49" s="272">
        <v>47</v>
      </c>
      <c r="B49" s="606" t="str">
        <f>+VLOOKUP($A49,Master!$D$30:$G$226,4,FALSE)</f>
        <v>Rezerve</v>
      </c>
      <c r="C49" s="607"/>
      <c r="D49" s="607"/>
      <c r="E49" s="607"/>
      <c r="F49" s="607"/>
      <c r="G49" s="153">
        <v>3553855.38</v>
      </c>
      <c r="H49" s="153">
        <v>20728264.5</v>
      </c>
      <c r="I49" s="153">
        <v>8526683.3100000005</v>
      </c>
      <c r="J49" s="153">
        <v>10129681.51</v>
      </c>
      <c r="K49" s="153">
        <v>3333407.5</v>
      </c>
      <c r="L49" s="153">
        <v>3382486.47</v>
      </c>
      <c r="M49" s="153">
        <v>5897968.25</v>
      </c>
      <c r="N49" s="153">
        <v>1341810.29</v>
      </c>
      <c r="O49" s="153">
        <v>862178.99</v>
      </c>
      <c r="P49" s="153">
        <v>2434932.13</v>
      </c>
      <c r="Q49" s="153">
        <v>5966200</v>
      </c>
      <c r="R49" s="153">
        <v>5072697.09</v>
      </c>
      <c r="S49" s="270">
        <f t="shared" si="4"/>
        <v>71230165.420000002</v>
      </c>
      <c r="T49" s="329">
        <f t="shared" si="3"/>
        <v>1.43750752595903</v>
      </c>
      <c r="U49" s="326"/>
      <c r="V49" s="172"/>
    </row>
    <row r="50" spans="1:22">
      <c r="A50" s="145">
        <v>462</v>
      </c>
      <c r="B50" s="578" t="str">
        <f>+VLOOKUP($A50,Master!$D$30:$G$226,4,FALSE)</f>
        <v>Otplata garancija</v>
      </c>
      <c r="C50" s="579"/>
      <c r="D50" s="579"/>
      <c r="E50" s="579"/>
      <c r="F50" s="579"/>
      <c r="G50" s="153">
        <v>3831496.4</v>
      </c>
      <c r="H50" s="153">
        <v>0</v>
      </c>
      <c r="I50" s="153">
        <v>0</v>
      </c>
      <c r="J50" s="153">
        <v>0</v>
      </c>
      <c r="K50" s="153">
        <v>0</v>
      </c>
      <c r="L50" s="153">
        <v>0</v>
      </c>
      <c r="M50" s="153">
        <v>3879755.68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270">
        <f t="shared" si="4"/>
        <v>7711252.0800000001</v>
      </c>
      <c r="T50" s="329">
        <f t="shared" si="3"/>
        <v>0.155622029433822</v>
      </c>
      <c r="U50" s="326"/>
      <c r="V50" s="172"/>
    </row>
    <row r="51" spans="1:22">
      <c r="A51" s="136">
        <v>4630</v>
      </c>
      <c r="B51" s="608" t="str">
        <f>+VLOOKUP($A51,Master!$D$30:$G$226,4,TRUE)</f>
        <v>Otplata obaveza iz prethodnog perioda</v>
      </c>
      <c r="C51" s="609"/>
      <c r="D51" s="609"/>
      <c r="E51" s="609"/>
      <c r="F51" s="609"/>
      <c r="G51" s="335">
        <v>1018944.7</v>
      </c>
      <c r="H51" s="335">
        <v>1642283.23</v>
      </c>
      <c r="I51" s="335">
        <v>1493597.85</v>
      </c>
      <c r="J51" s="335">
        <v>1366097.79</v>
      </c>
      <c r="K51" s="335">
        <v>11033574.689999999</v>
      </c>
      <c r="L51" s="335">
        <v>1293176.52</v>
      </c>
      <c r="M51" s="335">
        <v>1500471</v>
      </c>
      <c r="N51" s="335">
        <v>732375.88</v>
      </c>
      <c r="O51" s="335">
        <v>977597.05</v>
      </c>
      <c r="P51" s="335">
        <v>805119.83</v>
      </c>
      <c r="Q51" s="335">
        <v>1443057.19</v>
      </c>
      <c r="R51" s="336">
        <v>2905903.4</v>
      </c>
      <c r="S51" s="290">
        <f t="shared" si="4"/>
        <v>26212199.129999999</v>
      </c>
      <c r="T51" s="337">
        <f t="shared" si="3"/>
        <v>0.52899264376454602</v>
      </c>
      <c r="U51" s="326"/>
      <c r="V51" s="172"/>
    </row>
    <row r="52" spans="1:22">
      <c r="A52" s="128">
        <v>1005</v>
      </c>
      <c r="B52" s="610" t="str">
        <f>+VLOOKUP($A52,Master!$D$30:$G$228,4,FALSE)</f>
        <v>Neto povećanje obaveza</v>
      </c>
      <c r="C52" s="611"/>
      <c r="D52" s="611"/>
      <c r="E52" s="611"/>
      <c r="F52" s="611"/>
      <c r="G52" s="183">
        <v>0</v>
      </c>
      <c r="H52" s="183">
        <v>0</v>
      </c>
      <c r="I52" s="183">
        <v>0</v>
      </c>
      <c r="J52" s="183">
        <v>0</v>
      </c>
      <c r="K52" s="183">
        <v>0</v>
      </c>
      <c r="L52" s="183">
        <v>0</v>
      </c>
      <c r="M52" s="183">
        <v>0</v>
      </c>
      <c r="N52" s="183">
        <v>0</v>
      </c>
      <c r="O52" s="183">
        <v>0</v>
      </c>
      <c r="P52" s="183">
        <v>0</v>
      </c>
      <c r="Q52" s="183">
        <v>0</v>
      </c>
      <c r="R52" s="183">
        <v>0</v>
      </c>
      <c r="S52" s="292">
        <f t="shared" si="4"/>
        <v>0</v>
      </c>
      <c r="T52" s="338">
        <f t="shared" si="3"/>
        <v>0</v>
      </c>
      <c r="U52" s="339"/>
    </row>
    <row r="53" spans="1:22">
      <c r="A53" s="136">
        <v>1000</v>
      </c>
      <c r="B53" s="596" t="str">
        <f>+VLOOKUP($A53,Master!$D$30:$G$226,4,FALSE)</f>
        <v>Suficit / deficit</v>
      </c>
      <c r="C53" s="597"/>
      <c r="D53" s="597"/>
      <c r="E53" s="597"/>
      <c r="F53" s="597"/>
      <c r="G53" s="146">
        <f t="shared" ref="G53:R53" si="9">+G10-G29</f>
        <v>-38751674.789999999</v>
      </c>
      <c r="H53" s="146">
        <f t="shared" si="9"/>
        <v>-51565783.740000002</v>
      </c>
      <c r="I53" s="146">
        <f t="shared" si="9"/>
        <v>-10252721.300000001</v>
      </c>
      <c r="J53" s="146">
        <f t="shared" si="9"/>
        <v>-40133895.060000002</v>
      </c>
      <c r="K53" s="146">
        <f t="shared" si="9"/>
        <v>-19579024.300000001</v>
      </c>
      <c r="L53" s="146">
        <f t="shared" si="9"/>
        <v>3022643.06</v>
      </c>
      <c r="M53" s="146">
        <f t="shared" si="9"/>
        <v>40483691.369999997</v>
      </c>
      <c r="N53" s="146">
        <f t="shared" si="9"/>
        <v>60867446.030000001</v>
      </c>
      <c r="O53" s="146">
        <f t="shared" si="9"/>
        <v>-6754932.9100000001</v>
      </c>
      <c r="P53" s="146">
        <f t="shared" si="9"/>
        <v>2802069.72000003</v>
      </c>
      <c r="Q53" s="146">
        <f t="shared" si="9"/>
        <v>-13365967.390000001</v>
      </c>
      <c r="R53" s="146">
        <f t="shared" si="9"/>
        <v>-26290196.960000001</v>
      </c>
      <c r="S53" s="294">
        <f t="shared" si="4"/>
        <v>-99518346.269999996</v>
      </c>
      <c r="T53" s="340">
        <f t="shared" si="3"/>
        <v>-2.0083958936581898</v>
      </c>
      <c r="U53" s="326"/>
      <c r="V53" s="172"/>
    </row>
    <row r="54" spans="1:22">
      <c r="A54" s="136">
        <v>1001</v>
      </c>
      <c r="B54" s="598" t="str">
        <f>+VLOOKUP($A54,Master!$D$30:$G$226,4,FALSE)</f>
        <v>Primarni suficit/deficit</v>
      </c>
      <c r="C54" s="599"/>
      <c r="D54" s="599"/>
      <c r="E54" s="599"/>
      <c r="F54" s="599"/>
      <c r="G54" s="190">
        <f t="shared" ref="G54:R54" si="10">+G53+G36</f>
        <v>-31174189.719999999</v>
      </c>
      <c r="H54" s="190">
        <f t="shared" si="10"/>
        <v>-49601593.359999999</v>
      </c>
      <c r="I54" s="190">
        <f t="shared" si="10"/>
        <v>4535261.2699999902</v>
      </c>
      <c r="J54" s="190">
        <f t="shared" si="10"/>
        <v>-17365383.100000001</v>
      </c>
      <c r="K54" s="190">
        <f t="shared" si="10"/>
        <v>-12878723.460000001</v>
      </c>
      <c r="L54" s="190">
        <f t="shared" si="10"/>
        <v>8312697.4900000002</v>
      </c>
      <c r="M54" s="190">
        <f t="shared" si="10"/>
        <v>45020462.590000004</v>
      </c>
      <c r="N54" s="190">
        <f t="shared" si="10"/>
        <v>62523919.850000001</v>
      </c>
      <c r="O54" s="190">
        <f t="shared" si="10"/>
        <v>7496114.9100000001</v>
      </c>
      <c r="P54" s="190">
        <f t="shared" si="10"/>
        <v>4059984.8700000299</v>
      </c>
      <c r="Q54" s="190">
        <f t="shared" si="10"/>
        <v>-6793394.89000005</v>
      </c>
      <c r="R54" s="190">
        <f t="shared" si="10"/>
        <v>405399.46000002301</v>
      </c>
      <c r="S54" s="294">
        <f t="shared" si="4"/>
        <v>14540555.91</v>
      </c>
      <c r="T54" s="340">
        <f t="shared" si="3"/>
        <v>0.29344531813180702</v>
      </c>
    </row>
    <row r="55" spans="1:22">
      <c r="A55" s="136">
        <v>46</v>
      </c>
      <c r="B55" s="612" t="str">
        <f>+VLOOKUP($A55,Master!$D$30:$G$226,4,FALSE)</f>
        <v>Otplata dugova</v>
      </c>
      <c r="C55" s="613"/>
      <c r="D55" s="613"/>
      <c r="E55" s="613"/>
      <c r="F55" s="613"/>
      <c r="G55" s="174">
        <f t="shared" ref="G55:R55" si="11">+SUM(G56:G57)</f>
        <v>23330768.82</v>
      </c>
      <c r="H55" s="174">
        <f t="shared" si="11"/>
        <v>24255021.350000001</v>
      </c>
      <c r="I55" s="174">
        <f t="shared" si="11"/>
        <v>238783771.24000001</v>
      </c>
      <c r="J55" s="159">
        <f t="shared" si="11"/>
        <v>32853463.260000002</v>
      </c>
      <c r="K55" s="174">
        <f t="shared" si="11"/>
        <v>16282827.92</v>
      </c>
      <c r="L55" s="174">
        <f t="shared" si="11"/>
        <v>15052883.6</v>
      </c>
      <c r="M55" s="174">
        <f t="shared" si="11"/>
        <v>25358675.149999999</v>
      </c>
      <c r="N55" s="174">
        <f t="shared" si="11"/>
        <v>12976050.960000001</v>
      </c>
      <c r="O55" s="174">
        <f t="shared" si="11"/>
        <v>11336186.49</v>
      </c>
      <c r="P55" s="174">
        <f t="shared" si="11"/>
        <v>7558722.7800000003</v>
      </c>
      <c r="Q55" s="174">
        <f t="shared" si="11"/>
        <v>17747948.739999998</v>
      </c>
      <c r="R55" s="174">
        <f t="shared" si="11"/>
        <v>12061111.439999999</v>
      </c>
      <c r="S55" s="296">
        <f t="shared" si="4"/>
        <v>437597431.75</v>
      </c>
      <c r="T55" s="341">
        <f t="shared" si="3"/>
        <v>8.8312247735471807</v>
      </c>
    </row>
    <row r="56" spans="1:22">
      <c r="A56" s="136">
        <v>4611</v>
      </c>
      <c r="B56" s="594" t="str">
        <f>+VLOOKUP($A56,Master!$D$30:$G$226,4,FALSE)</f>
        <v>Otplata hartija od vrijednosti i kredita rezidentima</v>
      </c>
      <c r="C56" s="595"/>
      <c r="D56" s="595"/>
      <c r="E56" s="595"/>
      <c r="F56" s="595"/>
      <c r="G56" s="176">
        <v>21900000</v>
      </c>
      <c r="H56" s="176">
        <v>13534429.810000001</v>
      </c>
      <c r="I56" s="176">
        <v>2399482.21</v>
      </c>
      <c r="J56" s="176">
        <v>17161594.75</v>
      </c>
      <c r="K56" s="176">
        <v>7620463.75</v>
      </c>
      <c r="L56" s="176">
        <v>3255507.63</v>
      </c>
      <c r="M56" s="176">
        <v>294018.01</v>
      </c>
      <c r="N56" s="176">
        <v>1750047.75</v>
      </c>
      <c r="O56" s="176">
        <v>2421267.87</v>
      </c>
      <c r="P56" s="176">
        <v>3875503.62</v>
      </c>
      <c r="Q56" s="176">
        <v>8560164.7799999993</v>
      </c>
      <c r="R56" s="176">
        <v>2536618.6</v>
      </c>
      <c r="S56" s="298">
        <f t="shared" si="4"/>
        <v>85309098.780000001</v>
      </c>
      <c r="T56" s="342">
        <f t="shared" si="3"/>
        <v>1.72163676450763</v>
      </c>
      <c r="U56" s="326"/>
      <c r="V56" s="172"/>
    </row>
    <row r="57" spans="1:22">
      <c r="A57" s="136">
        <v>4612</v>
      </c>
      <c r="B57" s="582" t="str">
        <f>+VLOOKUP($A57,Master!$D$30:$G$226,4,FALSE)</f>
        <v>Otplata hartija od vrijednosti i kredita nerezidentima</v>
      </c>
      <c r="C57" s="583"/>
      <c r="D57" s="583"/>
      <c r="E57" s="583"/>
      <c r="F57" s="583"/>
      <c r="G57" s="176">
        <v>1430768.82</v>
      </c>
      <c r="H57" s="176">
        <v>10720591.539999999</v>
      </c>
      <c r="I57" s="176">
        <v>236384289.03</v>
      </c>
      <c r="J57" s="176">
        <v>15691868.51</v>
      </c>
      <c r="K57" s="176">
        <v>8662364.1699999999</v>
      </c>
      <c r="L57" s="176">
        <v>11797375.970000001</v>
      </c>
      <c r="M57" s="176">
        <v>25064657.140000001</v>
      </c>
      <c r="N57" s="176">
        <v>11226003.210000001</v>
      </c>
      <c r="O57" s="176">
        <v>8914918.6199999992</v>
      </c>
      <c r="P57" s="176">
        <v>3683219.16</v>
      </c>
      <c r="Q57" s="176">
        <v>9187783.9600000009</v>
      </c>
      <c r="R57" s="176">
        <v>9524492.8399999999</v>
      </c>
      <c r="S57" s="298">
        <f t="shared" si="4"/>
        <v>352288332.97000003</v>
      </c>
      <c r="T57" s="342">
        <f t="shared" si="3"/>
        <v>7.10958800903955</v>
      </c>
      <c r="U57" s="326"/>
      <c r="V57" s="172"/>
    </row>
    <row r="58" spans="1:22">
      <c r="A58" s="136">
        <v>4418</v>
      </c>
      <c r="B58" s="572" t="str">
        <f>+VLOOKUP($A58,Master!$D$30:$G$226,4,FALSE)</f>
        <v>Izdaci za kupovinu hartija od vrijednosti</v>
      </c>
      <c r="C58" s="573"/>
      <c r="D58" s="573"/>
      <c r="E58" s="573"/>
      <c r="F58" s="573"/>
      <c r="G58" s="300">
        <v>0</v>
      </c>
      <c r="H58" s="300">
        <v>0</v>
      </c>
      <c r="I58" s="300">
        <v>0</v>
      </c>
      <c r="J58" s="300">
        <v>0</v>
      </c>
      <c r="K58" s="300">
        <v>0</v>
      </c>
      <c r="L58" s="300">
        <v>0</v>
      </c>
      <c r="M58" s="300">
        <v>0</v>
      </c>
      <c r="N58" s="300">
        <v>0</v>
      </c>
      <c r="O58" s="300">
        <v>0</v>
      </c>
      <c r="P58" s="300">
        <v>506343.98</v>
      </c>
      <c r="Q58" s="300">
        <v>0</v>
      </c>
      <c r="R58" s="301">
        <v>0</v>
      </c>
      <c r="S58" s="296">
        <f>SUM(G58:R58)</f>
        <v>506343.98</v>
      </c>
      <c r="T58" s="343">
        <f t="shared" si="3"/>
        <v>1.02186100184133E-2</v>
      </c>
    </row>
    <row r="59" spans="1:22">
      <c r="A59" s="136">
        <v>1002</v>
      </c>
      <c r="B59" s="592" t="str">
        <f>+VLOOKUP($A59,Master!$D$30:$G$226,4,FALSE)</f>
        <v>Nedostajuća sredstva</v>
      </c>
      <c r="C59" s="593"/>
      <c r="D59" s="593"/>
      <c r="E59" s="593"/>
      <c r="F59" s="593"/>
      <c r="G59" s="197">
        <f>+G53-G55-G58</f>
        <v>-62082443.609999999</v>
      </c>
      <c r="H59" s="197">
        <f t="shared" ref="H59:R59" si="12">+H53-H55-H58</f>
        <v>-75820805.090000004</v>
      </c>
      <c r="I59" s="197">
        <f t="shared" si="12"/>
        <v>-249036492.53999999</v>
      </c>
      <c r="J59" s="197">
        <f t="shared" si="12"/>
        <v>-72987358.319999993</v>
      </c>
      <c r="K59" s="197">
        <f t="shared" si="12"/>
        <v>-35861852.219999999</v>
      </c>
      <c r="L59" s="197">
        <f t="shared" si="12"/>
        <v>-12030240.539999999</v>
      </c>
      <c r="M59" s="197">
        <f t="shared" si="12"/>
        <v>15125016.220000001</v>
      </c>
      <c r="N59" s="197">
        <f t="shared" si="12"/>
        <v>47891395.07</v>
      </c>
      <c r="O59" s="197">
        <f t="shared" si="12"/>
        <v>-18091119.399999999</v>
      </c>
      <c r="P59" s="197">
        <f t="shared" si="12"/>
        <v>-5262997.0399999702</v>
      </c>
      <c r="Q59" s="197">
        <f t="shared" si="12"/>
        <v>-31113916.129999999</v>
      </c>
      <c r="R59" s="197">
        <f t="shared" si="12"/>
        <v>-38351308.399999999</v>
      </c>
      <c r="S59" s="303">
        <f t="shared" si="4"/>
        <v>-537622122</v>
      </c>
      <c r="T59" s="344">
        <f t="shared" si="3"/>
        <v>-10.849839277223801</v>
      </c>
    </row>
    <row r="60" spans="1:22">
      <c r="A60" s="136">
        <v>1003</v>
      </c>
      <c r="B60" s="570" t="str">
        <f>+VLOOKUP($A60,Master!$D$30:$G$226,4,FALSE)</f>
        <v>Finansiranje</v>
      </c>
      <c r="C60" s="571"/>
      <c r="D60" s="571"/>
      <c r="E60" s="571"/>
      <c r="F60" s="571"/>
      <c r="G60" s="146">
        <f>+SUM(G61:G64)</f>
        <v>62082443.609999999</v>
      </c>
      <c r="H60" s="146">
        <f t="shared" ref="H60:R60" si="13">+SUM(H61:H64)</f>
        <v>75820805.090000004</v>
      </c>
      <c r="I60" s="146">
        <f t="shared" si="13"/>
        <v>249036492.53999999</v>
      </c>
      <c r="J60" s="146">
        <f t="shared" si="13"/>
        <v>72987358.319999993</v>
      </c>
      <c r="K60" s="146">
        <f t="shared" si="13"/>
        <v>35861852.219999999</v>
      </c>
      <c r="L60" s="146">
        <f t="shared" si="13"/>
        <v>12030240.539999999</v>
      </c>
      <c r="M60" s="146">
        <f t="shared" si="13"/>
        <v>-15125016.220000001</v>
      </c>
      <c r="N60" s="146">
        <f t="shared" si="13"/>
        <v>-47891395.07</v>
      </c>
      <c r="O60" s="146">
        <f t="shared" si="13"/>
        <v>18091119.399999999</v>
      </c>
      <c r="P60" s="146">
        <f t="shared" si="13"/>
        <v>5262997.0399999702</v>
      </c>
      <c r="Q60" s="146">
        <f t="shared" si="13"/>
        <v>31113916.129999999</v>
      </c>
      <c r="R60" s="146">
        <f t="shared" si="13"/>
        <v>38351308.399999999</v>
      </c>
      <c r="S60" s="305">
        <f t="shared" si="4"/>
        <v>537622122</v>
      </c>
      <c r="T60" s="345">
        <f t="shared" si="3"/>
        <v>10.849839277223801</v>
      </c>
    </row>
    <row r="61" spans="1:22">
      <c r="A61" s="136">
        <v>7511</v>
      </c>
      <c r="B61" s="594" t="str">
        <f>+VLOOKUP($A61,Master!$D$30:$G$226,4,FALSE)</f>
        <v>Pozajmice i krediti od domaćih izvora</v>
      </c>
      <c r="C61" s="595"/>
      <c r="D61" s="595"/>
      <c r="E61" s="595"/>
      <c r="F61" s="595"/>
      <c r="G61" s="176">
        <v>0</v>
      </c>
      <c r="H61" s="176">
        <v>0</v>
      </c>
      <c r="I61" s="176">
        <v>0</v>
      </c>
      <c r="J61" s="176">
        <v>0</v>
      </c>
      <c r="K61" s="176">
        <v>0</v>
      </c>
      <c r="L61" s="176">
        <v>0</v>
      </c>
      <c r="M61" s="346">
        <v>0</v>
      </c>
      <c r="N61" s="176">
        <v>0</v>
      </c>
      <c r="O61" s="176">
        <v>0</v>
      </c>
      <c r="P61" s="176">
        <v>0</v>
      </c>
      <c r="Q61" s="176">
        <v>0</v>
      </c>
      <c r="R61" s="176">
        <v>0</v>
      </c>
      <c r="S61" s="298">
        <f t="shared" si="4"/>
        <v>0</v>
      </c>
      <c r="T61" s="342">
        <f t="shared" si="3"/>
        <v>0</v>
      </c>
      <c r="U61" s="326"/>
      <c r="V61" s="172"/>
    </row>
    <row r="62" spans="1:22">
      <c r="A62" s="136">
        <v>7512</v>
      </c>
      <c r="B62" s="582" t="str">
        <f>+VLOOKUP($A62,Master!$D$30:$G$226,4,FALSE)</f>
        <v>Pozajmice i krediti od inostranih izvora</v>
      </c>
      <c r="C62" s="583"/>
      <c r="D62" s="583"/>
      <c r="E62" s="583"/>
      <c r="F62" s="583"/>
      <c r="G62" s="176">
        <v>8076079.9500000002</v>
      </c>
      <c r="H62" s="176">
        <v>3769107.63</v>
      </c>
      <c r="I62" s="176">
        <v>1856107.06</v>
      </c>
      <c r="J62" s="176">
        <v>15210844.42</v>
      </c>
      <c r="K62" s="176">
        <v>3053139.49</v>
      </c>
      <c r="L62" s="176">
        <v>34333659.25</v>
      </c>
      <c r="M62" s="346">
        <v>5377316.7300000004</v>
      </c>
      <c r="N62" s="176">
        <v>5769169.6600000001</v>
      </c>
      <c r="O62" s="176">
        <v>7472230.3099999996</v>
      </c>
      <c r="P62" s="176">
        <v>7427156.0800000001</v>
      </c>
      <c r="Q62" s="176">
        <v>11705434.800000001</v>
      </c>
      <c r="R62" s="176">
        <v>19527458.25</v>
      </c>
      <c r="S62" s="298">
        <f t="shared" si="4"/>
        <v>123577703.63</v>
      </c>
      <c r="T62" s="342">
        <f t="shared" si="3"/>
        <v>2.4939416883479599</v>
      </c>
      <c r="U62" s="326"/>
      <c r="V62" s="172"/>
    </row>
    <row r="63" spans="1:22">
      <c r="A63" s="136">
        <v>72</v>
      </c>
      <c r="B63" s="582" t="str">
        <f>+VLOOKUP($A63,Master!$D$30:$G$226,4,FALSE)</f>
        <v>Primici od prodaje imovine</v>
      </c>
      <c r="C63" s="583"/>
      <c r="D63" s="583"/>
      <c r="E63" s="583"/>
      <c r="F63" s="583"/>
      <c r="G63" s="176">
        <v>34748.61</v>
      </c>
      <c r="H63" s="176">
        <v>29568.33</v>
      </c>
      <c r="I63" s="176">
        <v>52164.39</v>
      </c>
      <c r="J63" s="176">
        <v>39251.97</v>
      </c>
      <c r="K63" s="176">
        <v>297151.57</v>
      </c>
      <c r="L63" s="176">
        <v>216679.2</v>
      </c>
      <c r="M63" s="346">
        <v>183425.54</v>
      </c>
      <c r="N63" s="176">
        <v>207661.26</v>
      </c>
      <c r="O63" s="176">
        <v>176272.14</v>
      </c>
      <c r="P63" s="176">
        <v>306257.21000000002</v>
      </c>
      <c r="Q63" s="176">
        <v>104172.28</v>
      </c>
      <c r="R63" s="176">
        <v>2806225.74</v>
      </c>
      <c r="S63" s="298">
        <f t="shared" si="4"/>
        <v>4453578.24</v>
      </c>
      <c r="T63" s="342">
        <f t="shared" si="3"/>
        <v>8.9878385087251197E-2</v>
      </c>
      <c r="U63" s="326"/>
      <c r="V63" s="172"/>
    </row>
    <row r="64" spans="1:22">
      <c r="A64" s="136">
        <v>1004</v>
      </c>
      <c r="B64" s="202" t="str">
        <f>+VLOOKUP($A64,Master!$D$30:$G$226,4,FALSE)</f>
        <v>Povećanje / smanjenje depozita</v>
      </c>
      <c r="C64" s="203"/>
      <c r="D64" s="203"/>
      <c r="E64" s="203"/>
      <c r="F64" s="203"/>
      <c r="G64" s="204">
        <f>-G59-SUM(G61:G63)</f>
        <v>53971615.049999997</v>
      </c>
      <c r="H64" s="204">
        <f t="shared" ref="H64:R64" si="14">-H59-SUM(H61:H63)</f>
        <v>72022129.129999995</v>
      </c>
      <c r="I64" s="204">
        <f t="shared" si="14"/>
        <v>247128221.09</v>
      </c>
      <c r="J64" s="204">
        <f t="shared" si="14"/>
        <v>57737261.93</v>
      </c>
      <c r="K64" s="204">
        <f t="shared" si="14"/>
        <v>32511561.16</v>
      </c>
      <c r="L64" s="204">
        <f t="shared" si="14"/>
        <v>-22520097.91</v>
      </c>
      <c r="M64" s="204">
        <f t="shared" si="14"/>
        <v>-20685758.489999998</v>
      </c>
      <c r="N64" s="204">
        <f t="shared" si="14"/>
        <v>-53868225.990000002</v>
      </c>
      <c r="O64" s="204">
        <f t="shared" si="14"/>
        <v>10442616.949999999</v>
      </c>
      <c r="P64" s="204">
        <f t="shared" si="14"/>
        <v>-2470416.2500000298</v>
      </c>
      <c r="Q64" s="204">
        <f t="shared" si="14"/>
        <v>19304309.050000001</v>
      </c>
      <c r="R64" s="204">
        <f t="shared" si="14"/>
        <v>16017624.41</v>
      </c>
      <c r="S64" s="307">
        <f t="shared" si="4"/>
        <v>409590840.13</v>
      </c>
      <c r="T64" s="347">
        <f t="shared" si="3"/>
        <v>8.26601920378857</v>
      </c>
    </row>
    <row r="65" spans="7:18">
      <c r="R65" s="207"/>
    </row>
    <row r="68" spans="7:18" hidden="1"/>
    <row r="69" spans="7:18" hidden="1"/>
    <row r="70" spans="7:18" hidden="1"/>
    <row r="71" spans="7:18" hidden="1"/>
    <row r="72" spans="7:18" hidden="1"/>
    <row r="73" spans="7:18" hidden="1"/>
    <row r="74" spans="7:18" hidden="1"/>
    <row r="75" spans="7:18" hidden="1"/>
    <row r="79" spans="7:18"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</row>
    <row r="80" spans="7:18">
      <c r="G80" s="210" t="str">
        <f t="shared" ref="G80:R80" si="15">+CONCATENATE(G6,"p")</f>
        <v>2021-01p</v>
      </c>
      <c r="H80" s="210" t="str">
        <f t="shared" si="15"/>
        <v>2021-02p</v>
      </c>
      <c r="I80" s="210" t="str">
        <f t="shared" si="15"/>
        <v>2021-03p</v>
      </c>
      <c r="J80" s="210" t="str">
        <f t="shared" si="15"/>
        <v>2021-04p</v>
      </c>
      <c r="K80" s="210" t="str">
        <f t="shared" si="15"/>
        <v>2021-05p</v>
      </c>
      <c r="L80" s="210" t="str">
        <f t="shared" si="15"/>
        <v>2021-06p</v>
      </c>
      <c r="M80" s="210" t="str">
        <f t="shared" si="15"/>
        <v>2021-07p</v>
      </c>
      <c r="N80" s="210" t="str">
        <f t="shared" si="15"/>
        <v>2021-08p</v>
      </c>
      <c r="O80" s="210" t="str">
        <f t="shared" si="15"/>
        <v>2021-09p</v>
      </c>
      <c r="P80" s="210" t="str">
        <f t="shared" si="15"/>
        <v>2021-10p</v>
      </c>
      <c r="Q80" s="210" t="str">
        <f t="shared" si="15"/>
        <v>2021-11p</v>
      </c>
      <c r="R80" s="210" t="str">
        <f t="shared" si="15"/>
        <v>2021-12p</v>
      </c>
    </row>
    <row r="81" spans="1:21" ht="15.75" customHeight="1">
      <c r="B81" s="637" t="str">
        <f>+Master!G253</f>
        <v>Plan ostvarenja budžeta</v>
      </c>
      <c r="C81" s="638"/>
      <c r="D81" s="638"/>
      <c r="E81" s="638"/>
      <c r="F81" s="638"/>
      <c r="G81" s="614">
        <v>2021</v>
      </c>
      <c r="H81" s="615"/>
      <c r="I81" s="615"/>
      <c r="J81" s="615"/>
      <c r="K81" s="615"/>
      <c r="L81" s="615"/>
      <c r="M81" s="615"/>
      <c r="N81" s="615"/>
      <c r="O81" s="615"/>
      <c r="P81" s="615"/>
      <c r="Q81" s="615"/>
      <c r="R81" s="616"/>
      <c r="S81" s="211" t="str">
        <f>+S7</f>
        <v>BDP</v>
      </c>
      <c r="T81" s="212">
        <v>4636600000</v>
      </c>
    </row>
    <row r="82" spans="1:21" ht="15.75" customHeight="1">
      <c r="B82" s="639"/>
      <c r="C82" s="640"/>
      <c r="D82" s="640"/>
      <c r="E82" s="640"/>
      <c r="F82" s="641"/>
      <c r="G82" s="179" t="str">
        <f t="shared" ref="G82:R82" si="16">+G8</f>
        <v>Januar</v>
      </c>
      <c r="H82" s="179" t="str">
        <f t="shared" si="16"/>
        <v>Februar</v>
      </c>
      <c r="I82" s="179" t="str">
        <f t="shared" si="16"/>
        <v>Mart</v>
      </c>
      <c r="J82" s="179" t="str">
        <f t="shared" si="16"/>
        <v>April</v>
      </c>
      <c r="K82" s="179" t="str">
        <f t="shared" si="16"/>
        <v>Maj</v>
      </c>
      <c r="L82" s="179" t="str">
        <f t="shared" si="16"/>
        <v>Jun</v>
      </c>
      <c r="M82" s="179" t="str">
        <f t="shared" si="16"/>
        <v>Jul</v>
      </c>
      <c r="N82" s="179" t="str">
        <f t="shared" si="16"/>
        <v>Avgust</v>
      </c>
      <c r="O82" s="179" t="str">
        <f t="shared" si="16"/>
        <v>Septembar</v>
      </c>
      <c r="P82" s="179" t="str">
        <f t="shared" si="16"/>
        <v>Oktobar</v>
      </c>
      <c r="Q82" s="179" t="str">
        <f t="shared" si="16"/>
        <v>Novembar</v>
      </c>
      <c r="R82" s="179" t="str">
        <f t="shared" si="16"/>
        <v>Decembar</v>
      </c>
      <c r="S82" s="614" t="str">
        <f>+Master!G247</f>
        <v>Jan - Dec</v>
      </c>
      <c r="T82" s="616">
        <f>+T8</f>
        <v>0</v>
      </c>
    </row>
    <row r="83" spans="1:21">
      <c r="B83" s="642"/>
      <c r="C83" s="643"/>
      <c r="D83" s="643"/>
      <c r="E83" s="643"/>
      <c r="F83" s="644"/>
      <c r="G83" s="213" t="s">
        <v>2</v>
      </c>
      <c r="H83" s="213" t="s">
        <v>2</v>
      </c>
      <c r="I83" s="213" t="s">
        <v>2</v>
      </c>
      <c r="J83" s="213" t="s">
        <v>2</v>
      </c>
      <c r="K83" s="213" t="s">
        <v>2</v>
      </c>
      <c r="L83" s="213" t="s">
        <v>2</v>
      </c>
      <c r="M83" s="213" t="s">
        <v>2</v>
      </c>
      <c r="N83" s="213" t="s">
        <v>2</v>
      </c>
      <c r="O83" s="213" t="s">
        <v>2</v>
      </c>
      <c r="P83" s="213" t="s">
        <v>2</v>
      </c>
      <c r="Q83" s="213" t="s">
        <v>2</v>
      </c>
      <c r="R83" s="213" t="s">
        <v>2</v>
      </c>
      <c r="S83" s="214" t="s">
        <v>2</v>
      </c>
      <c r="T83" s="215" t="str">
        <f>+T9</f>
        <v>% BDP</v>
      </c>
    </row>
    <row r="84" spans="1:21">
      <c r="A84" s="216" t="str">
        <f t="shared" ref="A84:A115" si="17">+CONCATENATE(A10,"p")</f>
        <v>7p</v>
      </c>
      <c r="B84" s="651" t="str">
        <f>+VLOOKUP(LEFT($A84,LEN(A84)-1)*1,Master!$D$30:$G$226,4,FALSE)</f>
        <v>Prihodi budžeta</v>
      </c>
      <c r="C84" s="652"/>
      <c r="D84" s="652"/>
      <c r="E84" s="652"/>
      <c r="F84" s="652"/>
      <c r="G84" s="217">
        <f t="shared" ref="G84:R84" si="18">+G85+G93+SUM(G98:G102)</f>
        <v>88578218.281417906</v>
      </c>
      <c r="H84" s="217">
        <f t="shared" si="18"/>
        <v>108910441.715312</v>
      </c>
      <c r="I84" s="217">
        <f t="shared" si="18"/>
        <v>134980379.984079</v>
      </c>
      <c r="J84" s="217">
        <f t="shared" si="18"/>
        <v>155837839.82156301</v>
      </c>
      <c r="K84" s="217">
        <f t="shared" si="18"/>
        <v>140936064.47198001</v>
      </c>
      <c r="L84" s="217">
        <f t="shared" si="18"/>
        <v>144135301.14752701</v>
      </c>
      <c r="M84" s="217">
        <f t="shared" si="18"/>
        <v>212180630.967949</v>
      </c>
      <c r="N84" s="217">
        <f t="shared" si="18"/>
        <v>181464389.36757699</v>
      </c>
      <c r="O84" s="217">
        <f t="shared" si="18"/>
        <v>170362474.13164899</v>
      </c>
      <c r="P84" s="217">
        <f t="shared" si="18"/>
        <v>164838737.91263101</v>
      </c>
      <c r="Q84" s="217">
        <f t="shared" si="18"/>
        <v>160886587.283622</v>
      </c>
      <c r="R84" s="217">
        <f t="shared" si="18"/>
        <v>217094780.254594</v>
      </c>
      <c r="S84" s="309">
        <f>+SUM(G84:R84)</f>
        <v>1880205845.3399</v>
      </c>
      <c r="T84" s="348">
        <f>+S84/$T$81*100</f>
        <v>40.551392083421</v>
      </c>
      <c r="U84" s="224"/>
    </row>
    <row r="85" spans="1:21">
      <c r="A85" s="216" t="str">
        <f t="shared" si="17"/>
        <v>711p</v>
      </c>
      <c r="B85" s="619" t="str">
        <f>+VLOOKUP(LEFT($A85,LEN(A85)-1)*1,Master!$D$30:$G$226,4,FALSE)</f>
        <v>Porezi</v>
      </c>
      <c r="C85" s="620"/>
      <c r="D85" s="620"/>
      <c r="E85" s="620"/>
      <c r="F85" s="620"/>
      <c r="G85" s="220">
        <f t="shared" ref="G85:R85" si="19">+SUM(G86:G92)</f>
        <v>66114316.5751867</v>
      </c>
      <c r="H85" s="220">
        <f t="shared" si="19"/>
        <v>59948571.206549801</v>
      </c>
      <c r="I85" s="220">
        <f t="shared" si="19"/>
        <v>85560402.362817302</v>
      </c>
      <c r="J85" s="220">
        <f t="shared" si="19"/>
        <v>93379659.592625096</v>
      </c>
      <c r="K85" s="220">
        <f t="shared" si="19"/>
        <v>86472186.077547595</v>
      </c>
      <c r="L85" s="220">
        <f t="shared" si="19"/>
        <v>84057492.147784606</v>
      </c>
      <c r="M85" s="220">
        <f t="shared" si="19"/>
        <v>114368146.87564801</v>
      </c>
      <c r="N85" s="220">
        <f t="shared" si="19"/>
        <v>115306875.10903101</v>
      </c>
      <c r="O85" s="220">
        <f t="shared" si="19"/>
        <v>110067248.329339</v>
      </c>
      <c r="P85" s="220">
        <f t="shared" si="19"/>
        <v>100712657.784519</v>
      </c>
      <c r="Q85" s="220">
        <f t="shared" si="19"/>
        <v>87618055.236293003</v>
      </c>
      <c r="R85" s="221">
        <f t="shared" si="19"/>
        <v>101482973.94958501</v>
      </c>
      <c r="S85" s="311">
        <f t="shared" ref="S85:S138" si="20">+SUM(G85:R85)</f>
        <v>1105088585.2469299</v>
      </c>
      <c r="T85" s="327">
        <f t="shared" ref="T85:T138" si="21">+S85/$T$81*100</f>
        <v>23.834028927380501</v>
      </c>
      <c r="U85" s="224"/>
    </row>
    <row r="86" spans="1:21">
      <c r="A86" s="216" t="str">
        <f t="shared" si="17"/>
        <v>7111p</v>
      </c>
      <c r="B86" s="621" t="str">
        <f>+VLOOKUP(LEFT($A86,LEN(A86)-1)*1,Master!$D$30:$G$229,4,FALSE)</f>
        <v>Porez na dohodak fizičkih lica</v>
      </c>
      <c r="C86" s="622"/>
      <c r="D86" s="622"/>
      <c r="E86" s="622"/>
      <c r="F86" s="622"/>
      <c r="G86" s="225">
        <v>4204850.3434498599</v>
      </c>
      <c r="H86" s="225">
        <v>9282052.3748957608</v>
      </c>
      <c r="I86" s="225">
        <v>8968045.92361046</v>
      </c>
      <c r="J86" s="225">
        <v>11228675.9702291</v>
      </c>
      <c r="K86" s="225">
        <v>11290988.0336312</v>
      </c>
      <c r="L86" s="225">
        <v>11197084.3308431</v>
      </c>
      <c r="M86" s="225">
        <v>15482458.7026872</v>
      </c>
      <c r="N86" s="225">
        <v>14919008.243871</v>
      </c>
      <c r="O86" s="225">
        <v>14758460.999158001</v>
      </c>
      <c r="P86" s="225">
        <v>15303489.942616699</v>
      </c>
      <c r="Q86" s="225">
        <v>14377895.871985501</v>
      </c>
      <c r="R86" s="225">
        <v>23946572.847330499</v>
      </c>
      <c r="S86" s="312">
        <f t="shared" si="20"/>
        <v>154959583.584308</v>
      </c>
      <c r="T86" s="329">
        <f t="shared" si="21"/>
        <v>3.3420951469677802</v>
      </c>
    </row>
    <row r="87" spans="1:21">
      <c r="A87" s="216" t="str">
        <f t="shared" si="17"/>
        <v>7112p</v>
      </c>
      <c r="B87" s="621" t="str">
        <f>+VLOOKUP(LEFT($A87,LEN(A87)-1)*1,Master!$D$30:$G$229,4,FALSE)</f>
        <v>Porez na dobit pravnih lica</v>
      </c>
      <c r="C87" s="622"/>
      <c r="D87" s="622"/>
      <c r="E87" s="622"/>
      <c r="F87" s="622"/>
      <c r="G87" s="225">
        <v>762584.85039051203</v>
      </c>
      <c r="H87" s="225">
        <v>1597504.5279576899</v>
      </c>
      <c r="I87" s="225">
        <v>16286919.813093999</v>
      </c>
      <c r="J87" s="225">
        <v>16608606.9859912</v>
      </c>
      <c r="K87" s="225">
        <v>4257249.1648057904</v>
      </c>
      <c r="L87" s="225">
        <v>3175296.5849943901</v>
      </c>
      <c r="M87" s="225">
        <v>7363949.9343176102</v>
      </c>
      <c r="N87" s="225">
        <v>2753732.7839750899</v>
      </c>
      <c r="O87" s="225">
        <v>1996774.5784048301</v>
      </c>
      <c r="P87" s="225">
        <v>614331.28399014904</v>
      </c>
      <c r="Q87" s="225">
        <v>783170.64768952795</v>
      </c>
      <c r="R87" s="225">
        <v>3815671.67449921</v>
      </c>
      <c r="S87" s="312">
        <f t="shared" si="20"/>
        <v>60015792.830109999</v>
      </c>
      <c r="T87" s="329">
        <f t="shared" si="21"/>
        <v>1.29439228810141</v>
      </c>
    </row>
    <row r="88" spans="1:21">
      <c r="A88" s="216" t="str">
        <f t="shared" si="17"/>
        <v>7113p</v>
      </c>
      <c r="B88" s="621" t="str">
        <f>+VLOOKUP(LEFT($A88,LEN(A88)-1)*1,Master!$D$30:$G$229,4,FALSE)</f>
        <v>Porez na promet nepokretnosti</v>
      </c>
      <c r="C88" s="622"/>
      <c r="D88" s="622"/>
      <c r="E88" s="622"/>
      <c r="F88" s="622"/>
      <c r="G88" s="225">
        <v>106237.049720255</v>
      </c>
      <c r="H88" s="225">
        <v>152350.26587005201</v>
      </c>
      <c r="I88" s="225">
        <v>131491.90722034199</v>
      </c>
      <c r="J88" s="225">
        <v>161408.238751664</v>
      </c>
      <c r="K88" s="225">
        <v>111533.48833422099</v>
      </c>
      <c r="L88" s="225">
        <v>119656.43469982099</v>
      </c>
      <c r="M88" s="225">
        <v>115448.088039479</v>
      </c>
      <c r="N88" s="225">
        <v>130358.766651114</v>
      </c>
      <c r="O88" s="225">
        <v>99547.758167691005</v>
      </c>
      <c r="P88" s="225">
        <v>131599.39954388101</v>
      </c>
      <c r="Q88" s="225">
        <v>130654.63070136899</v>
      </c>
      <c r="R88" s="225">
        <v>218789.000260111</v>
      </c>
      <c r="S88" s="312">
        <f t="shared" si="20"/>
        <v>1609075.0279600001</v>
      </c>
      <c r="T88" s="329">
        <f t="shared" si="21"/>
        <v>3.4703770606910198E-2</v>
      </c>
    </row>
    <row r="89" spans="1:21">
      <c r="A89" s="216" t="str">
        <f t="shared" si="17"/>
        <v>7114p</v>
      </c>
      <c r="B89" s="621" t="str">
        <f>+VLOOKUP(LEFT($A89,LEN(A89)-1)*1,Master!$D$30:$G$229,4,FALSE)</f>
        <v>Porez na dodatu vrijednost</v>
      </c>
      <c r="C89" s="622"/>
      <c r="D89" s="622"/>
      <c r="E89" s="622"/>
      <c r="F89" s="622"/>
      <c r="G89" s="225">
        <v>44084379.542461403</v>
      </c>
      <c r="H89" s="225">
        <v>34454383.957271002</v>
      </c>
      <c r="I89" s="225">
        <v>44660112.9299886</v>
      </c>
      <c r="J89" s="225">
        <v>46352044.344607398</v>
      </c>
      <c r="K89" s="225">
        <v>49784274.0046615</v>
      </c>
      <c r="L89" s="225">
        <v>48592045.171046801</v>
      </c>
      <c r="M89" s="225">
        <v>62692931.700060099</v>
      </c>
      <c r="N89" s="225">
        <v>62749252.522949897</v>
      </c>
      <c r="O89" s="225">
        <v>61478153.0051938</v>
      </c>
      <c r="P89" s="225">
        <v>58148605.034415796</v>
      </c>
      <c r="Q89" s="225">
        <v>48316463.859108999</v>
      </c>
      <c r="R89" s="225">
        <v>50497872.769622698</v>
      </c>
      <c r="S89" s="312">
        <f t="shared" si="20"/>
        <v>611810518.84138799</v>
      </c>
      <c r="T89" s="329">
        <f t="shared" si="21"/>
        <v>13.195240452947999</v>
      </c>
    </row>
    <row r="90" spans="1:21">
      <c r="A90" s="216" t="str">
        <f t="shared" si="17"/>
        <v>7115p</v>
      </c>
      <c r="B90" s="621" t="str">
        <f>+VLOOKUP(LEFT($A90,LEN(A90)-1)*1,Master!$D$30:$G$229,4,FALSE)</f>
        <v>Akcize</v>
      </c>
      <c r="C90" s="622"/>
      <c r="D90" s="622"/>
      <c r="E90" s="622"/>
      <c r="F90" s="622"/>
      <c r="G90" s="225">
        <v>14858204.263071701</v>
      </c>
      <c r="H90" s="225">
        <v>12154549.4211569</v>
      </c>
      <c r="I90" s="225">
        <v>12459967.2472365</v>
      </c>
      <c r="J90" s="225">
        <v>15899578.502006199</v>
      </c>
      <c r="K90" s="225">
        <v>18017636.470285799</v>
      </c>
      <c r="L90" s="225">
        <v>17910267.301327299</v>
      </c>
      <c r="M90" s="225">
        <v>25052818.331463099</v>
      </c>
      <c r="N90" s="225">
        <v>31323444.828229401</v>
      </c>
      <c r="O90" s="225">
        <v>28530633.1550625</v>
      </c>
      <c r="P90" s="225">
        <v>23446216.413521599</v>
      </c>
      <c r="Q90" s="225">
        <v>21291284.312502399</v>
      </c>
      <c r="R90" s="225">
        <v>20023707.4126366</v>
      </c>
      <c r="S90" s="312">
        <f t="shared" si="20"/>
        <v>240968307.65849999</v>
      </c>
      <c r="T90" s="329">
        <f t="shared" si="21"/>
        <v>5.1970907056571596</v>
      </c>
    </row>
    <row r="91" spans="1:21">
      <c r="A91" s="216" t="str">
        <f t="shared" si="17"/>
        <v>7116p</v>
      </c>
      <c r="B91" s="621" t="str">
        <f>+VLOOKUP(LEFT($A91,LEN(A91)-1)*1,Master!$D$30:$G$229,4,FALSE)</f>
        <v>Porez na međunarodnu trgovinu i transakcije</v>
      </c>
      <c r="C91" s="622"/>
      <c r="D91" s="622"/>
      <c r="E91" s="622"/>
      <c r="F91" s="622"/>
      <c r="G91" s="225">
        <v>1300944.0462549201</v>
      </c>
      <c r="H91" s="225">
        <v>1582885.0395362801</v>
      </c>
      <c r="I91" s="225">
        <v>2247907.0128576001</v>
      </c>
      <c r="J91" s="225">
        <v>2199795.0668444699</v>
      </c>
      <c r="K91" s="225">
        <v>2143800.25534523</v>
      </c>
      <c r="L91" s="225">
        <v>2129291.6553579401</v>
      </c>
      <c r="M91" s="225">
        <v>2645431.8461103202</v>
      </c>
      <c r="N91" s="225">
        <v>2388958.5884264801</v>
      </c>
      <c r="O91" s="225">
        <v>2187151.8456419902</v>
      </c>
      <c r="P91" s="225">
        <v>2135387.3745562499</v>
      </c>
      <c r="Q91" s="225">
        <v>1733668.8302905499</v>
      </c>
      <c r="R91" s="225">
        <v>2089550.5123979601</v>
      </c>
      <c r="S91" s="312">
        <f t="shared" si="20"/>
        <v>24784772.073619999</v>
      </c>
      <c r="T91" s="329">
        <f t="shared" si="21"/>
        <v>0.53454626393521099</v>
      </c>
    </row>
    <row r="92" spans="1:21">
      <c r="A92" s="216" t="str">
        <f t="shared" si="17"/>
        <v>7118p</v>
      </c>
      <c r="B92" s="621" t="str">
        <f>+VLOOKUP(LEFT($A92,LEN(A92)-1)*1,Master!$D$30:$G$229,4,FALSE)</f>
        <v>Ostali državni porezi</v>
      </c>
      <c r="C92" s="622"/>
      <c r="D92" s="622"/>
      <c r="E92" s="622"/>
      <c r="F92" s="622"/>
      <c r="G92" s="225">
        <v>797116.479838053</v>
      </c>
      <c r="H92" s="225">
        <v>724845.61986211198</v>
      </c>
      <c r="I92" s="225">
        <v>805957.52880981797</v>
      </c>
      <c r="J92" s="225">
        <v>929550.48419512901</v>
      </c>
      <c r="K92" s="225">
        <v>866704.66048391804</v>
      </c>
      <c r="L92" s="225">
        <v>933850.66951527295</v>
      </c>
      <c r="M92" s="225">
        <v>1015108.27296985</v>
      </c>
      <c r="N92" s="225">
        <v>1042119.37492793</v>
      </c>
      <c r="O92" s="225">
        <v>1016526.98770971</v>
      </c>
      <c r="P92" s="225">
        <v>933028.33587500697</v>
      </c>
      <c r="Q92" s="225">
        <v>984917.08401470003</v>
      </c>
      <c r="R92" s="225">
        <v>890809.73283849703</v>
      </c>
      <c r="S92" s="312">
        <f t="shared" si="20"/>
        <v>10940535.231040001</v>
      </c>
      <c r="T92" s="329">
        <f t="shared" si="21"/>
        <v>0.23596029916404301</v>
      </c>
    </row>
    <row r="93" spans="1:21">
      <c r="A93" s="216" t="str">
        <f t="shared" si="17"/>
        <v>712p</v>
      </c>
      <c r="B93" s="653" t="str">
        <f>+VLOOKUP(LEFT($A93,LEN(A93)-1)*1,Master!$D$30:$G$229,4,FALSE)</f>
        <v>Doprinosi</v>
      </c>
      <c r="C93" s="654"/>
      <c r="D93" s="654"/>
      <c r="E93" s="654"/>
      <c r="F93" s="654"/>
      <c r="G93" s="228">
        <f>+SUM(G94:G97)</f>
        <v>16292817.3081856</v>
      </c>
      <c r="H93" s="228">
        <f t="shared" ref="H93:R93" si="22">+SUM(H94:H97)</f>
        <v>41389656.549846202</v>
      </c>
      <c r="I93" s="349">
        <f t="shared" si="22"/>
        <v>40535464.795886301</v>
      </c>
      <c r="J93" s="228">
        <f t="shared" si="22"/>
        <v>53337844.267353602</v>
      </c>
      <c r="K93" s="228">
        <f t="shared" si="22"/>
        <v>42613063.500795797</v>
      </c>
      <c r="L93" s="228">
        <f t="shared" si="22"/>
        <v>49074866.128310002</v>
      </c>
      <c r="M93" s="228">
        <f t="shared" si="22"/>
        <v>51732542.7835434</v>
      </c>
      <c r="N93" s="228">
        <f t="shared" si="22"/>
        <v>49631014.3685617</v>
      </c>
      <c r="O93" s="228">
        <f t="shared" si="22"/>
        <v>47350397.796793699</v>
      </c>
      <c r="P93" s="228">
        <f t="shared" si="22"/>
        <v>49480561.795459501</v>
      </c>
      <c r="Q93" s="228">
        <f t="shared" si="22"/>
        <v>47825022.848444</v>
      </c>
      <c r="R93" s="229">
        <f t="shared" si="22"/>
        <v>92578051.3899941</v>
      </c>
      <c r="S93" s="313">
        <f t="shared" si="20"/>
        <v>581841303.53317404</v>
      </c>
      <c r="T93" s="330">
        <f t="shared" si="21"/>
        <v>12.548878564749501</v>
      </c>
    </row>
    <row r="94" spans="1:21">
      <c r="A94" s="216" t="str">
        <f t="shared" si="17"/>
        <v>7121p</v>
      </c>
      <c r="B94" s="621" t="str">
        <f>+VLOOKUP(LEFT($A94,LEN(A94)-1)*1,Master!$D$30:$G$229,4,FALSE)</f>
        <v>Doprinosi za penzijsko i invalidsko osiguranje</v>
      </c>
      <c r="C94" s="622"/>
      <c r="D94" s="622"/>
      <c r="E94" s="622"/>
      <c r="F94" s="622"/>
      <c r="G94" s="225">
        <v>9910259.3613634408</v>
      </c>
      <c r="H94" s="225">
        <v>25137864.3743544</v>
      </c>
      <c r="I94" s="225">
        <v>24453003.983654901</v>
      </c>
      <c r="J94" s="225">
        <v>32519760.595343102</v>
      </c>
      <c r="K94" s="225">
        <v>25933566.9269481</v>
      </c>
      <c r="L94" s="225">
        <v>30221430.409749798</v>
      </c>
      <c r="M94" s="225">
        <v>31808515.037481699</v>
      </c>
      <c r="N94" s="225">
        <v>30791698.093733199</v>
      </c>
      <c r="O94" s="225">
        <v>29909657.816668902</v>
      </c>
      <c r="P94" s="225">
        <v>31360173.411481299</v>
      </c>
      <c r="Q94" s="225">
        <v>30479637.603546299</v>
      </c>
      <c r="R94" s="225">
        <v>59509372.781335004</v>
      </c>
      <c r="S94" s="312">
        <f t="shared" si="20"/>
        <v>362034940.39565998</v>
      </c>
      <c r="T94" s="329">
        <f t="shared" si="21"/>
        <v>7.8081986886007</v>
      </c>
    </row>
    <row r="95" spans="1:21">
      <c r="A95" s="216" t="str">
        <f t="shared" si="17"/>
        <v>7122p</v>
      </c>
      <c r="B95" s="621" t="str">
        <f>+VLOOKUP(LEFT($A95,LEN(A95)-1)*1,Master!$D$30:$G$229,4,FALSE)</f>
        <v>Doprinosi za zdravstveno osiguranje</v>
      </c>
      <c r="C95" s="622"/>
      <c r="D95" s="622"/>
      <c r="E95" s="622"/>
      <c r="F95" s="622"/>
      <c r="G95" s="225">
        <v>5507682.5565703604</v>
      </c>
      <c r="H95" s="225">
        <v>13967653.0220799</v>
      </c>
      <c r="I95" s="225">
        <v>13648803.874599401</v>
      </c>
      <c r="J95" s="225">
        <v>17844373.876312401</v>
      </c>
      <c r="K95" s="225">
        <v>14207465.4638707</v>
      </c>
      <c r="L95" s="225">
        <v>16219799.8066309</v>
      </c>
      <c r="M95" s="225">
        <v>17270896.6332325</v>
      </c>
      <c r="N95" s="225">
        <v>16153497.8333357</v>
      </c>
      <c r="O95" s="225">
        <v>14769394.052826</v>
      </c>
      <c r="P95" s="225">
        <v>15377602.736057101</v>
      </c>
      <c r="Q95" s="225">
        <v>14647415.233922699</v>
      </c>
      <c r="R95" s="225">
        <v>27787689.034349401</v>
      </c>
      <c r="S95" s="312">
        <f t="shared" si="20"/>
        <v>187402274.12378699</v>
      </c>
      <c r="T95" s="329">
        <f t="shared" si="21"/>
        <v>4.04180378130068</v>
      </c>
    </row>
    <row r="96" spans="1:21">
      <c r="A96" s="216" t="str">
        <f t="shared" si="17"/>
        <v>7123p</v>
      </c>
      <c r="B96" s="621" t="str">
        <f>+VLOOKUP(LEFT($A96,LEN(A96)-1)*1,Master!$D$30:$G$229,4,FALSE)</f>
        <v>Doprinosi za osiguranje od nezaposlenosti</v>
      </c>
      <c r="C96" s="622"/>
      <c r="D96" s="622"/>
      <c r="E96" s="622"/>
      <c r="F96" s="622"/>
      <c r="G96" s="225">
        <v>493138.80101936299</v>
      </c>
      <c r="H96" s="225">
        <v>1244226.7553943901</v>
      </c>
      <c r="I96" s="225">
        <v>1217903.55329183</v>
      </c>
      <c r="J96" s="225">
        <v>1573709.7621291101</v>
      </c>
      <c r="K96" s="225">
        <v>1310875.4333661699</v>
      </c>
      <c r="L96" s="225">
        <v>1442932.91220961</v>
      </c>
      <c r="M96" s="225">
        <v>1504150.0520120901</v>
      </c>
      <c r="N96" s="225">
        <v>1482770.5978639601</v>
      </c>
      <c r="O96" s="225">
        <v>1466444.69198584</v>
      </c>
      <c r="P96" s="225">
        <v>1497447.20376424</v>
      </c>
      <c r="Q96" s="225">
        <v>1454939.4368525899</v>
      </c>
      <c r="R96" s="225">
        <v>2809944.7231285302</v>
      </c>
      <c r="S96" s="312">
        <f t="shared" si="20"/>
        <v>17498483.923017699</v>
      </c>
      <c r="T96" s="329">
        <f t="shared" si="21"/>
        <v>0.37739904074144298</v>
      </c>
    </row>
    <row r="97" spans="1:23">
      <c r="A97" s="216" t="str">
        <f t="shared" si="17"/>
        <v>7124p</v>
      </c>
      <c r="B97" s="621" t="str">
        <f>+VLOOKUP(LEFT($A97,LEN(A97)-1)*1,Master!$D$30:$G$229,4,FALSE)</f>
        <v>Ostali doprinosi</v>
      </c>
      <c r="C97" s="622"/>
      <c r="D97" s="622"/>
      <c r="E97" s="622"/>
      <c r="F97" s="622"/>
      <c r="G97" s="225">
        <v>381736.58923248999</v>
      </c>
      <c r="H97" s="225">
        <v>1039912.39801747</v>
      </c>
      <c r="I97" s="225">
        <v>1215753.38434015</v>
      </c>
      <c r="J97" s="225">
        <v>1400000.0335689101</v>
      </c>
      <c r="K97" s="225">
        <v>1161155.67661084</v>
      </c>
      <c r="L97" s="225">
        <v>1190702.9997196901</v>
      </c>
      <c r="M97" s="225">
        <v>1148981.0608172</v>
      </c>
      <c r="N97" s="225">
        <v>1203047.8436288801</v>
      </c>
      <c r="O97" s="225">
        <v>1204901.2353130199</v>
      </c>
      <c r="P97" s="225">
        <v>1245338.44415686</v>
      </c>
      <c r="Q97" s="225">
        <v>1243030.57412236</v>
      </c>
      <c r="R97" s="225">
        <v>2471044.8511811802</v>
      </c>
      <c r="S97" s="312">
        <f t="shared" si="20"/>
        <v>14905605.0907091</v>
      </c>
      <c r="T97" s="329">
        <f t="shared" si="21"/>
        <v>0.321477054106653</v>
      </c>
    </row>
    <row r="98" spans="1:23">
      <c r="A98" s="216" t="str">
        <f t="shared" si="17"/>
        <v>713p</v>
      </c>
      <c r="B98" s="623" t="str">
        <f>+VLOOKUP(LEFT($A98,LEN(A98)-1)*1,Master!$D$30:$G$229,4,FALSE)</f>
        <v>Takse</v>
      </c>
      <c r="C98" s="624"/>
      <c r="D98" s="624"/>
      <c r="E98" s="624"/>
      <c r="F98" s="624"/>
      <c r="G98" s="232">
        <v>730802.91091072105</v>
      </c>
      <c r="H98" s="232">
        <v>897580.50917497999</v>
      </c>
      <c r="I98" s="232">
        <v>914093.21960377099</v>
      </c>
      <c r="J98" s="232">
        <v>1053757.23939672</v>
      </c>
      <c r="K98" s="232">
        <v>972833.731008881</v>
      </c>
      <c r="L98" s="232">
        <v>1017281.46500791</v>
      </c>
      <c r="M98" s="232">
        <v>1547084.7775105699</v>
      </c>
      <c r="N98" s="232">
        <v>1358136.6756660501</v>
      </c>
      <c r="O98" s="232">
        <v>1287945.22031413</v>
      </c>
      <c r="P98" s="232">
        <v>1104261.3910324399</v>
      </c>
      <c r="Q98" s="232">
        <v>809312.759056187</v>
      </c>
      <c r="R98" s="232">
        <v>1084146.07459764</v>
      </c>
      <c r="S98" s="313">
        <f t="shared" si="20"/>
        <v>12777235.97328</v>
      </c>
      <c r="T98" s="330">
        <f t="shared" si="21"/>
        <v>0.275573393721261</v>
      </c>
    </row>
    <row r="99" spans="1:23">
      <c r="A99" s="216" t="str">
        <f t="shared" si="17"/>
        <v>714p</v>
      </c>
      <c r="B99" s="623" t="str">
        <f>+VLOOKUP(LEFT($A99,LEN(A99)-1)*1,Master!$D$30:$G$229,4,FALSE)</f>
        <v>Naknade</v>
      </c>
      <c r="C99" s="624"/>
      <c r="D99" s="624"/>
      <c r="E99" s="624"/>
      <c r="F99" s="624"/>
      <c r="G99" s="232">
        <v>1903748.3324442101</v>
      </c>
      <c r="H99" s="232">
        <v>1651746.76017527</v>
      </c>
      <c r="I99" s="232">
        <v>2645570.0065749502</v>
      </c>
      <c r="J99" s="232">
        <v>3755352.2133842101</v>
      </c>
      <c r="K99" s="232">
        <v>2033694.7730544701</v>
      </c>
      <c r="L99" s="232">
        <v>2512218.7250152398</v>
      </c>
      <c r="M99" s="232">
        <v>3228024.1788945301</v>
      </c>
      <c r="N99" s="232">
        <v>2260702.1717122602</v>
      </c>
      <c r="O99" s="232">
        <v>4917603.32119257</v>
      </c>
      <c r="P99" s="232">
        <v>5162825.2848487403</v>
      </c>
      <c r="Q99" s="232">
        <v>4036123.96485565</v>
      </c>
      <c r="R99" s="232">
        <v>6435761.88104787</v>
      </c>
      <c r="S99" s="313">
        <f t="shared" si="20"/>
        <v>40543371.613200001</v>
      </c>
      <c r="T99" s="330">
        <f t="shared" si="21"/>
        <v>0.87442029964197898</v>
      </c>
    </row>
    <row r="100" spans="1:23">
      <c r="A100" s="216" t="str">
        <f t="shared" si="17"/>
        <v>715p</v>
      </c>
      <c r="B100" s="623" t="str">
        <f>+VLOOKUP(LEFT($A100,LEN(A100)-1)*1,Master!$D$30:$G$229,4,FALSE)</f>
        <v>Ostali prihodi</v>
      </c>
      <c r="C100" s="624"/>
      <c r="D100" s="624"/>
      <c r="E100" s="624"/>
      <c r="F100" s="624"/>
      <c r="G100" s="232">
        <v>1127712.56322166</v>
      </c>
      <c r="H100" s="232">
        <v>1801554.42595846</v>
      </c>
      <c r="I100" s="232">
        <v>2619748.73711567</v>
      </c>
      <c r="J100" s="232">
        <v>2049931.2276301801</v>
      </c>
      <c r="K100" s="232">
        <v>3595143.3294339101</v>
      </c>
      <c r="L100" s="232">
        <v>3403834.2267417498</v>
      </c>
      <c r="M100" s="232">
        <v>36016804.153743699</v>
      </c>
      <c r="N100" s="232">
        <v>6453367.3074506996</v>
      </c>
      <c r="O100" s="232">
        <v>1839149.1255743201</v>
      </c>
      <c r="P100" s="232">
        <v>2075658.71521767</v>
      </c>
      <c r="Q100" s="232">
        <v>1925376.34659482</v>
      </c>
      <c r="R100" s="232">
        <v>2916461.9446370802</v>
      </c>
      <c r="S100" s="313">
        <f t="shared" si="20"/>
        <v>65824742.103319898</v>
      </c>
      <c r="T100" s="330">
        <f t="shared" si="21"/>
        <v>1.41967696379502</v>
      </c>
    </row>
    <row r="101" spans="1:23">
      <c r="A101" s="216" t="str">
        <f t="shared" si="17"/>
        <v>73p</v>
      </c>
      <c r="B101" s="623" t="str">
        <f>+VLOOKUP(LEFT($A101,LEN(A101)-1)*1,Master!$D$30:$G$229,4,FALSE)</f>
        <v>Primici od otplate kredita i sredstva prenesena iz prethodne godine</v>
      </c>
      <c r="C101" s="624"/>
      <c r="D101" s="624"/>
      <c r="E101" s="624"/>
      <c r="F101" s="624"/>
      <c r="G101" s="232">
        <v>68789.687590440299</v>
      </c>
      <c r="H101" s="232">
        <v>376318.34950449597</v>
      </c>
      <c r="I101" s="232">
        <v>255800.10767818301</v>
      </c>
      <c r="J101" s="232">
        <v>397349.625626522</v>
      </c>
      <c r="K101" s="232">
        <v>931608.88060212496</v>
      </c>
      <c r="L101" s="232">
        <v>1496223.65873796</v>
      </c>
      <c r="M101" s="232">
        <v>155121.60848222801</v>
      </c>
      <c r="N101" s="232">
        <v>1492824.8706624301</v>
      </c>
      <c r="O101" s="232">
        <v>211530.08298020199</v>
      </c>
      <c r="P101" s="232">
        <v>257220.12073081601</v>
      </c>
      <c r="Q101" s="232">
        <v>1664971.2137021699</v>
      </c>
      <c r="R101" s="232">
        <v>1922748.46370244</v>
      </c>
      <c r="S101" s="313">
        <f t="shared" si="20"/>
        <v>9230506.6699999999</v>
      </c>
      <c r="T101" s="330">
        <f t="shared" si="21"/>
        <v>0.19907921041280299</v>
      </c>
    </row>
    <row r="102" spans="1:23">
      <c r="A102" s="216" t="str">
        <f t="shared" si="17"/>
        <v>74p</v>
      </c>
      <c r="B102" s="625" t="str">
        <f>+VLOOKUP(LEFT($A102,LEN(A102)-1)*1,Master!$D$30:$G$229,4,FALSE)</f>
        <v>Donacije i transferi</v>
      </c>
      <c r="C102" s="626"/>
      <c r="D102" s="626"/>
      <c r="E102" s="626"/>
      <c r="F102" s="626"/>
      <c r="G102" s="232">
        <v>2340030.9038784802</v>
      </c>
      <c r="H102" s="232">
        <v>2845013.91410266</v>
      </c>
      <c r="I102" s="232">
        <v>2449300.7544025299</v>
      </c>
      <c r="J102" s="232">
        <v>1863945.6555469399</v>
      </c>
      <c r="K102" s="232">
        <v>4317534.1795375999</v>
      </c>
      <c r="L102" s="232">
        <v>2573384.7959295502</v>
      </c>
      <c r="M102" s="232">
        <v>5132906.59012667</v>
      </c>
      <c r="N102" s="232">
        <v>4961468.8644931996</v>
      </c>
      <c r="O102" s="232">
        <v>4688600.2554550804</v>
      </c>
      <c r="P102" s="232">
        <v>6045552.8208221197</v>
      </c>
      <c r="Q102" s="232">
        <v>17007724.9146761</v>
      </c>
      <c r="R102" s="232">
        <v>10674636.551029099</v>
      </c>
      <c r="S102" s="314">
        <f t="shared" si="20"/>
        <v>64900100.200000003</v>
      </c>
      <c r="T102" s="331">
        <f t="shared" si="21"/>
        <v>1.39973472371997</v>
      </c>
    </row>
    <row r="103" spans="1:23">
      <c r="A103" s="216" t="str">
        <f t="shared" si="17"/>
        <v>4p</v>
      </c>
      <c r="B103" s="617" t="str">
        <f>+VLOOKUP(LEFT($A103,LEN(A103)-1)*1,Master!$D$30:$G$229,4,FALSE)</f>
        <v>Izdaci budžeta</v>
      </c>
      <c r="C103" s="618"/>
      <c r="D103" s="618"/>
      <c r="E103" s="618"/>
      <c r="F103" s="618"/>
      <c r="G103" s="217">
        <f t="shared" ref="G103:R103" si="23">+G104+G114+G120+SUM(G121:G125)</f>
        <v>186608591.86186701</v>
      </c>
      <c r="H103" s="217">
        <f t="shared" si="23"/>
        <v>169881214.12836701</v>
      </c>
      <c r="I103" s="217">
        <f t="shared" si="23"/>
        <v>168565134.34196699</v>
      </c>
      <c r="J103" s="217">
        <f t="shared" si="23"/>
        <v>163002269.967067</v>
      </c>
      <c r="K103" s="217">
        <f t="shared" si="23"/>
        <v>177933088.67026699</v>
      </c>
      <c r="L103" s="217">
        <f t="shared" si="23"/>
        <v>158612244.48616701</v>
      </c>
      <c r="M103" s="217">
        <f t="shared" si="23"/>
        <v>166286941.34583101</v>
      </c>
      <c r="N103" s="217">
        <f t="shared" si="23"/>
        <v>159631902.00295401</v>
      </c>
      <c r="O103" s="217">
        <f t="shared" si="23"/>
        <v>160175734.16545701</v>
      </c>
      <c r="P103" s="217">
        <f t="shared" si="23"/>
        <v>172498104.507961</v>
      </c>
      <c r="Q103" s="217">
        <f t="shared" si="23"/>
        <v>168241373.962147</v>
      </c>
      <c r="R103" s="217">
        <f t="shared" si="23"/>
        <v>204098593.62423301</v>
      </c>
      <c r="S103" s="315">
        <f t="shared" si="20"/>
        <v>2055535193.06428</v>
      </c>
      <c r="T103" s="350">
        <f t="shared" si="21"/>
        <v>44.332812687406403</v>
      </c>
      <c r="U103" s="224"/>
      <c r="V103" s="173"/>
    </row>
    <row r="104" spans="1:23">
      <c r="A104" s="216" t="str">
        <f t="shared" si="17"/>
        <v>41p</v>
      </c>
      <c r="B104" s="627" t="str">
        <f>+VLOOKUP(LEFT($A104,LEN(A104)-1)*1,Master!$D$30:$G$229,4,FALSE)</f>
        <v>Tekući izdaci</v>
      </c>
      <c r="C104" s="628"/>
      <c r="D104" s="628"/>
      <c r="E104" s="628"/>
      <c r="F104" s="628"/>
      <c r="G104" s="240">
        <f t="shared" ref="G104:R104" si="24">+SUM(G105:G113)</f>
        <v>70109042.727400005</v>
      </c>
      <c r="H104" s="240">
        <f t="shared" si="24"/>
        <v>71774857.2861</v>
      </c>
      <c r="I104" s="240">
        <f t="shared" si="24"/>
        <v>75820330.003299996</v>
      </c>
      <c r="J104" s="240">
        <f t="shared" si="24"/>
        <v>87907377.136600003</v>
      </c>
      <c r="K104" s="240">
        <f t="shared" si="24"/>
        <v>75705671.611399993</v>
      </c>
      <c r="L104" s="240">
        <f t="shared" si="24"/>
        <v>72995416.337500006</v>
      </c>
      <c r="M104" s="240">
        <f t="shared" si="24"/>
        <v>68725717.528064206</v>
      </c>
      <c r="N104" s="240">
        <f t="shared" si="24"/>
        <v>62070678.1851869</v>
      </c>
      <c r="O104" s="240">
        <f t="shared" si="24"/>
        <v>62614510.347689897</v>
      </c>
      <c r="P104" s="240">
        <f t="shared" si="24"/>
        <v>74936880.6901948</v>
      </c>
      <c r="Q104" s="240">
        <f t="shared" si="24"/>
        <v>67553620.464380503</v>
      </c>
      <c r="R104" s="241">
        <f t="shared" si="24"/>
        <v>83410840.126466706</v>
      </c>
      <c r="S104" s="311">
        <f t="shared" si="20"/>
        <v>873624942.44428301</v>
      </c>
      <c r="T104" s="327">
        <f t="shared" si="21"/>
        <v>18.841930346466899</v>
      </c>
      <c r="V104" s="173"/>
      <c r="W104" s="173"/>
    </row>
    <row r="105" spans="1:23">
      <c r="A105" s="216" t="str">
        <f t="shared" si="17"/>
        <v>411p</v>
      </c>
      <c r="B105" s="621" t="str">
        <f>+VLOOKUP(LEFT($A105,LEN(A105)-1)*1,Master!$D$30:$G$229,4,FALSE)</f>
        <v>Bruto zarade i doprinosi na teret poslodavca</v>
      </c>
      <c r="C105" s="622"/>
      <c r="D105" s="622"/>
      <c r="E105" s="622"/>
      <c r="F105" s="622"/>
      <c r="G105" s="225">
        <v>41000000</v>
      </c>
      <c r="H105" s="225">
        <v>47328717.694200002</v>
      </c>
      <c r="I105" s="225">
        <v>45494745.655000001</v>
      </c>
      <c r="J105" s="225">
        <v>46000000</v>
      </c>
      <c r="K105" s="225">
        <v>46000000</v>
      </c>
      <c r="L105" s="225">
        <v>46000000</v>
      </c>
      <c r="M105" s="225">
        <v>41853667.688466698</v>
      </c>
      <c r="N105" s="225">
        <v>41853667.688466698</v>
      </c>
      <c r="O105" s="225">
        <v>41853667.688466698</v>
      </c>
      <c r="P105" s="225">
        <v>41853667.688466698</v>
      </c>
      <c r="Q105" s="225">
        <v>41853667.688466698</v>
      </c>
      <c r="R105" s="225">
        <v>41853667.688466698</v>
      </c>
      <c r="S105" s="312">
        <f t="shared" si="20"/>
        <v>522945469.48000002</v>
      </c>
      <c r="T105" s="329">
        <f t="shared" si="21"/>
        <v>11.278641018849999</v>
      </c>
    </row>
    <row r="106" spans="1:23">
      <c r="A106" s="216" t="str">
        <f t="shared" si="17"/>
        <v>412p</v>
      </c>
      <c r="B106" s="621" t="str">
        <f>+VLOOKUP(LEFT($A106,LEN(A106)-1)*1,Master!$D$30:$G$229,4,FALSE)</f>
        <v>Ostala lična primanja</v>
      </c>
      <c r="C106" s="622"/>
      <c r="D106" s="622"/>
      <c r="E106" s="622"/>
      <c r="F106" s="622"/>
      <c r="G106" s="225">
        <v>1092920.9706999999</v>
      </c>
      <c r="H106" s="225">
        <v>1211788.7163</v>
      </c>
      <c r="I106" s="225">
        <v>793227.80319999997</v>
      </c>
      <c r="J106" s="225">
        <v>1071520.2790000001</v>
      </c>
      <c r="K106" s="225">
        <v>1278854.7548</v>
      </c>
      <c r="L106" s="225">
        <v>1098574.56</v>
      </c>
      <c r="M106" s="225">
        <v>992187.80599999998</v>
      </c>
      <c r="N106" s="225">
        <v>992187.80599999998</v>
      </c>
      <c r="O106" s="225">
        <v>992187.80599999998</v>
      </c>
      <c r="P106" s="225">
        <v>992187.80599999998</v>
      </c>
      <c r="Q106" s="225">
        <v>992187.80599999998</v>
      </c>
      <c r="R106" s="225">
        <v>992187.80599999998</v>
      </c>
      <c r="S106" s="312">
        <f t="shared" si="20"/>
        <v>12500013.92</v>
      </c>
      <c r="T106" s="329">
        <f t="shared" si="21"/>
        <v>0.26959439934434698</v>
      </c>
    </row>
    <row r="107" spans="1:23">
      <c r="A107" s="216" t="str">
        <f t="shared" si="17"/>
        <v>413p</v>
      </c>
      <c r="B107" s="621" t="str">
        <f>+VLOOKUP(LEFT($A107,LEN(A107)-1)*1,Master!$D$30:$G$229,4,FALSE)</f>
        <v>Rashodi za materijal</v>
      </c>
      <c r="C107" s="622"/>
      <c r="D107" s="622"/>
      <c r="E107" s="622"/>
      <c r="F107" s="622"/>
      <c r="G107" s="225">
        <v>2533456.2689</v>
      </c>
      <c r="H107" s="225">
        <v>2607238.5882000001</v>
      </c>
      <c r="I107" s="225">
        <v>3328883.5447999998</v>
      </c>
      <c r="J107" s="225">
        <v>2142026.3062</v>
      </c>
      <c r="K107" s="225">
        <v>5202320.1540000001</v>
      </c>
      <c r="L107" s="225">
        <v>3917319.4131999998</v>
      </c>
      <c r="M107" s="225">
        <v>2038155.2507833301</v>
      </c>
      <c r="N107" s="225">
        <v>2038155.2507833301</v>
      </c>
      <c r="O107" s="225">
        <v>2038155.2507833301</v>
      </c>
      <c r="P107" s="225">
        <v>2038155.2507833301</v>
      </c>
      <c r="Q107" s="225">
        <v>2038155.2507833301</v>
      </c>
      <c r="R107" s="225">
        <v>2038155.2507833301</v>
      </c>
      <c r="S107" s="312">
        <f t="shared" si="20"/>
        <v>31960175.780000001</v>
      </c>
      <c r="T107" s="329">
        <f t="shared" si="21"/>
        <v>0.68930198378121899</v>
      </c>
    </row>
    <row r="108" spans="1:23">
      <c r="A108" s="216" t="str">
        <f t="shared" si="17"/>
        <v>414p</v>
      </c>
      <c r="B108" s="621" t="str">
        <f>+VLOOKUP(LEFT($A108,LEN(A108)-1)*1,Master!$D$30:$G$229,4,FALSE)</f>
        <v>Rashodi za usluge</v>
      </c>
      <c r="C108" s="622"/>
      <c r="D108" s="622"/>
      <c r="E108" s="622"/>
      <c r="F108" s="622"/>
      <c r="G108" s="225">
        <v>6474297.8454999998</v>
      </c>
      <c r="H108" s="225">
        <v>9096739.9087000005</v>
      </c>
      <c r="I108" s="225">
        <v>5506954.7248999998</v>
      </c>
      <c r="J108" s="225">
        <v>3801732.5583000001</v>
      </c>
      <c r="K108" s="225">
        <v>5150354.8266000003</v>
      </c>
      <c r="L108" s="225">
        <v>6077559.1977000004</v>
      </c>
      <c r="M108" s="225">
        <v>4439703.7447166704</v>
      </c>
      <c r="N108" s="225">
        <v>4439703.7447166704</v>
      </c>
      <c r="O108" s="225">
        <v>4439703.7447166704</v>
      </c>
      <c r="P108" s="225">
        <v>4439703.7447166704</v>
      </c>
      <c r="Q108" s="225">
        <v>4439703.7447166704</v>
      </c>
      <c r="R108" s="225">
        <v>4439703.7447166704</v>
      </c>
      <c r="S108" s="312">
        <f t="shared" si="20"/>
        <v>62745861.530000001</v>
      </c>
      <c r="T108" s="329">
        <f t="shared" si="21"/>
        <v>1.35327312103697</v>
      </c>
    </row>
    <row r="109" spans="1:23">
      <c r="A109" s="216" t="str">
        <f t="shared" si="17"/>
        <v>415p</v>
      </c>
      <c r="B109" s="621" t="str">
        <f>+VLOOKUP(LEFT($A109,LEN(A109)-1)*1,Master!$D$30:$G$229,4,FALSE)</f>
        <v>Rashodi za tekuće održavanje</v>
      </c>
      <c r="C109" s="622"/>
      <c r="D109" s="622"/>
      <c r="E109" s="622"/>
      <c r="F109" s="622"/>
      <c r="G109" s="225">
        <v>2012907.0852999999</v>
      </c>
      <c r="H109" s="225">
        <v>2056207.8836999999</v>
      </c>
      <c r="I109" s="225">
        <v>830730.6102</v>
      </c>
      <c r="J109" s="225">
        <v>1835083.2786999999</v>
      </c>
      <c r="K109" s="225">
        <v>2036176.5622</v>
      </c>
      <c r="L109" s="225">
        <v>2098569.1472</v>
      </c>
      <c r="M109" s="225">
        <v>2078633.28878333</v>
      </c>
      <c r="N109" s="225">
        <v>2078633.28878333</v>
      </c>
      <c r="O109" s="225">
        <v>2078633.28878333</v>
      </c>
      <c r="P109" s="225">
        <v>2078633.28878333</v>
      </c>
      <c r="Q109" s="225">
        <v>2078633.28878333</v>
      </c>
      <c r="R109" s="225">
        <v>2078633.28878333</v>
      </c>
      <c r="S109" s="312">
        <f t="shared" si="20"/>
        <v>23341474.300000001</v>
      </c>
      <c r="T109" s="329">
        <f t="shared" si="21"/>
        <v>0.50341789889142896</v>
      </c>
    </row>
    <row r="110" spans="1:23">
      <c r="A110" s="216" t="str">
        <f t="shared" si="17"/>
        <v>416p</v>
      </c>
      <c r="B110" s="621" t="str">
        <f>+VLOOKUP(LEFT($A110,LEN(A110)-1)*1,Master!$D$30:$G$229,4,FALSE)</f>
        <v>Kamate</v>
      </c>
      <c r="C110" s="622"/>
      <c r="D110" s="622"/>
      <c r="E110" s="622"/>
      <c r="F110" s="622"/>
      <c r="G110" s="225">
        <v>7888403.8046000004</v>
      </c>
      <c r="H110" s="225">
        <v>1178757.1535</v>
      </c>
      <c r="I110" s="225">
        <v>15598617.987</v>
      </c>
      <c r="J110" s="225">
        <v>22487897.838399999</v>
      </c>
      <c r="K110" s="225">
        <v>6926498.3346999995</v>
      </c>
      <c r="L110" s="225">
        <v>5371993.0329</v>
      </c>
      <c r="M110" s="225">
        <v>7777546.5015975405</v>
      </c>
      <c r="N110" s="225">
        <v>1122507.1587202</v>
      </c>
      <c r="O110" s="225">
        <v>1666339.3212232699</v>
      </c>
      <c r="P110" s="225">
        <v>13988709.663728099</v>
      </c>
      <c r="Q110" s="225">
        <v>6605449.4379137997</v>
      </c>
      <c r="R110" s="225">
        <v>22462669.100000001</v>
      </c>
      <c r="S110" s="312">
        <f t="shared" si="20"/>
        <v>113075389.33428299</v>
      </c>
      <c r="T110" s="329">
        <f t="shared" si="21"/>
        <v>2.4387566176569702</v>
      </c>
    </row>
    <row r="111" spans="1:23">
      <c r="A111" s="216" t="str">
        <f t="shared" si="17"/>
        <v>417p</v>
      </c>
      <c r="B111" s="621" t="str">
        <f>+VLOOKUP(LEFT($A111,LEN(A111)-1)*1,Master!$D$30:$G$229,4,FALSE)</f>
        <v>Renta</v>
      </c>
      <c r="C111" s="622"/>
      <c r="D111" s="622"/>
      <c r="E111" s="622"/>
      <c r="F111" s="622"/>
      <c r="G111" s="225">
        <v>856829.17779999995</v>
      </c>
      <c r="H111" s="225">
        <v>859323.00959999999</v>
      </c>
      <c r="I111" s="225">
        <v>536855.18090000004</v>
      </c>
      <c r="J111" s="225">
        <v>692135.44759999996</v>
      </c>
      <c r="K111" s="225">
        <v>1339268.6083</v>
      </c>
      <c r="L111" s="225">
        <v>604609.61849999998</v>
      </c>
      <c r="M111" s="225">
        <v>997721.26954999997</v>
      </c>
      <c r="N111" s="225">
        <v>997721.26954999997</v>
      </c>
      <c r="O111" s="225">
        <v>997721.26954999997</v>
      </c>
      <c r="P111" s="225">
        <v>997721.26954999997</v>
      </c>
      <c r="Q111" s="225">
        <v>997721.26954999997</v>
      </c>
      <c r="R111" s="225">
        <v>997721.26954999997</v>
      </c>
      <c r="S111" s="312">
        <f t="shared" si="20"/>
        <v>10875348.66</v>
      </c>
      <c r="T111" s="329">
        <f t="shared" si="21"/>
        <v>0.23455438597247999</v>
      </c>
    </row>
    <row r="112" spans="1:23">
      <c r="A112" s="216" t="str">
        <f t="shared" si="17"/>
        <v>418p</v>
      </c>
      <c r="B112" s="621" t="str">
        <f>+VLOOKUP(LEFT($A112,LEN(A112)-1)*1,Master!$D$30:$G$229,4,FALSE)</f>
        <v>Subvencije</v>
      </c>
      <c r="C112" s="622"/>
      <c r="D112" s="622"/>
      <c r="E112" s="622"/>
      <c r="F112" s="622"/>
      <c r="G112" s="225">
        <v>3982825.8837000001</v>
      </c>
      <c r="H112" s="225">
        <v>3859908.0137</v>
      </c>
      <c r="I112" s="225">
        <v>825102.68370000005</v>
      </c>
      <c r="J112" s="225">
        <v>6583273.04</v>
      </c>
      <c r="K112" s="225">
        <v>3620410.0737000001</v>
      </c>
      <c r="L112" s="225">
        <v>4064450.67</v>
      </c>
      <c r="M112" s="225">
        <v>4639246.2625333304</v>
      </c>
      <c r="N112" s="225">
        <v>4639246.2625333304</v>
      </c>
      <c r="O112" s="225">
        <v>4639246.2625333304</v>
      </c>
      <c r="P112" s="225">
        <v>4639246.2625333304</v>
      </c>
      <c r="Q112" s="225">
        <v>4639246.2625333304</v>
      </c>
      <c r="R112" s="225">
        <v>4639246.2625333304</v>
      </c>
      <c r="S112" s="312">
        <f t="shared" si="20"/>
        <v>50771447.939999998</v>
      </c>
      <c r="T112" s="329">
        <f t="shared" si="21"/>
        <v>1.0950146214898899</v>
      </c>
    </row>
    <row r="113" spans="1:22">
      <c r="A113" s="216" t="str">
        <f t="shared" si="17"/>
        <v>419p</v>
      </c>
      <c r="B113" s="621" t="str">
        <f>+VLOOKUP(LEFT($A113,LEN(A113)-1)*1,Master!$D$30:$G$229,4,FALSE)</f>
        <v>Ostali izdaci</v>
      </c>
      <c r="C113" s="622"/>
      <c r="D113" s="622"/>
      <c r="E113" s="622"/>
      <c r="F113" s="622"/>
      <c r="G113" s="225">
        <v>4267401.6908999998</v>
      </c>
      <c r="H113" s="225">
        <v>3576176.3182000001</v>
      </c>
      <c r="I113" s="225">
        <v>2905211.8136</v>
      </c>
      <c r="J113" s="225">
        <v>3293708.3884000001</v>
      </c>
      <c r="K113" s="225">
        <v>4151788.2971000001</v>
      </c>
      <c r="L113" s="225">
        <v>3762340.6979999999</v>
      </c>
      <c r="M113" s="225">
        <v>3908855.7156333299</v>
      </c>
      <c r="N113" s="225">
        <v>3908855.7156333299</v>
      </c>
      <c r="O113" s="225">
        <v>3908855.7156333299</v>
      </c>
      <c r="P113" s="225">
        <v>3908855.7156333299</v>
      </c>
      <c r="Q113" s="225">
        <v>3908855.7156333299</v>
      </c>
      <c r="R113" s="225">
        <v>3908855.7156333299</v>
      </c>
      <c r="S113" s="312">
        <f t="shared" si="20"/>
        <v>45409761.5</v>
      </c>
      <c r="T113" s="329">
        <f t="shared" si="21"/>
        <v>0.97937629944355797</v>
      </c>
    </row>
    <row r="114" spans="1:22">
      <c r="A114" s="216" t="str">
        <f t="shared" si="17"/>
        <v>42p</v>
      </c>
      <c r="B114" s="649" t="str">
        <f>+VLOOKUP(LEFT($A114,LEN(A114)-1)*1,Master!$D$30:$G$229,4,FALSE)</f>
        <v>Transferi za socijalnu zaštitu</v>
      </c>
      <c r="C114" s="650"/>
      <c r="D114" s="650"/>
      <c r="E114" s="650"/>
      <c r="F114" s="650"/>
      <c r="G114" s="242">
        <f t="shared" ref="G114:R114" si="25">+SUM(G115:G119)</f>
        <v>49082785.369599998</v>
      </c>
      <c r="H114" s="242">
        <f t="shared" si="25"/>
        <v>48799260.338100001</v>
      </c>
      <c r="I114" s="242">
        <f t="shared" si="25"/>
        <v>45520131.565200001</v>
      </c>
      <c r="J114" s="242">
        <f t="shared" si="25"/>
        <v>42633361.1844</v>
      </c>
      <c r="K114" s="242">
        <f t="shared" si="25"/>
        <v>49141473.441699997</v>
      </c>
      <c r="L114" s="242">
        <f t="shared" si="25"/>
        <v>46644336.441699997</v>
      </c>
      <c r="M114" s="242">
        <f t="shared" si="25"/>
        <v>48529569.028216697</v>
      </c>
      <c r="N114" s="242">
        <f t="shared" si="25"/>
        <v>48529569.028216697</v>
      </c>
      <c r="O114" s="242">
        <f t="shared" si="25"/>
        <v>48529569.028216697</v>
      </c>
      <c r="P114" s="242">
        <f t="shared" si="25"/>
        <v>48529569.028216697</v>
      </c>
      <c r="Q114" s="242">
        <f t="shared" si="25"/>
        <v>51656098.708216697</v>
      </c>
      <c r="R114" s="242">
        <f t="shared" si="25"/>
        <v>71656098.708216697</v>
      </c>
      <c r="S114" s="313">
        <f t="shared" si="20"/>
        <v>599251821.87</v>
      </c>
      <c r="T114" s="330">
        <f t="shared" si="21"/>
        <v>12.9243804052538</v>
      </c>
    </row>
    <row r="115" spans="1:22">
      <c r="A115" s="216" t="str">
        <f t="shared" si="17"/>
        <v>421p</v>
      </c>
      <c r="B115" s="621" t="str">
        <f>+VLOOKUP(LEFT($A115,LEN(A115)-1)*1,Master!$D$30:$G$229,4,FALSE)</f>
        <v>Prava iz oblasti socijalne zaštite</v>
      </c>
      <c r="C115" s="622"/>
      <c r="D115" s="622"/>
      <c r="E115" s="622"/>
      <c r="F115" s="622"/>
      <c r="G115" s="225">
        <v>7370622</v>
      </c>
      <c r="H115" s="225">
        <v>7087097.3600000003</v>
      </c>
      <c r="I115" s="225">
        <v>6474402.3399999999</v>
      </c>
      <c r="J115" s="225">
        <v>5875881.9400000004</v>
      </c>
      <c r="K115" s="225">
        <v>7079137</v>
      </c>
      <c r="L115" s="225">
        <v>6298300</v>
      </c>
      <c r="M115" s="225">
        <v>7000000</v>
      </c>
      <c r="N115" s="225">
        <v>7000000</v>
      </c>
      <c r="O115" s="225">
        <v>7000000</v>
      </c>
      <c r="P115" s="225">
        <v>7000000</v>
      </c>
      <c r="Q115" s="225">
        <v>10126529.68</v>
      </c>
      <c r="R115" s="225">
        <v>30126529.68</v>
      </c>
      <c r="S115" s="312">
        <f t="shared" si="20"/>
        <v>108438500</v>
      </c>
      <c r="T115" s="329">
        <f t="shared" si="21"/>
        <v>2.3387503774317402</v>
      </c>
    </row>
    <row r="116" spans="1:22">
      <c r="A116" s="216" t="str">
        <f t="shared" ref="A116:A138" si="26">+CONCATENATE(A42,"p")</f>
        <v>422p</v>
      </c>
      <c r="B116" s="621" t="str">
        <f>+VLOOKUP(LEFT($A116,LEN(A116)-1)*1,Master!$D$30:$G$229,4,FALSE)</f>
        <v>Sredstva za tehnološke viškove</v>
      </c>
      <c r="C116" s="622"/>
      <c r="D116" s="622"/>
      <c r="E116" s="622"/>
      <c r="F116" s="622"/>
      <c r="G116" s="225">
        <v>1663426.8485999999</v>
      </c>
      <c r="H116" s="225">
        <v>1663426.8485999999</v>
      </c>
      <c r="I116" s="225">
        <v>1589371.0137</v>
      </c>
      <c r="J116" s="225">
        <v>821160.01370000001</v>
      </c>
      <c r="K116" s="225">
        <v>2625600.0836999998</v>
      </c>
      <c r="L116" s="225">
        <v>2209300.0836999998</v>
      </c>
      <c r="M116" s="225">
        <v>1331215.5079999999</v>
      </c>
      <c r="N116" s="225">
        <v>1331215.5079999999</v>
      </c>
      <c r="O116" s="225">
        <v>1331215.5079999999</v>
      </c>
      <c r="P116" s="225">
        <v>1331215.5079999999</v>
      </c>
      <c r="Q116" s="225">
        <v>1331215.5079999999</v>
      </c>
      <c r="R116" s="225">
        <v>1331215.5079999999</v>
      </c>
      <c r="S116" s="312">
        <f t="shared" si="20"/>
        <v>18559577.940000001</v>
      </c>
      <c r="T116" s="329">
        <f t="shared" si="21"/>
        <v>0.40028421558900901</v>
      </c>
    </row>
    <row r="117" spans="1:22">
      <c r="A117" s="216" t="str">
        <f t="shared" si="26"/>
        <v>423p</v>
      </c>
      <c r="B117" s="621" t="str">
        <f>+VLOOKUP(LEFT($A117,LEN(A117)-1)*1,Master!$D$30:$G$229,4,FALSE)</f>
        <v>Prava iz oblasti penzijskog i invalidskog osiguranja</v>
      </c>
      <c r="C117" s="622"/>
      <c r="D117" s="622"/>
      <c r="E117" s="622"/>
      <c r="F117" s="622"/>
      <c r="G117" s="225">
        <v>37284543.853600003</v>
      </c>
      <c r="H117" s="225">
        <v>37284543.462099999</v>
      </c>
      <c r="I117" s="225">
        <v>36187841.671499997</v>
      </c>
      <c r="J117" s="225">
        <v>33912547.660700001</v>
      </c>
      <c r="K117" s="225">
        <v>36672543.858000003</v>
      </c>
      <c r="L117" s="225">
        <v>35372543.858000003</v>
      </c>
      <c r="M117" s="225">
        <v>38123196.594350003</v>
      </c>
      <c r="N117" s="225">
        <v>38123196.594350003</v>
      </c>
      <c r="O117" s="225">
        <v>38123196.594350003</v>
      </c>
      <c r="P117" s="225">
        <v>38123196.594350003</v>
      </c>
      <c r="Q117" s="225">
        <v>38123196.594350003</v>
      </c>
      <c r="R117" s="225">
        <v>38123196.594350003</v>
      </c>
      <c r="S117" s="312">
        <f t="shared" si="20"/>
        <v>445453743.93000001</v>
      </c>
      <c r="T117" s="329">
        <f t="shared" si="21"/>
        <v>9.6073360637104805</v>
      </c>
    </row>
    <row r="118" spans="1:22">
      <c r="A118" s="216" t="str">
        <f t="shared" si="26"/>
        <v>424p</v>
      </c>
      <c r="B118" s="621" t="str">
        <f>+VLOOKUP(LEFT($A118,LEN(A118)-1)*1,Master!$D$30:$G$229,4,FALSE)</f>
        <v>Ostala prava iz oblasti zdravstvene zaštite</v>
      </c>
      <c r="C118" s="622"/>
      <c r="D118" s="622"/>
      <c r="E118" s="622"/>
      <c r="F118" s="622"/>
      <c r="G118" s="225">
        <v>1757700.0837000001</v>
      </c>
      <c r="H118" s="225">
        <v>1757700.0837000001</v>
      </c>
      <c r="I118" s="225">
        <v>658166.54</v>
      </c>
      <c r="J118" s="225">
        <v>1397262.91</v>
      </c>
      <c r="K118" s="225">
        <v>1757700</v>
      </c>
      <c r="L118" s="225">
        <v>1757700</v>
      </c>
      <c r="M118" s="225">
        <v>1035628.3970999999</v>
      </c>
      <c r="N118" s="225">
        <v>1035628.3970999999</v>
      </c>
      <c r="O118" s="225">
        <v>1035628.3970999999</v>
      </c>
      <c r="P118" s="225">
        <v>1035628.3970999999</v>
      </c>
      <c r="Q118" s="225">
        <v>1035628.3970999999</v>
      </c>
      <c r="R118" s="225">
        <v>1035628.3970999999</v>
      </c>
      <c r="S118" s="312">
        <f t="shared" si="20"/>
        <v>15300000</v>
      </c>
      <c r="T118" s="329">
        <f t="shared" si="21"/>
        <v>0.32998317732821503</v>
      </c>
    </row>
    <row r="119" spans="1:22">
      <c r="A119" s="216" t="str">
        <f t="shared" si="26"/>
        <v>425p</v>
      </c>
      <c r="B119" s="621" t="str">
        <f>+VLOOKUP(LEFT($A119,LEN(A119)-1)*1,Master!$D$30:$G$229,4,FALSE)</f>
        <v>Ostala prava iz zdravstvenog osiguranja</v>
      </c>
      <c r="C119" s="622"/>
      <c r="D119" s="622"/>
      <c r="E119" s="622"/>
      <c r="F119" s="622"/>
      <c r="G119" s="225">
        <v>1006492.5837</v>
      </c>
      <c r="H119" s="225">
        <v>1006492.5837</v>
      </c>
      <c r="I119" s="225">
        <v>610350</v>
      </c>
      <c r="J119" s="225">
        <v>626508.66</v>
      </c>
      <c r="K119" s="225">
        <v>1006492.5</v>
      </c>
      <c r="L119" s="225">
        <v>1006492.5</v>
      </c>
      <c r="M119" s="225">
        <v>1039528.52876667</v>
      </c>
      <c r="N119" s="225">
        <v>1039528.52876667</v>
      </c>
      <c r="O119" s="225">
        <v>1039528.52876667</v>
      </c>
      <c r="P119" s="225">
        <v>1039528.52876667</v>
      </c>
      <c r="Q119" s="225">
        <v>1039528.52876667</v>
      </c>
      <c r="R119" s="225">
        <v>1039528.52876667</v>
      </c>
      <c r="S119" s="312">
        <f t="shared" si="20"/>
        <v>11500000</v>
      </c>
      <c r="T119" s="329">
        <f t="shared" si="21"/>
        <v>0.24802657119440999</v>
      </c>
    </row>
    <row r="120" spans="1:22">
      <c r="A120" s="216" t="str">
        <f t="shared" si="26"/>
        <v>43p</v>
      </c>
      <c r="B120" s="629" t="str">
        <f>+VLOOKUP(LEFT($A120,LEN(A120)-1)*1,Master!$D$30:$G$229,4,FALSE)</f>
        <v>Transferi institucijama, pojedincima, nevladinom i javnom sektoru</v>
      </c>
      <c r="C120" s="630"/>
      <c r="D120" s="630"/>
      <c r="E120" s="630"/>
      <c r="F120" s="630"/>
      <c r="G120" s="232">
        <v>21122126.998300001</v>
      </c>
      <c r="H120" s="232">
        <v>26791916.4659</v>
      </c>
      <c r="I120" s="232">
        <v>22217994.669300001</v>
      </c>
      <c r="J120" s="232">
        <v>16279511.697899999</v>
      </c>
      <c r="K120" s="232">
        <v>24538715.218699999</v>
      </c>
      <c r="L120" s="232">
        <v>23341210.3836</v>
      </c>
      <c r="M120" s="232">
        <v>20959047.3243833</v>
      </c>
      <c r="N120" s="232">
        <v>20959047.3243833</v>
      </c>
      <c r="O120" s="232">
        <v>20959047.3243833</v>
      </c>
      <c r="P120" s="232">
        <v>20959047.3243833</v>
      </c>
      <c r="Q120" s="232">
        <v>20959047.3243833</v>
      </c>
      <c r="R120" s="232">
        <v>20959047.3243833</v>
      </c>
      <c r="S120" s="313">
        <f t="shared" si="20"/>
        <v>260045759.38</v>
      </c>
      <c r="T120" s="330">
        <f t="shared" si="21"/>
        <v>5.6085441784928598</v>
      </c>
    </row>
    <row r="121" spans="1:22">
      <c r="A121" s="216" t="str">
        <f t="shared" si="26"/>
        <v>44p</v>
      </c>
      <c r="B121" s="629" t="str">
        <f>+VLOOKUP(LEFT($A121,LEN(A121)-1)*1,Master!$D$30:$G$229,4,FALSE)</f>
        <v>Kapitalni izdaci</v>
      </c>
      <c r="C121" s="630"/>
      <c r="D121" s="630"/>
      <c r="E121" s="630"/>
      <c r="F121" s="630"/>
      <c r="G121" s="232">
        <v>15267515.75</v>
      </c>
      <c r="H121" s="232">
        <v>16188480.2217</v>
      </c>
      <c r="I121" s="232">
        <v>12695405.175000001</v>
      </c>
      <c r="J121" s="232">
        <v>14791599.598999999</v>
      </c>
      <c r="K121" s="232">
        <v>19667323.041900001</v>
      </c>
      <c r="L121" s="232">
        <v>12505699.966800001</v>
      </c>
      <c r="M121" s="232">
        <v>24073116.957600001</v>
      </c>
      <c r="N121" s="232">
        <v>24073116.957600001</v>
      </c>
      <c r="O121" s="232">
        <v>24073116.957600001</v>
      </c>
      <c r="P121" s="232">
        <v>24073116.957600001</v>
      </c>
      <c r="Q121" s="232">
        <v>24073116.957600001</v>
      </c>
      <c r="R121" s="232">
        <v>24073116.957600001</v>
      </c>
      <c r="S121" s="313">
        <f t="shared" si="20"/>
        <v>235554725.5</v>
      </c>
      <c r="T121" s="330">
        <f t="shared" si="21"/>
        <v>5.0803331212526404</v>
      </c>
    </row>
    <row r="122" spans="1:22">
      <c r="A122" s="216" t="str">
        <f t="shared" si="26"/>
        <v>451p</v>
      </c>
      <c r="B122" s="631" t="str">
        <f>+VLOOKUP(LEFT($A122,LEN(A122)-1)*1,Master!$D$30:$G$229,4,FALSE)</f>
        <v>Pozajmice i krediti</v>
      </c>
      <c r="C122" s="632"/>
      <c r="D122" s="632"/>
      <c r="E122" s="632"/>
      <c r="F122" s="632"/>
      <c r="G122" s="225">
        <v>134246.16740000001</v>
      </c>
      <c r="H122" s="225">
        <v>142881.16740000001</v>
      </c>
      <c r="I122" s="225">
        <v>12881</v>
      </c>
      <c r="J122" s="225">
        <v>334511</v>
      </c>
      <c r="K122" s="225">
        <v>142881.16740000001</v>
      </c>
      <c r="L122" s="225">
        <v>253881.16740000001</v>
      </c>
      <c r="M122" s="225">
        <v>88786.555066666595</v>
      </c>
      <c r="N122" s="225">
        <v>88786.555066666595</v>
      </c>
      <c r="O122" s="225">
        <v>88786.555066666595</v>
      </c>
      <c r="P122" s="225">
        <v>88786.555066666595</v>
      </c>
      <c r="Q122" s="225">
        <v>88786.555066666595</v>
      </c>
      <c r="R122" s="225">
        <v>88786.555066666595</v>
      </c>
      <c r="S122" s="312">
        <f t="shared" si="20"/>
        <v>1554001</v>
      </c>
      <c r="T122" s="329">
        <f t="shared" si="21"/>
        <v>3.3515959970668197E-2</v>
      </c>
    </row>
    <row r="123" spans="1:22">
      <c r="A123" s="216" t="str">
        <f t="shared" si="26"/>
        <v>47p</v>
      </c>
      <c r="B123" s="631" t="str">
        <f>+VLOOKUP(LEFT($A123,LEN(A123)-1)*1,Master!$D$30:$G$229,4,FALSE)</f>
        <v>Rezerve</v>
      </c>
      <c r="C123" s="632"/>
      <c r="D123" s="632"/>
      <c r="E123" s="632"/>
      <c r="F123" s="632"/>
      <c r="G123" s="225">
        <v>26163633.859999999</v>
      </c>
      <c r="H123" s="225">
        <v>5314577.66</v>
      </c>
      <c r="I123" s="225">
        <v>11429150.939999999</v>
      </c>
      <c r="J123" s="225">
        <v>186668.36</v>
      </c>
      <c r="K123" s="225">
        <v>7867783.2000000002</v>
      </c>
      <c r="L123" s="225">
        <v>2002459.2</v>
      </c>
      <c r="M123" s="225">
        <v>3041462.9633333301</v>
      </c>
      <c r="N123" s="225">
        <v>3041462.9633333301</v>
      </c>
      <c r="O123" s="225">
        <v>3041462.9633333301</v>
      </c>
      <c r="P123" s="225">
        <v>3041462.9633333301</v>
      </c>
      <c r="Q123" s="225">
        <v>3041462.9633333301</v>
      </c>
      <c r="R123" s="225">
        <v>3041462.9633333301</v>
      </c>
      <c r="S123" s="312">
        <f t="shared" si="20"/>
        <v>71213051</v>
      </c>
      <c r="T123" s="329">
        <f t="shared" si="21"/>
        <v>1.5358894664193601</v>
      </c>
    </row>
    <row r="124" spans="1:22">
      <c r="A124" s="216" t="str">
        <f t="shared" si="26"/>
        <v>462p</v>
      </c>
      <c r="B124" s="631" t="str">
        <f>+VLOOKUP(LEFT($A124,LEN(A124)-1)*1,Master!$D$30:$G$229,4,FALSE)</f>
        <v>Otplata garancija</v>
      </c>
      <c r="C124" s="632"/>
      <c r="D124" s="632"/>
      <c r="E124" s="632"/>
      <c r="F124" s="632"/>
      <c r="G124" s="225">
        <v>3860000</v>
      </c>
      <c r="H124" s="225">
        <v>0</v>
      </c>
      <c r="I124" s="225">
        <v>0</v>
      </c>
      <c r="J124" s="225">
        <v>0</v>
      </c>
      <c r="K124" s="225">
        <v>0</v>
      </c>
      <c r="L124" s="225">
        <v>0</v>
      </c>
      <c r="M124" s="225">
        <v>0</v>
      </c>
      <c r="N124" s="225">
        <v>0</v>
      </c>
      <c r="O124" s="225">
        <v>0</v>
      </c>
      <c r="P124" s="225">
        <v>0</v>
      </c>
      <c r="Q124" s="225">
        <v>0</v>
      </c>
      <c r="R124" s="225">
        <v>0</v>
      </c>
      <c r="S124" s="312">
        <f t="shared" si="20"/>
        <v>3860000</v>
      </c>
      <c r="T124" s="329">
        <f t="shared" si="21"/>
        <v>8.3250657809601905E-2</v>
      </c>
    </row>
    <row r="125" spans="1:22">
      <c r="A125" s="247" t="str">
        <f t="shared" si="26"/>
        <v>4630p</v>
      </c>
      <c r="B125" s="631" t="str">
        <f>+VLOOKUP(LEFT($A125,LEN(A125)-1)*1,Master!$D$30:$G$229,4,FALSE)</f>
        <v>Otplata obaveza iz prethodnog perioda</v>
      </c>
      <c r="C125" s="632"/>
      <c r="D125" s="632"/>
      <c r="E125" s="632"/>
      <c r="F125" s="632"/>
      <c r="G125" s="253">
        <v>869240.98916666699</v>
      </c>
      <c r="H125" s="225">
        <v>869240.98916666699</v>
      </c>
      <c r="I125" s="225">
        <v>869240.98916666699</v>
      </c>
      <c r="J125" s="225">
        <v>869240.98916666699</v>
      </c>
      <c r="K125" s="225">
        <v>869240.98916666699</v>
      </c>
      <c r="L125" s="225">
        <v>869240.98916666699</v>
      </c>
      <c r="M125" s="225">
        <v>869240.98916666699</v>
      </c>
      <c r="N125" s="225">
        <v>869240.98916666699</v>
      </c>
      <c r="O125" s="225">
        <v>869240.98916666699</v>
      </c>
      <c r="P125" s="225">
        <v>869240.98916666699</v>
      </c>
      <c r="Q125" s="225">
        <v>869240.98916666699</v>
      </c>
      <c r="R125" s="225">
        <v>869240.98916666699</v>
      </c>
      <c r="S125" s="317">
        <f t="shared" si="20"/>
        <v>10430891.869999999</v>
      </c>
      <c r="T125" s="342">
        <f t="shared" si="21"/>
        <v>0.22496855174049901</v>
      </c>
      <c r="V125" s="224"/>
    </row>
    <row r="126" spans="1:22">
      <c r="A126" s="216" t="str">
        <f t="shared" si="26"/>
        <v>1005p</v>
      </c>
      <c r="B126" s="631" t="str">
        <f>+VLOOKUP(LEFT($A126,LEN(A126)-1)*1,Master!$D$30:$G$229,4,FALSE)</f>
        <v>Neto povećanje obaveza</v>
      </c>
      <c r="C126" s="632"/>
      <c r="D126" s="632"/>
      <c r="E126" s="632"/>
      <c r="F126" s="632"/>
      <c r="G126" s="225">
        <v>0</v>
      </c>
      <c r="H126" s="225">
        <v>0</v>
      </c>
      <c r="I126" s="225">
        <v>0</v>
      </c>
      <c r="J126" s="225">
        <v>0</v>
      </c>
      <c r="K126" s="225">
        <v>0</v>
      </c>
      <c r="L126" s="225">
        <v>0</v>
      </c>
      <c r="M126" s="225">
        <v>0</v>
      </c>
      <c r="N126" s="225">
        <v>0</v>
      </c>
      <c r="O126" s="225">
        <v>0</v>
      </c>
      <c r="P126" s="225">
        <v>0</v>
      </c>
      <c r="Q126" s="225">
        <v>0</v>
      </c>
      <c r="R126" s="225">
        <v>0</v>
      </c>
      <c r="S126" s="292">
        <f>SUM(G126:R126)</f>
        <v>0</v>
      </c>
      <c r="T126" s="338">
        <f t="shared" si="21"/>
        <v>0</v>
      </c>
    </row>
    <row r="127" spans="1:22">
      <c r="A127" s="247" t="str">
        <f t="shared" si="26"/>
        <v>1000p</v>
      </c>
      <c r="B127" s="645" t="str">
        <f>+VLOOKUP(LEFT($A127,LEN(A127)-1)*1,Master!$D$30:$G$226,4,FALSE)</f>
        <v>Suficit / deficit</v>
      </c>
      <c r="C127" s="646"/>
      <c r="D127" s="646"/>
      <c r="E127" s="646"/>
      <c r="F127" s="646"/>
      <c r="G127" s="217">
        <f t="shared" ref="G127:R127" si="27">+G84-G103</f>
        <v>-98030373.580448806</v>
      </c>
      <c r="H127" s="217">
        <f t="shared" si="27"/>
        <v>-60970772.413054802</v>
      </c>
      <c r="I127" s="217">
        <f t="shared" si="27"/>
        <v>-33584754.357887998</v>
      </c>
      <c r="J127" s="217">
        <f t="shared" si="27"/>
        <v>-7164430.1455034902</v>
      </c>
      <c r="K127" s="217">
        <f t="shared" si="27"/>
        <v>-36997024.198286302</v>
      </c>
      <c r="L127" s="217">
        <f t="shared" si="27"/>
        <v>-14476943.3386396</v>
      </c>
      <c r="M127" s="217">
        <f t="shared" si="27"/>
        <v>45893689.622117803</v>
      </c>
      <c r="N127" s="217">
        <f t="shared" si="27"/>
        <v>21832487.364623699</v>
      </c>
      <c r="O127" s="217">
        <f t="shared" si="27"/>
        <v>10186739.966191901</v>
      </c>
      <c r="P127" s="217">
        <f t="shared" si="27"/>
        <v>-7659366.5953308297</v>
      </c>
      <c r="Q127" s="217">
        <f t="shared" si="27"/>
        <v>-7354786.6785252104</v>
      </c>
      <c r="R127" s="217">
        <f t="shared" si="27"/>
        <v>12996186.6303604</v>
      </c>
      <c r="S127" s="318">
        <f t="shared" si="20"/>
        <v>-175329347.724383</v>
      </c>
      <c r="T127" s="340">
        <f t="shared" si="21"/>
        <v>-3.7814206039853202</v>
      </c>
      <c r="U127" s="224"/>
    </row>
    <row r="128" spans="1:22">
      <c r="A128" s="247" t="str">
        <f t="shared" si="26"/>
        <v>1001p</v>
      </c>
      <c r="B128" s="647" t="str">
        <f>+VLOOKUP(LEFT($A128,LEN(A128)-1)*1,Master!$D$30:$G$226,4,FALSE)</f>
        <v>Primarni suficit/deficit</v>
      </c>
      <c r="C128" s="648"/>
      <c r="D128" s="648"/>
      <c r="E128" s="648"/>
      <c r="F128" s="648"/>
      <c r="G128" s="250">
        <f>+G127+G110</f>
        <v>-90141969.775848806</v>
      </c>
      <c r="H128" s="250">
        <f t="shared" ref="H128:R128" si="28">+H127+H110</f>
        <v>-59792015.259554803</v>
      </c>
      <c r="I128" s="250">
        <f t="shared" si="28"/>
        <v>-17986136.370887998</v>
      </c>
      <c r="J128" s="250">
        <f t="shared" si="28"/>
        <v>15323467.6928965</v>
      </c>
      <c r="K128" s="250">
        <f t="shared" si="28"/>
        <v>-30070525.863586299</v>
      </c>
      <c r="L128" s="250">
        <f t="shared" si="28"/>
        <v>-9104950.3057396505</v>
      </c>
      <c r="M128" s="250">
        <f t="shared" si="28"/>
        <v>53671236.123715296</v>
      </c>
      <c r="N128" s="250">
        <f t="shared" si="28"/>
        <v>22954994.523343898</v>
      </c>
      <c r="O128" s="250">
        <f t="shared" si="28"/>
        <v>11853079.287415201</v>
      </c>
      <c r="P128" s="250">
        <f t="shared" si="28"/>
        <v>6329343.0683972696</v>
      </c>
      <c r="Q128" s="250">
        <f t="shared" si="28"/>
        <v>-749337.24061140895</v>
      </c>
      <c r="R128" s="250">
        <f t="shared" si="28"/>
        <v>35458855.730360404</v>
      </c>
      <c r="S128" s="318">
        <f t="shared" si="20"/>
        <v>-62253958.3901003</v>
      </c>
      <c r="T128" s="340">
        <f t="shared" si="21"/>
        <v>-1.34266398632835</v>
      </c>
    </row>
    <row r="129" spans="1:22">
      <c r="A129" s="247" t="str">
        <f t="shared" si="26"/>
        <v>46p</v>
      </c>
      <c r="B129" s="649" t="str">
        <f>+VLOOKUP(LEFT($A129,LEN(A129)-1)*1,Master!$D$30:$G$226,4,FALSE)</f>
        <v>Otplata dugova</v>
      </c>
      <c r="C129" s="650"/>
      <c r="D129" s="650"/>
      <c r="E129" s="650"/>
      <c r="F129" s="650"/>
      <c r="G129" s="242">
        <f>+SUM(G130:G131)</f>
        <v>17115503</v>
      </c>
      <c r="H129" s="242">
        <f t="shared" ref="H129:R129" si="29">+SUM(H130:H131)</f>
        <v>16107433</v>
      </c>
      <c r="I129" s="242">
        <f t="shared" si="29"/>
        <v>267188444</v>
      </c>
      <c r="J129" s="242">
        <f t="shared" si="29"/>
        <v>32910718.859999999</v>
      </c>
      <c r="K129" s="242">
        <f t="shared" si="29"/>
        <v>16454430.83</v>
      </c>
      <c r="L129" s="242">
        <f t="shared" si="29"/>
        <v>19460021.140000001</v>
      </c>
      <c r="M129" s="351">
        <f t="shared" ref="M129" si="30">+SUM(M130:M131)</f>
        <v>25758637.9347414</v>
      </c>
      <c r="N129" s="242">
        <f t="shared" si="29"/>
        <v>4876912.1279565003</v>
      </c>
      <c r="O129" s="242">
        <f t="shared" si="29"/>
        <v>13919038.2926492</v>
      </c>
      <c r="P129" s="242">
        <f t="shared" si="29"/>
        <v>7500624.1296504997</v>
      </c>
      <c r="Q129" s="242">
        <f t="shared" si="29"/>
        <v>7862765.5356677696</v>
      </c>
      <c r="R129" s="242">
        <f t="shared" si="29"/>
        <v>6755365.3266666699</v>
      </c>
      <c r="S129" s="319">
        <f t="shared" si="20"/>
        <v>435909894.17733198</v>
      </c>
      <c r="T129" s="341">
        <f t="shared" si="21"/>
        <v>9.4014988176105803</v>
      </c>
    </row>
    <row r="130" spans="1:22">
      <c r="A130" s="247" t="str">
        <f t="shared" si="26"/>
        <v>4611p</v>
      </c>
      <c r="B130" s="635" t="str">
        <f>+VLOOKUP(LEFT($A130,LEN(A130)-1)*1,Master!$D$30:$G$226,4,FALSE)</f>
        <v>Otplata hartija od vrijednosti i kredita rezidentima</v>
      </c>
      <c r="C130" s="636"/>
      <c r="D130" s="636"/>
      <c r="E130" s="636"/>
      <c r="F130" s="636"/>
      <c r="G130" s="253">
        <v>1630769</v>
      </c>
      <c r="H130" s="253">
        <v>13534430</v>
      </c>
      <c r="I130" s="253">
        <v>22668713.02</v>
      </c>
      <c r="J130" s="253">
        <v>17161594.75</v>
      </c>
      <c r="K130" s="253">
        <v>7620463.75</v>
      </c>
      <c r="L130" s="253">
        <v>8658853.8200000003</v>
      </c>
      <c r="M130" s="352">
        <v>294018.01</v>
      </c>
      <c r="N130" s="352">
        <v>1750047.75</v>
      </c>
      <c r="O130" s="352">
        <v>2421267.87</v>
      </c>
      <c r="P130" s="352">
        <v>3875503.62</v>
      </c>
      <c r="Q130" s="352">
        <v>3741551.76</v>
      </c>
      <c r="R130" s="352">
        <v>2536618.6</v>
      </c>
      <c r="S130" s="317">
        <f t="shared" si="20"/>
        <v>85893831.950000003</v>
      </c>
      <c r="T130" s="342">
        <f t="shared" si="21"/>
        <v>1.8525176195919399</v>
      </c>
    </row>
    <row r="131" spans="1:22">
      <c r="A131" s="247" t="str">
        <f t="shared" si="26"/>
        <v>4612p</v>
      </c>
      <c r="B131" s="631" t="str">
        <f>+VLOOKUP(LEFT($A131,LEN(A131)-1)*1,Master!$D$30:$G$226,4,FALSE)</f>
        <v>Otplata hartija od vrijednosti i kredita nerezidentima</v>
      </c>
      <c r="C131" s="632"/>
      <c r="D131" s="632"/>
      <c r="E131" s="632"/>
      <c r="F131" s="632"/>
      <c r="G131" s="253">
        <v>15484734</v>
      </c>
      <c r="H131" s="253">
        <v>2573003</v>
      </c>
      <c r="I131" s="253">
        <v>244519730.97999999</v>
      </c>
      <c r="J131" s="253">
        <v>15749124.109999999</v>
      </c>
      <c r="K131" s="253">
        <v>8833967.0800000001</v>
      </c>
      <c r="L131" s="253">
        <v>10801167.32</v>
      </c>
      <c r="M131" s="352">
        <v>25464619.924741399</v>
      </c>
      <c r="N131" s="352">
        <v>3126864.3779564998</v>
      </c>
      <c r="O131" s="352">
        <v>11497770.422649199</v>
      </c>
      <c r="P131" s="352">
        <v>3625120.5096505</v>
      </c>
      <c r="Q131" s="352">
        <v>4121213.7756677698</v>
      </c>
      <c r="R131" s="352">
        <v>4218746.7266666703</v>
      </c>
      <c r="S131" s="317">
        <f t="shared" si="20"/>
        <v>350016062.227332</v>
      </c>
      <c r="T131" s="342">
        <f t="shared" si="21"/>
        <v>7.5489811980186401</v>
      </c>
      <c r="V131" s="224"/>
    </row>
    <row r="132" spans="1:22">
      <c r="A132" s="247" t="str">
        <f t="shared" si="26"/>
        <v>4418p</v>
      </c>
      <c r="B132" s="617" t="str">
        <f>+VLOOKUP(LEFT($A132,LEN(A132)-1)*1,Master!$D$30:$G$226,4,FALSE)</f>
        <v>Izdaci za kupovinu hartija od vrijednosti</v>
      </c>
      <c r="C132" s="618"/>
      <c r="D132" s="618"/>
      <c r="E132" s="618"/>
      <c r="F132" s="618"/>
      <c r="G132" s="217">
        <v>523392</v>
      </c>
      <c r="H132" s="217">
        <v>13392</v>
      </c>
      <c r="I132" s="217">
        <v>0</v>
      </c>
      <c r="J132" s="217">
        <v>0</v>
      </c>
      <c r="K132" s="217">
        <v>0</v>
      </c>
      <c r="L132" s="217">
        <v>0</v>
      </c>
      <c r="M132" s="217">
        <v>0</v>
      </c>
      <c r="N132" s="217">
        <v>0</v>
      </c>
      <c r="O132" s="217">
        <v>0</v>
      </c>
      <c r="P132" s="217">
        <v>0</v>
      </c>
      <c r="Q132" s="217">
        <v>0</v>
      </c>
      <c r="R132" s="217">
        <v>53216</v>
      </c>
      <c r="S132" s="320">
        <f t="shared" si="20"/>
        <v>590000</v>
      </c>
      <c r="T132" s="353">
        <f t="shared" si="21"/>
        <v>1.27248414786697E-2</v>
      </c>
    </row>
    <row r="133" spans="1:22">
      <c r="A133" s="247" t="str">
        <f t="shared" si="26"/>
        <v>1002p</v>
      </c>
      <c r="B133" s="633" t="str">
        <f>+VLOOKUP(LEFT($A133,LEN(A133)-1)*1,Master!$D$30:$G$226,4,FALSE)</f>
        <v>Nedostajuća sredstva</v>
      </c>
      <c r="C133" s="634"/>
      <c r="D133" s="634"/>
      <c r="E133" s="634"/>
      <c r="F133" s="634"/>
      <c r="G133" s="257">
        <f t="shared" ref="G133:R133" si="31">+G127-G129-G132</f>
        <v>-115669268.580449</v>
      </c>
      <c r="H133" s="257">
        <f t="shared" si="31"/>
        <v>-77091597.413054794</v>
      </c>
      <c r="I133" s="257">
        <f t="shared" si="31"/>
        <v>-300773198.35788798</v>
      </c>
      <c r="J133" s="257">
        <f t="shared" si="31"/>
        <v>-40075149.005503498</v>
      </c>
      <c r="K133" s="257">
        <f t="shared" si="31"/>
        <v>-53451455.028286301</v>
      </c>
      <c r="L133" s="257">
        <f t="shared" si="31"/>
        <v>-33936964.478639603</v>
      </c>
      <c r="M133" s="257">
        <f t="shared" si="31"/>
        <v>20135051.687376302</v>
      </c>
      <c r="N133" s="257">
        <f t="shared" si="31"/>
        <v>16955575.236667201</v>
      </c>
      <c r="O133" s="257">
        <f t="shared" si="31"/>
        <v>-3732298.3264572499</v>
      </c>
      <c r="P133" s="257">
        <f t="shared" si="31"/>
        <v>-15159990.724981301</v>
      </c>
      <c r="Q133" s="257">
        <f t="shared" si="31"/>
        <v>-15217552.214193</v>
      </c>
      <c r="R133" s="257">
        <f t="shared" si="31"/>
        <v>6187605.3036937602</v>
      </c>
      <c r="S133" s="322">
        <f t="shared" si="20"/>
        <v>-611829241.90171504</v>
      </c>
      <c r="T133" s="344">
        <f t="shared" si="21"/>
        <v>-13.1956442630746</v>
      </c>
    </row>
    <row r="134" spans="1:22">
      <c r="A134" s="247" t="str">
        <f t="shared" si="26"/>
        <v>1003p</v>
      </c>
      <c r="B134" s="617" t="str">
        <f>+VLOOKUP(LEFT($A134,LEN(A134)-1)*1,Master!$D$30:$G$226,4,FALSE)</f>
        <v>Finansiranje</v>
      </c>
      <c r="C134" s="618"/>
      <c r="D134" s="618"/>
      <c r="E134" s="618"/>
      <c r="F134" s="618"/>
      <c r="G134" s="217">
        <f t="shared" ref="G134:R134" si="32">+SUM(G135:G138)</f>
        <v>115669268.580449</v>
      </c>
      <c r="H134" s="217">
        <f t="shared" si="32"/>
        <v>77091597.413054794</v>
      </c>
      <c r="I134" s="217">
        <f t="shared" si="32"/>
        <v>300773198.35788798</v>
      </c>
      <c r="J134" s="217">
        <f t="shared" si="32"/>
        <v>40075149.005503498</v>
      </c>
      <c r="K134" s="217">
        <f t="shared" si="32"/>
        <v>53451455.028286301</v>
      </c>
      <c r="L134" s="217">
        <f t="shared" si="32"/>
        <v>33936964.478639603</v>
      </c>
      <c r="M134" s="217">
        <f t="shared" si="32"/>
        <v>-20135051.687376302</v>
      </c>
      <c r="N134" s="217">
        <f t="shared" si="32"/>
        <v>-16955575.236667201</v>
      </c>
      <c r="O134" s="217">
        <f t="shared" si="32"/>
        <v>3732298.3264572499</v>
      </c>
      <c r="P134" s="217">
        <f t="shared" si="32"/>
        <v>15159990.724981301</v>
      </c>
      <c r="Q134" s="217">
        <f t="shared" si="32"/>
        <v>15217552.214193</v>
      </c>
      <c r="R134" s="217">
        <f t="shared" si="32"/>
        <v>-6187605.3036937602</v>
      </c>
      <c r="S134" s="323">
        <f t="shared" si="20"/>
        <v>611829241.90171504</v>
      </c>
      <c r="T134" s="345">
        <f t="shared" si="21"/>
        <v>13.1956442630746</v>
      </c>
    </row>
    <row r="135" spans="1:22">
      <c r="A135" s="247" t="str">
        <f t="shared" si="26"/>
        <v>7511p</v>
      </c>
      <c r="B135" s="635" t="str">
        <f>+VLOOKUP(LEFT($A135,LEN(A135)-1)*1,Master!$D$30:$G$226,4,FALSE)</f>
        <v>Pozajmice i krediti od domaćih izvora</v>
      </c>
      <c r="C135" s="636"/>
      <c r="D135" s="636"/>
      <c r="E135" s="636"/>
      <c r="F135" s="636"/>
      <c r="G135" s="253">
        <v>0</v>
      </c>
      <c r="H135" s="253">
        <v>0</v>
      </c>
      <c r="I135" s="253">
        <v>0</v>
      </c>
      <c r="J135" s="253">
        <v>0</v>
      </c>
      <c r="K135" s="253">
        <v>0</v>
      </c>
      <c r="L135" s="253">
        <v>0</v>
      </c>
      <c r="M135" s="253">
        <v>0</v>
      </c>
      <c r="N135" s="253">
        <v>0</v>
      </c>
      <c r="O135" s="253">
        <v>0</v>
      </c>
      <c r="P135" s="253">
        <v>0</v>
      </c>
      <c r="Q135" s="253">
        <v>0</v>
      </c>
      <c r="R135" s="253">
        <v>0</v>
      </c>
      <c r="S135" s="317">
        <f t="shared" si="20"/>
        <v>0</v>
      </c>
      <c r="T135" s="342">
        <f t="shared" si="21"/>
        <v>0</v>
      </c>
    </row>
    <row r="136" spans="1:22">
      <c r="A136" s="247" t="str">
        <f t="shared" si="26"/>
        <v>7512p</v>
      </c>
      <c r="B136" s="631" t="str">
        <f>+VLOOKUP(LEFT($A136,LEN(A136)-1)*1,Master!$D$30:$G$226,4,FALSE)</f>
        <v>Pozajmice i krediti od inostranih izvora</v>
      </c>
      <c r="C136" s="632"/>
      <c r="D136" s="632"/>
      <c r="E136" s="632"/>
      <c r="F136" s="632"/>
      <c r="G136" s="253">
        <v>7000000</v>
      </c>
      <c r="H136" s="253">
        <v>200000</v>
      </c>
      <c r="I136" s="253">
        <v>400000</v>
      </c>
      <c r="J136" s="253">
        <v>10000000</v>
      </c>
      <c r="K136" s="253">
        <v>1000000</v>
      </c>
      <c r="L136" s="253">
        <v>33000000</v>
      </c>
      <c r="M136" s="253">
        <v>18900000</v>
      </c>
      <c r="N136" s="253">
        <v>18900000</v>
      </c>
      <c r="O136" s="253">
        <v>18900000</v>
      </c>
      <c r="P136" s="253">
        <v>18900000</v>
      </c>
      <c r="Q136" s="253">
        <v>18900000</v>
      </c>
      <c r="R136" s="253">
        <v>18900000</v>
      </c>
      <c r="S136" s="317">
        <f t="shared" si="20"/>
        <v>165000000</v>
      </c>
      <c r="T136" s="342">
        <f t="shared" si="21"/>
        <v>3.5586421084415298</v>
      </c>
    </row>
    <row r="137" spans="1:22">
      <c r="A137" s="247" t="str">
        <f t="shared" si="26"/>
        <v>72p</v>
      </c>
      <c r="B137" s="631" t="str">
        <f>+VLOOKUP(LEFT($A137,LEN(A137)-1)*1,Master!$D$30:$G$226,4,FALSE)</f>
        <v>Primici od prodaje imovine</v>
      </c>
      <c r="C137" s="632"/>
      <c r="D137" s="632"/>
      <c r="E137" s="632"/>
      <c r="F137" s="632"/>
      <c r="G137" s="253">
        <v>62782.51</v>
      </c>
      <c r="H137" s="253">
        <v>30000</v>
      </c>
      <c r="I137" s="253">
        <v>70000</v>
      </c>
      <c r="J137" s="253">
        <v>40000</v>
      </c>
      <c r="K137" s="253">
        <v>300000</v>
      </c>
      <c r="L137" s="253">
        <v>300000</v>
      </c>
      <c r="M137" s="253">
        <v>866202.91500000004</v>
      </c>
      <c r="N137" s="253">
        <v>866202.91500000004</v>
      </c>
      <c r="O137" s="253">
        <v>866202.91500000004</v>
      </c>
      <c r="P137" s="253">
        <v>866202.91500000004</v>
      </c>
      <c r="Q137" s="253">
        <v>866202.91500000004</v>
      </c>
      <c r="R137" s="253">
        <v>866202.91500000004</v>
      </c>
      <c r="S137" s="317">
        <f t="shared" si="20"/>
        <v>6000000</v>
      </c>
      <c r="T137" s="342">
        <f t="shared" si="21"/>
        <v>0.129405167579692</v>
      </c>
    </row>
    <row r="138" spans="1:22">
      <c r="A138" s="247" t="str">
        <f t="shared" si="26"/>
        <v>1004p</v>
      </c>
      <c r="B138" s="262" t="str">
        <f>+VLOOKUP(LEFT($A138,LEN(A138)-1)*1,Master!$D$30:$G$226,4,FALSE)</f>
        <v>Povećanje / smanjenje depozita</v>
      </c>
      <c r="C138" s="263"/>
      <c r="D138" s="263"/>
      <c r="E138" s="263"/>
      <c r="F138" s="263"/>
      <c r="G138" s="264">
        <f t="shared" ref="G138:R138" si="33">-G133-SUM(G135:G137)</f>
        <v>108606486.07044899</v>
      </c>
      <c r="H138" s="264">
        <f t="shared" si="33"/>
        <v>76861597.413054794</v>
      </c>
      <c r="I138" s="264">
        <f t="shared" si="33"/>
        <v>300303198.35788798</v>
      </c>
      <c r="J138" s="264">
        <f t="shared" si="33"/>
        <v>30035149.005503502</v>
      </c>
      <c r="K138" s="264">
        <f t="shared" si="33"/>
        <v>52151455.028286301</v>
      </c>
      <c r="L138" s="264">
        <f t="shared" si="33"/>
        <v>636964.47863964702</v>
      </c>
      <c r="M138" s="264">
        <f t="shared" si="33"/>
        <v>-39901254.602376297</v>
      </c>
      <c r="N138" s="264">
        <f t="shared" si="33"/>
        <v>-36721778.1516672</v>
      </c>
      <c r="O138" s="264">
        <f t="shared" si="33"/>
        <v>-16033904.5885428</v>
      </c>
      <c r="P138" s="264">
        <f t="shared" si="33"/>
        <v>-4606212.1900186697</v>
      </c>
      <c r="Q138" s="264">
        <f t="shared" si="33"/>
        <v>-4548650.7008070201</v>
      </c>
      <c r="R138" s="264">
        <f t="shared" si="33"/>
        <v>-25953808.2186938</v>
      </c>
      <c r="S138" s="324">
        <f t="shared" si="20"/>
        <v>440829241.90171498</v>
      </c>
      <c r="T138" s="347">
        <f t="shared" si="21"/>
        <v>9.5075969870533399</v>
      </c>
    </row>
    <row r="141" spans="1:22">
      <c r="P141" s="172"/>
    </row>
    <row r="142" spans="1:22">
      <c r="N142" s="172"/>
    </row>
    <row r="145" spans="19:19">
      <c r="S145" s="172"/>
    </row>
    <row r="146" spans="19:19">
      <c r="S146" s="172"/>
    </row>
  </sheetData>
  <mergeCells count="114">
    <mergeCell ref="B134:F134"/>
    <mergeCell ref="B135:F135"/>
    <mergeCell ref="B136:F136"/>
    <mergeCell ref="B137:F137"/>
    <mergeCell ref="B81:F83"/>
    <mergeCell ref="B7:F9"/>
    <mergeCell ref="B125:F125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62:F62"/>
    <mergeCell ref="B63:F63"/>
    <mergeCell ref="G81:R81"/>
    <mergeCell ref="S82:T82"/>
    <mergeCell ref="B84:F84"/>
    <mergeCell ref="B85:F85"/>
    <mergeCell ref="B86:F86"/>
    <mergeCell ref="B87:F87"/>
    <mergeCell ref="B88:F88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31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729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0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/>
  <dimension ref="A1:W157"/>
  <sheetViews>
    <sheetView topLeftCell="B1" workbookViewId="0">
      <pane ySplit="1" topLeftCell="A20" activePane="bottomLeft" state="frozen"/>
      <selection pane="bottomLeft" activeCell="G10" sqref="G10:I10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3.42578125" style="129" customWidth="1"/>
    <col min="6" max="6" width="0.42578125" style="129" customWidth="1"/>
    <col min="7" max="9" width="10.7109375" style="129" customWidth="1"/>
    <col min="10" max="10" width="14.42578125" style="129" customWidth="1"/>
    <col min="11" max="18" width="10.7109375" style="129" customWidth="1"/>
    <col min="19" max="19" width="13.28515625" style="129" customWidth="1"/>
    <col min="20" max="20" width="10.7109375" style="129" customWidth="1"/>
    <col min="21" max="21" width="20.28515625" style="129" customWidth="1"/>
    <col min="22" max="22" width="11" style="129" customWidth="1"/>
    <col min="23" max="23" width="13.85546875" style="129" customWidth="1"/>
    <col min="24" max="16384" width="9.140625" style="129"/>
  </cols>
  <sheetData>
    <row r="1" spans="1:20" s="127" customFormat="1" ht="3" customHeight="1">
      <c r="A1" s="130"/>
    </row>
    <row r="2" spans="1:20" s="127" customFormat="1" ht="15">
      <c r="A2" s="131"/>
      <c r="B2" s="132"/>
      <c r="C2" s="133"/>
      <c r="D2" s="132"/>
      <c r="E2" s="132" t="str">
        <f>+Master!G6</f>
        <v>Crna Gora</v>
      </c>
      <c r="F2" s="132"/>
      <c r="G2" s="132"/>
      <c r="H2" s="132"/>
      <c r="I2" s="134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127" customFormat="1" ht="15">
      <c r="A3" s="131"/>
      <c r="B3" s="132"/>
      <c r="C3" s="132"/>
      <c r="D3" s="132"/>
      <c r="E3" s="134" t="str">
        <f>+Master!G7</f>
        <v>Ministarstvo finansija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127" customFormat="1" ht="15">
      <c r="A4" s="131"/>
      <c r="B4" s="132"/>
      <c r="C4" s="132"/>
      <c r="D4" s="132"/>
      <c r="E4" s="134" t="str">
        <f>+Master!G8</f>
        <v>Direktorat za državni budžet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268"/>
    </row>
    <row r="5" spans="1:20" s="127" customFormat="1" ht="26.25" customHeight="1">
      <c r="A5" s="131"/>
      <c r="B5" s="132"/>
      <c r="C5" s="132"/>
      <c r="D5" s="132"/>
      <c r="E5" s="269">
        <f>+SUM(G10:I10)</f>
        <v>375366881.69</v>
      </c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</row>
    <row r="6" spans="1:20">
      <c r="A6" s="136"/>
      <c r="B6" s="137"/>
      <c r="C6" s="137"/>
      <c r="D6" s="137"/>
      <c r="E6" s="137"/>
      <c r="F6" s="137"/>
      <c r="G6" s="138" t="s">
        <v>84</v>
      </c>
      <c r="H6" s="138" t="s">
        <v>85</v>
      </c>
      <c r="I6" s="138" t="s">
        <v>86</v>
      </c>
      <c r="J6" s="138" t="s">
        <v>87</v>
      </c>
      <c r="K6" s="138" t="s">
        <v>88</v>
      </c>
      <c r="L6" s="138" t="s">
        <v>89</v>
      </c>
      <c r="M6" s="138" t="s">
        <v>90</v>
      </c>
      <c r="N6" s="138" t="s">
        <v>91</v>
      </c>
      <c r="O6" s="138" t="s">
        <v>92</v>
      </c>
      <c r="P6" s="138" t="s">
        <v>93</v>
      </c>
      <c r="Q6" s="138" t="s">
        <v>94</v>
      </c>
      <c r="R6" s="138" t="s">
        <v>95</v>
      </c>
      <c r="S6" s="137"/>
      <c r="T6" s="137"/>
    </row>
    <row r="7" spans="1:20" ht="15" customHeight="1">
      <c r="A7" s="136"/>
      <c r="B7" s="584" t="str">
        <f>+Master!G252</f>
        <v>Ostvarenje budžeta</v>
      </c>
      <c r="C7" s="585"/>
      <c r="D7" s="585"/>
      <c r="E7" s="585"/>
      <c r="F7" s="585"/>
      <c r="G7" s="550">
        <v>2020</v>
      </c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4"/>
      <c r="S7" s="139" t="str">
        <f>+Master!G249</f>
        <v>BDP</v>
      </c>
      <c r="T7" s="140">
        <v>4185600000</v>
      </c>
    </row>
    <row r="8" spans="1:20" ht="16.5" customHeight="1">
      <c r="A8" s="136"/>
      <c r="B8" s="586"/>
      <c r="C8" s="587"/>
      <c r="D8" s="587"/>
      <c r="E8" s="587"/>
      <c r="F8" s="588"/>
      <c r="G8" s="141" t="str">
        <f>+Master!G232</f>
        <v>Januar</v>
      </c>
      <c r="H8" s="141" t="str">
        <f>+Master!G233</f>
        <v>Februar</v>
      </c>
      <c r="I8" s="141" t="str">
        <f>+Master!G234</f>
        <v>Mart</v>
      </c>
      <c r="J8" s="141" t="str">
        <f>+Master!G235</f>
        <v>April</v>
      </c>
      <c r="K8" s="141" t="str">
        <f>+Master!G236</f>
        <v>Maj</v>
      </c>
      <c r="L8" s="141" t="str">
        <f>+Master!G237</f>
        <v>Jun</v>
      </c>
      <c r="M8" s="141" t="str">
        <f>+Master!G238</f>
        <v>Jul</v>
      </c>
      <c r="N8" s="141" t="str">
        <f>+Master!G239</f>
        <v>Avgust</v>
      </c>
      <c r="O8" s="141" t="str">
        <f>+Master!G240</f>
        <v>Septembar</v>
      </c>
      <c r="P8" s="141" t="str">
        <f>+Master!G241</f>
        <v>Oktobar</v>
      </c>
      <c r="Q8" s="141" t="str">
        <f>+Master!G242</f>
        <v>Novembar</v>
      </c>
      <c r="R8" s="141" t="str">
        <f>+Master!G243</f>
        <v>Decembar</v>
      </c>
      <c r="S8" s="550" t="str">
        <f>+Master!G247</f>
        <v>Jan - Dec</v>
      </c>
      <c r="T8" s="554"/>
    </row>
    <row r="9" spans="1:20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tr">
        <f>+Master!G250</f>
        <v>% BDP</v>
      </c>
    </row>
    <row r="10" spans="1:20">
      <c r="A10" s="145">
        <v>7</v>
      </c>
      <c r="B10" s="558" t="str">
        <f>+VLOOKUP($A10,Master!$D$30:$G$226,4,FALSE)</f>
        <v>Prihodi budžeta</v>
      </c>
      <c r="C10" s="559"/>
      <c r="D10" s="559"/>
      <c r="E10" s="559"/>
      <c r="F10" s="559"/>
      <c r="G10" s="146">
        <f t="shared" ref="G10:R10" si="1">+G11+G19+SUM(G24:G28)</f>
        <v>94322245.939999998</v>
      </c>
      <c r="H10" s="146">
        <f t="shared" si="1"/>
        <v>119853208.29000001</v>
      </c>
      <c r="I10" s="146">
        <f t="shared" si="1"/>
        <v>161191427.46000001</v>
      </c>
      <c r="J10" s="146">
        <f t="shared" si="1"/>
        <v>124933596.70999999</v>
      </c>
      <c r="K10" s="146">
        <f t="shared" si="1"/>
        <v>115332083.44</v>
      </c>
      <c r="L10" s="146">
        <f t="shared" si="1"/>
        <v>132188779.61</v>
      </c>
      <c r="M10" s="146">
        <f t="shared" si="1"/>
        <v>134263972.13999999</v>
      </c>
      <c r="N10" s="146">
        <f t="shared" si="1"/>
        <v>141282044.56</v>
      </c>
      <c r="O10" s="146">
        <f t="shared" si="1"/>
        <v>142573225.66999999</v>
      </c>
      <c r="P10" s="146">
        <f t="shared" si="1"/>
        <v>137379460.72999999</v>
      </c>
      <c r="Q10" s="146">
        <f t="shared" si="1"/>
        <v>152121354.52000001</v>
      </c>
      <c r="R10" s="146">
        <f t="shared" si="1"/>
        <v>183087641.52000001</v>
      </c>
      <c r="S10" s="279">
        <f>+SUM(G10:R10)</f>
        <v>1638529040.5899999</v>
      </c>
      <c r="T10" s="280">
        <f>+S10/$T$7*100</f>
        <v>39.1468138520164</v>
      </c>
    </row>
    <row r="11" spans="1:20">
      <c r="A11" s="145">
        <v>711</v>
      </c>
      <c r="B11" s="560" t="str">
        <f>+VLOOKUP($A11,Master!$D$30:$G$226,4,FALSE)</f>
        <v>Porezi</v>
      </c>
      <c r="C11" s="561"/>
      <c r="D11" s="561"/>
      <c r="E11" s="561"/>
      <c r="F11" s="561"/>
      <c r="G11" s="149">
        <f t="shared" ref="G11:R11" si="2">+SUM(G12:G18)</f>
        <v>73320205.209999993</v>
      </c>
      <c r="H11" s="149">
        <f t="shared" si="2"/>
        <v>69683087.400000006</v>
      </c>
      <c r="I11" s="149">
        <f t="shared" si="2"/>
        <v>105613736.66</v>
      </c>
      <c r="J11" s="149">
        <f t="shared" si="2"/>
        <v>83521974.920000002</v>
      </c>
      <c r="K11" s="149">
        <f t="shared" si="2"/>
        <v>69752758.120000005</v>
      </c>
      <c r="L11" s="149">
        <f t="shared" si="2"/>
        <v>79960950.920000002</v>
      </c>
      <c r="M11" s="149">
        <f t="shared" si="2"/>
        <v>80621752.299999997</v>
      </c>
      <c r="N11" s="149">
        <f t="shared" si="2"/>
        <v>79984790.799999997</v>
      </c>
      <c r="O11" s="149">
        <f t="shared" si="2"/>
        <v>80764606.510000005</v>
      </c>
      <c r="P11" s="149">
        <f t="shared" si="2"/>
        <v>81734836.819999993</v>
      </c>
      <c r="Q11" s="149">
        <f t="shared" si="2"/>
        <v>72792310.129999995</v>
      </c>
      <c r="R11" s="150">
        <f t="shared" si="2"/>
        <v>88352824.489999995</v>
      </c>
      <c r="S11" s="281">
        <f t="shared" ref="S11:S64" si="3">+SUM(G11:R11)</f>
        <v>966103834.27999997</v>
      </c>
      <c r="T11" s="282">
        <f t="shared" ref="T11:T64" si="4">+S11/$T$7*100</f>
        <v>23.081609190558101</v>
      </c>
    </row>
    <row r="12" spans="1:20">
      <c r="A12" s="145">
        <v>7111</v>
      </c>
      <c r="B12" s="562" t="str">
        <f>+VLOOKUP($A12,Master!$D$30:$G$226,4,FALSE)</f>
        <v>Porez na dohodak fizičkih lica</v>
      </c>
      <c r="C12" s="563"/>
      <c r="D12" s="563"/>
      <c r="E12" s="563"/>
      <c r="F12" s="563"/>
      <c r="G12" s="153">
        <f>+INDEX(DataEx!$1:$1048576,MATCH('2020'!$A12,DataEx!$D:$D,0),MATCH('2020'!G$6,DataEx!$7:$7,0))</f>
        <v>4317755.12</v>
      </c>
      <c r="H12" s="153">
        <f>+INDEX(DataEx!$1:$1048576,MATCH('2020'!$A12,DataEx!$D:$D,0),MATCH('2020'!H$6,DataEx!$7:$7,0))</f>
        <v>9514934.0399999991</v>
      </c>
      <c r="I12" s="153">
        <f>+INDEX(DataEx!$1:$1048576,MATCH('2020'!$A12,DataEx!$D:$D,0),MATCH('2020'!I$6,DataEx!$7:$7,0))</f>
        <v>9988296.0800000001</v>
      </c>
      <c r="J12" s="153">
        <f>+INDEX(DataEx!$1:$1048576,MATCH('2020'!$A12,DataEx!$D:$D,0),MATCH('2020'!J$6,DataEx!$7:$7,0))</f>
        <v>6960084.75</v>
      </c>
      <c r="K12" s="153">
        <f>+INDEX(DataEx!$1:$1048576,MATCH('2020'!$A12,DataEx!$D:$D,0),MATCH('2020'!K$6,DataEx!$7:$7,0))</f>
        <v>10104597.5</v>
      </c>
      <c r="L12" s="153">
        <f>+INDEX(DataEx!$1:$1048576,MATCH('2020'!$A12,DataEx!$D:$D,0),MATCH('2020'!L$6,DataEx!$7:$7,0))</f>
        <v>10236771.470000001</v>
      </c>
      <c r="M12" s="153">
        <f>+INDEX(DataEx!$1:$1048576,MATCH('2020'!$A12,DataEx!$D:$D,0),MATCH('2020'!M$6,DataEx!$7:$7,0))</f>
        <v>9980163.0299999993</v>
      </c>
      <c r="N12" s="153">
        <f>+INDEX(DataEx!$1:$1048576,MATCH('2020'!$A12,DataEx!$D:$D,0),MATCH('2020'!N$6,DataEx!$7:$7,0))</f>
        <v>11586739.1</v>
      </c>
      <c r="O12" s="153">
        <f>+INDEX(DataEx!$1:$1048576,MATCH('2020'!$A12,DataEx!$D:$D,0),MATCH('2020'!O$6,DataEx!$7:$7,0))</f>
        <v>10038474.75</v>
      </c>
      <c r="P12" s="153">
        <f>+INDEX(DataEx!$1:$1048576,MATCH('2020'!$A12,DataEx!$D:$D,0),MATCH('2020'!P$6,DataEx!$7:$7,0))</f>
        <v>8848138.8900000006</v>
      </c>
      <c r="Q12" s="153">
        <f>+INDEX(DataEx!$1:$1048576,MATCH('2020'!$A12,DataEx!$D:$D,0),MATCH('2020'!Q$6,DataEx!$7:$7,0))</f>
        <v>9295535.8699999992</v>
      </c>
      <c r="R12" s="153">
        <f>+INDEX(DataEx!$1:$1048576,MATCH('2020'!$A12,DataEx!$D:$D,0),MATCH('2020'!R$6,DataEx!$7:$7,0))</f>
        <v>17470538.280000001</v>
      </c>
      <c r="S12" s="270">
        <f t="shared" si="3"/>
        <v>118342028.88</v>
      </c>
      <c r="T12" s="283">
        <f t="shared" si="4"/>
        <v>2.82736116399083</v>
      </c>
    </row>
    <row r="13" spans="1:20">
      <c r="A13" s="145">
        <v>7112</v>
      </c>
      <c r="B13" s="562" t="str">
        <f>+VLOOKUP($A13,Master!$D$30:$G$226,4,FALSE)</f>
        <v>Porez na dobit pravnih lica</v>
      </c>
      <c r="C13" s="563"/>
      <c r="D13" s="563"/>
      <c r="E13" s="563"/>
      <c r="F13" s="563"/>
      <c r="G13" s="153">
        <f>+INDEX(DataEx!$1:$1048576,MATCH('2020'!$A13,DataEx!$D:$D,0),MATCH('2020'!G$6,DataEx!$7:$7,0))</f>
        <v>673739.6</v>
      </c>
      <c r="H13" s="153">
        <f>+INDEX(DataEx!$1:$1048576,MATCH('2020'!$A13,DataEx!$D:$D,0),MATCH('2020'!H$6,DataEx!$7:$7,0))</f>
        <v>2402403.02</v>
      </c>
      <c r="I13" s="153">
        <f>+INDEX(DataEx!$1:$1048576,MATCH('2020'!$A13,DataEx!$D:$D,0),MATCH('2020'!I$6,DataEx!$7:$7,0))</f>
        <v>21201257.989999998</v>
      </c>
      <c r="J13" s="153">
        <f>+INDEX(DataEx!$1:$1048576,MATCH('2020'!$A13,DataEx!$D:$D,0),MATCH('2020'!J$6,DataEx!$7:$7,0))</f>
        <v>24401832.57</v>
      </c>
      <c r="K13" s="153">
        <f>+INDEX(DataEx!$1:$1048576,MATCH('2020'!$A13,DataEx!$D:$D,0),MATCH('2020'!K$6,DataEx!$7:$7,0))</f>
        <v>4691004.47</v>
      </c>
      <c r="L13" s="153">
        <f>+INDEX(DataEx!$1:$1048576,MATCH('2020'!$A13,DataEx!$D:$D,0),MATCH('2020'!L$6,DataEx!$7:$7,0))</f>
        <v>6326893.6900000004</v>
      </c>
      <c r="M13" s="153">
        <f>+INDEX(DataEx!$1:$1048576,MATCH('2020'!$A13,DataEx!$D:$D,0),MATCH('2020'!M$6,DataEx!$7:$7,0))</f>
        <v>5478270.2599999998</v>
      </c>
      <c r="N13" s="153">
        <f>+INDEX(DataEx!$1:$1048576,MATCH('2020'!$A13,DataEx!$D:$D,0),MATCH('2020'!N$6,DataEx!$7:$7,0))</f>
        <v>4513120.37</v>
      </c>
      <c r="O13" s="153">
        <f>+INDEX(DataEx!$1:$1048576,MATCH('2020'!$A13,DataEx!$D:$D,0),MATCH('2020'!O$6,DataEx!$7:$7,0))</f>
        <v>3946291.24</v>
      </c>
      <c r="P13" s="153">
        <f>+INDEX(DataEx!$1:$1048576,MATCH('2020'!$A13,DataEx!$D:$D,0),MATCH('2020'!P$6,DataEx!$7:$7,0))</f>
        <v>2191915.17</v>
      </c>
      <c r="Q13" s="153">
        <f>+INDEX(DataEx!$1:$1048576,MATCH('2020'!$A13,DataEx!$D:$D,0),MATCH('2020'!Q$6,DataEx!$7:$7,0))</f>
        <v>1030775.31</v>
      </c>
      <c r="R13" s="153">
        <f>+INDEX(DataEx!$1:$1048576,MATCH('2020'!$A13,DataEx!$D:$D,0),MATCH('2020'!R$6,DataEx!$7:$7,0))</f>
        <v>1567852.92</v>
      </c>
      <c r="S13" s="270">
        <f t="shared" si="3"/>
        <v>78425356.609999999</v>
      </c>
      <c r="T13" s="283">
        <f t="shared" si="4"/>
        <v>1.8736944908734701</v>
      </c>
    </row>
    <row r="14" spans="1:20">
      <c r="A14" s="145">
        <v>7113</v>
      </c>
      <c r="B14" s="562" t="str">
        <f>+VLOOKUP($A14,Master!$D$30:$G$226,4,FALSE)</f>
        <v>Porez na promet nepokretnosti</v>
      </c>
      <c r="C14" s="563"/>
      <c r="D14" s="563"/>
      <c r="E14" s="563"/>
      <c r="F14" s="563"/>
      <c r="G14" s="153">
        <f>+INDEX(DataEx!$1:$1048576,MATCH('2020'!$A14,DataEx!$D:$D,0),MATCH('2020'!G$6,DataEx!$7:$7,0))</f>
        <v>185009.31</v>
      </c>
      <c r="H14" s="153">
        <f>+INDEX(DataEx!$1:$1048576,MATCH('2020'!$A14,DataEx!$D:$D,0),MATCH('2020'!H$6,DataEx!$7:$7,0))</f>
        <v>168097.86</v>
      </c>
      <c r="I14" s="153">
        <f>+INDEX(DataEx!$1:$1048576,MATCH('2020'!$A14,DataEx!$D:$D,0),MATCH('2020'!I$6,DataEx!$7:$7,0))</f>
        <v>129165.08</v>
      </c>
      <c r="J14" s="153">
        <f>+INDEX(DataEx!$1:$1048576,MATCH('2020'!$A14,DataEx!$D:$D,0),MATCH('2020'!J$6,DataEx!$7:$7,0))</f>
        <v>48149.33</v>
      </c>
      <c r="K14" s="153">
        <f>+INDEX(DataEx!$1:$1048576,MATCH('2020'!$A14,DataEx!$D:$D,0),MATCH('2020'!K$6,DataEx!$7:$7,0))</f>
        <v>95187.63</v>
      </c>
      <c r="L14" s="153">
        <f>+INDEX(DataEx!$1:$1048576,MATCH('2020'!$A14,DataEx!$D:$D,0),MATCH('2020'!L$6,DataEx!$7:$7,0))</f>
        <v>117335.46</v>
      </c>
      <c r="M14" s="153">
        <f>+INDEX(DataEx!$1:$1048576,MATCH('2020'!$A14,DataEx!$D:$D,0),MATCH('2020'!M$6,DataEx!$7:$7,0))</f>
        <v>98676.45</v>
      </c>
      <c r="N14" s="153">
        <f>+INDEX(DataEx!$1:$1048576,MATCH('2020'!$A14,DataEx!$D:$D,0),MATCH('2020'!N$6,DataEx!$7:$7,0))</f>
        <v>114304.56</v>
      </c>
      <c r="O14" s="153">
        <f>+INDEX(DataEx!$1:$1048576,MATCH('2020'!$A14,DataEx!$D:$D,0),MATCH('2020'!O$6,DataEx!$7:$7,0))</f>
        <v>136583.79</v>
      </c>
      <c r="P14" s="153">
        <f>+INDEX(DataEx!$1:$1048576,MATCH('2020'!$A14,DataEx!$D:$D,0),MATCH('2020'!P$6,DataEx!$7:$7,0))</f>
        <v>204159.6</v>
      </c>
      <c r="Q14" s="153">
        <f>+INDEX(DataEx!$1:$1048576,MATCH('2020'!$A14,DataEx!$D:$D,0),MATCH('2020'!Q$6,DataEx!$7:$7,0))</f>
        <v>97080.29</v>
      </c>
      <c r="R14" s="153">
        <f>+INDEX(DataEx!$1:$1048576,MATCH('2020'!$A14,DataEx!$D:$D,0),MATCH('2020'!R$6,DataEx!$7:$7,0))</f>
        <v>149701.35999999999</v>
      </c>
      <c r="S14" s="270">
        <f t="shared" si="3"/>
        <v>1543450.72</v>
      </c>
      <c r="T14" s="283">
        <f t="shared" si="4"/>
        <v>3.6875256116207997E-2</v>
      </c>
    </row>
    <row r="15" spans="1:20">
      <c r="A15" s="145">
        <v>7114</v>
      </c>
      <c r="B15" s="562" t="str">
        <f>+VLOOKUP($A15,Master!$D$30:$G$226,4,FALSE)</f>
        <v>Porez na dodatu vrijednost</v>
      </c>
      <c r="C15" s="563"/>
      <c r="D15" s="563"/>
      <c r="E15" s="563"/>
      <c r="F15" s="563"/>
      <c r="G15" s="153">
        <f>+INDEX(DataEx!$1:$1048576,MATCH('2020'!$A15,DataEx!$D:$D,0),MATCH('2020'!G$6,DataEx!$7:$7,0))</f>
        <v>47781207.189999998</v>
      </c>
      <c r="H15" s="153">
        <f>+INDEX(DataEx!$1:$1048576,MATCH('2020'!$A15,DataEx!$D:$D,0),MATCH('2020'!H$6,DataEx!$7:$7,0))</f>
        <v>40097544.82</v>
      </c>
      <c r="I15" s="153">
        <f>+INDEX(DataEx!$1:$1048576,MATCH('2020'!$A15,DataEx!$D:$D,0),MATCH('2020'!I$6,DataEx!$7:$7,0))</f>
        <v>54963852.219999999</v>
      </c>
      <c r="J15" s="153">
        <f>+INDEX(DataEx!$1:$1048576,MATCH('2020'!$A15,DataEx!$D:$D,0),MATCH('2020'!J$6,DataEx!$7:$7,0))</f>
        <v>35570662.579999998</v>
      </c>
      <c r="K15" s="153">
        <f>+INDEX(DataEx!$1:$1048576,MATCH('2020'!$A15,DataEx!$D:$D,0),MATCH('2020'!K$6,DataEx!$7:$7,0))</f>
        <v>38250745.619999997</v>
      </c>
      <c r="L15" s="153">
        <f>+INDEX(DataEx!$1:$1048576,MATCH('2020'!$A15,DataEx!$D:$D,0),MATCH('2020'!L$6,DataEx!$7:$7,0))</f>
        <v>42474174.049999997</v>
      </c>
      <c r="M15" s="153">
        <f>+INDEX(DataEx!$1:$1048576,MATCH('2020'!$A15,DataEx!$D:$D,0),MATCH('2020'!M$6,DataEx!$7:$7,0))</f>
        <v>43390988.630000003</v>
      </c>
      <c r="N15" s="153">
        <f>+INDEX(DataEx!$1:$1048576,MATCH('2020'!$A15,DataEx!$D:$D,0),MATCH('2020'!N$6,DataEx!$7:$7,0))</f>
        <v>42329458.939999998</v>
      </c>
      <c r="O15" s="153">
        <f>+INDEX(DataEx!$1:$1048576,MATCH('2020'!$A15,DataEx!$D:$D,0),MATCH('2020'!O$6,DataEx!$7:$7,0))</f>
        <v>44008916.039999999</v>
      </c>
      <c r="P15" s="153">
        <f>+INDEX(DataEx!$1:$1048576,MATCH('2020'!$A15,DataEx!$D:$D,0),MATCH('2020'!P$6,DataEx!$7:$7,0))</f>
        <v>50214319.770000003</v>
      </c>
      <c r="Q15" s="153">
        <f>+INDEX(DataEx!$1:$1048576,MATCH('2020'!$A15,DataEx!$D:$D,0),MATCH('2020'!Q$6,DataEx!$7:$7,0))</f>
        <v>43083981.810000002</v>
      </c>
      <c r="R15" s="153">
        <f>+INDEX(DataEx!$1:$1048576,MATCH('2020'!$A15,DataEx!$D:$D,0),MATCH('2020'!R$6,DataEx!$7:$7,0))</f>
        <v>47614560.32</v>
      </c>
      <c r="S15" s="270">
        <f t="shared" si="3"/>
        <v>529780411.99000001</v>
      </c>
      <c r="T15" s="283">
        <f t="shared" si="4"/>
        <v>12.6572155005256</v>
      </c>
    </row>
    <row r="16" spans="1:20">
      <c r="A16" s="145">
        <v>7115</v>
      </c>
      <c r="B16" s="562" t="str">
        <f>+VLOOKUP($A16,Master!$D$30:$G$226,4,FALSE)</f>
        <v>Akcize</v>
      </c>
      <c r="C16" s="563"/>
      <c r="D16" s="563"/>
      <c r="E16" s="563"/>
      <c r="F16" s="563"/>
      <c r="G16" s="153">
        <f>+INDEX(DataEx!$1:$1048576,MATCH('2020'!$A16,DataEx!$D:$D,0),MATCH('2020'!G$6,DataEx!$7:$7,0))</f>
        <v>18070145.100000001</v>
      </c>
      <c r="H16" s="153">
        <f>+INDEX(DataEx!$1:$1048576,MATCH('2020'!$A16,DataEx!$D:$D,0),MATCH('2020'!H$6,DataEx!$7:$7,0))</f>
        <v>14831752.550000001</v>
      </c>
      <c r="I16" s="153">
        <f>+INDEX(DataEx!$1:$1048576,MATCH('2020'!$A16,DataEx!$D:$D,0),MATCH('2020'!I$6,DataEx!$7:$7,0))</f>
        <v>16111610.99</v>
      </c>
      <c r="J16" s="153">
        <f>+INDEX(DataEx!$1:$1048576,MATCH('2020'!$A16,DataEx!$D:$D,0),MATCH('2020'!J$6,DataEx!$7:$7,0))</f>
        <v>14097368.300000001</v>
      </c>
      <c r="K16" s="153">
        <f>+INDEX(DataEx!$1:$1048576,MATCH('2020'!$A16,DataEx!$D:$D,0),MATCH('2020'!K$6,DataEx!$7:$7,0))</f>
        <v>14366315.76</v>
      </c>
      <c r="L16" s="153">
        <f>+INDEX(DataEx!$1:$1048576,MATCH('2020'!$A16,DataEx!$D:$D,0),MATCH('2020'!L$6,DataEx!$7:$7,0))</f>
        <v>17821548.199999999</v>
      </c>
      <c r="M16" s="153">
        <f>+INDEX(DataEx!$1:$1048576,MATCH('2020'!$A16,DataEx!$D:$D,0),MATCH('2020'!M$6,DataEx!$7:$7,0))</f>
        <v>18726969.449999999</v>
      </c>
      <c r="N16" s="153">
        <f>+INDEX(DataEx!$1:$1048576,MATCH('2020'!$A16,DataEx!$D:$D,0),MATCH('2020'!N$6,DataEx!$7:$7,0))</f>
        <v>18817685.98</v>
      </c>
      <c r="O16" s="153">
        <f>+INDEX(DataEx!$1:$1048576,MATCH('2020'!$A16,DataEx!$D:$D,0),MATCH('2020'!O$6,DataEx!$7:$7,0))</f>
        <v>19832898.530000001</v>
      </c>
      <c r="P16" s="153">
        <f>+INDEX(DataEx!$1:$1048576,MATCH('2020'!$A16,DataEx!$D:$D,0),MATCH('2020'!P$6,DataEx!$7:$7,0))</f>
        <v>17308311.120000001</v>
      </c>
      <c r="Q16" s="153">
        <f>+INDEX(DataEx!$1:$1048576,MATCH('2020'!$A16,DataEx!$D:$D,0),MATCH('2020'!Q$6,DataEx!$7:$7,0))</f>
        <v>16609981.27</v>
      </c>
      <c r="R16" s="153">
        <f>+INDEX(DataEx!$1:$1048576,MATCH('2020'!$A16,DataEx!$D:$D,0),MATCH('2020'!R$6,DataEx!$7:$7,0))</f>
        <v>18798010.52</v>
      </c>
      <c r="S16" s="270">
        <f t="shared" si="3"/>
        <v>205392597.77000001</v>
      </c>
      <c r="T16" s="283">
        <f t="shared" si="4"/>
        <v>4.9071243733276004</v>
      </c>
    </row>
    <row r="17" spans="1:23">
      <c r="A17" s="145">
        <v>7116</v>
      </c>
      <c r="B17" s="562" t="str">
        <f>+VLOOKUP($A17,Master!$D$30:$G$226,4,FALSE)</f>
        <v>Porez na međunarodnu trgovinu i transakcije</v>
      </c>
      <c r="C17" s="563"/>
      <c r="D17" s="563"/>
      <c r="E17" s="563"/>
      <c r="F17" s="563"/>
      <c r="G17" s="153">
        <f>+INDEX(DataEx!$1:$1048576,MATCH('2020'!$A17,DataEx!$D:$D,0),MATCH('2020'!G$6,DataEx!$7:$7,0))</f>
        <v>1537206.63</v>
      </c>
      <c r="H17" s="153">
        <f>+INDEX(DataEx!$1:$1048576,MATCH('2020'!$A17,DataEx!$D:$D,0),MATCH('2020'!H$6,DataEx!$7:$7,0))</f>
        <v>1922810.55</v>
      </c>
      <c r="I17" s="153">
        <f>+INDEX(DataEx!$1:$1048576,MATCH('2020'!$A17,DataEx!$D:$D,0),MATCH('2020'!I$6,DataEx!$7:$7,0))</f>
        <v>2363697.87</v>
      </c>
      <c r="J17" s="153">
        <f>+INDEX(DataEx!$1:$1048576,MATCH('2020'!$A17,DataEx!$D:$D,0),MATCH('2020'!J$6,DataEx!$7:$7,0))</f>
        <v>1725304.75</v>
      </c>
      <c r="K17" s="153">
        <f>+INDEX(DataEx!$1:$1048576,MATCH('2020'!$A17,DataEx!$D:$D,0),MATCH('2020'!K$6,DataEx!$7:$7,0))</f>
        <v>1588906.58</v>
      </c>
      <c r="L17" s="153">
        <f>+INDEX(DataEx!$1:$1048576,MATCH('2020'!$A17,DataEx!$D:$D,0),MATCH('2020'!L$6,DataEx!$7:$7,0))</f>
        <v>2074453.34</v>
      </c>
      <c r="M17" s="153">
        <f>+INDEX(DataEx!$1:$1048576,MATCH('2020'!$A17,DataEx!$D:$D,0),MATCH('2020'!M$6,DataEx!$7:$7,0))</f>
        <v>2027124.74</v>
      </c>
      <c r="N17" s="153">
        <f>+INDEX(DataEx!$1:$1048576,MATCH('2020'!$A17,DataEx!$D:$D,0),MATCH('2020'!N$6,DataEx!$7:$7,0))</f>
        <v>1746060.96</v>
      </c>
      <c r="O17" s="153">
        <f>+INDEX(DataEx!$1:$1048576,MATCH('2020'!$A17,DataEx!$D:$D,0),MATCH('2020'!O$6,DataEx!$7:$7,0))</f>
        <v>1871913.59</v>
      </c>
      <c r="P17" s="153">
        <f>+INDEX(DataEx!$1:$1048576,MATCH('2020'!$A17,DataEx!$D:$D,0),MATCH('2020'!P$6,DataEx!$7:$7,0))</f>
        <v>2059336.2</v>
      </c>
      <c r="Q17" s="153">
        <f>+INDEX(DataEx!$1:$1048576,MATCH('2020'!$A17,DataEx!$D:$D,0),MATCH('2020'!Q$6,DataEx!$7:$7,0))</f>
        <v>1771129.39</v>
      </c>
      <c r="R17" s="153">
        <f>+INDEX(DataEx!$1:$1048576,MATCH('2020'!$A17,DataEx!$D:$D,0),MATCH('2020'!R$6,DataEx!$7:$7,0))</f>
        <v>1949967.07</v>
      </c>
      <c r="S17" s="270">
        <f t="shared" si="3"/>
        <v>22637911.670000002</v>
      </c>
      <c r="T17" s="283">
        <f t="shared" si="4"/>
        <v>0.54085224746750804</v>
      </c>
    </row>
    <row r="18" spans="1:23">
      <c r="A18" s="145">
        <v>7118</v>
      </c>
      <c r="B18" s="562" t="str">
        <f>+VLOOKUP($A18,Master!$D$30:$G$226,4,FALSE)</f>
        <v>Ostali državni porezi</v>
      </c>
      <c r="C18" s="563"/>
      <c r="D18" s="563"/>
      <c r="E18" s="563"/>
      <c r="F18" s="563"/>
      <c r="G18" s="153">
        <f>+INDEX(DataEx!$1:$1048576,MATCH('2020'!$A18,DataEx!$D:$D,0),MATCH('2020'!G$6,DataEx!$7:$7,0))</f>
        <v>755142.26</v>
      </c>
      <c r="H18" s="153">
        <f>+INDEX(DataEx!$1:$1048576,MATCH('2020'!$A18,DataEx!$D:$D,0),MATCH('2020'!H$6,DataEx!$7:$7,0))</f>
        <v>745544.56</v>
      </c>
      <c r="I18" s="153">
        <f>+INDEX(DataEx!$1:$1048576,MATCH('2020'!$A18,DataEx!$D:$D,0),MATCH('2020'!I$6,DataEx!$7:$7,0))</f>
        <v>855856.43</v>
      </c>
      <c r="J18" s="153">
        <f>+INDEX(DataEx!$1:$1048576,MATCH('2020'!$A18,DataEx!$D:$D,0),MATCH('2020'!J$6,DataEx!$7:$7,0))</f>
        <v>718572.64</v>
      </c>
      <c r="K18" s="153">
        <f>+INDEX(DataEx!$1:$1048576,MATCH('2020'!$A18,DataEx!$D:$D,0),MATCH('2020'!K$6,DataEx!$7:$7,0))</f>
        <v>656000.56000000006</v>
      </c>
      <c r="L18" s="153">
        <f>+INDEX(DataEx!$1:$1048576,MATCH('2020'!$A18,DataEx!$D:$D,0),MATCH('2020'!L$6,DataEx!$7:$7,0))</f>
        <v>909774.71</v>
      </c>
      <c r="M18" s="153">
        <f>+INDEX(DataEx!$1:$1048576,MATCH('2020'!$A18,DataEx!$D:$D,0),MATCH('2020'!M$6,DataEx!$7:$7,0))</f>
        <v>919559.74</v>
      </c>
      <c r="N18" s="153">
        <f>+INDEX(DataEx!$1:$1048576,MATCH('2020'!$A18,DataEx!$D:$D,0),MATCH('2020'!N$6,DataEx!$7:$7,0))</f>
        <v>877420.89</v>
      </c>
      <c r="O18" s="153">
        <f>+INDEX(DataEx!$1:$1048576,MATCH('2020'!$A18,DataEx!$D:$D,0),MATCH('2020'!O$6,DataEx!$7:$7,0))</f>
        <v>929528.57</v>
      </c>
      <c r="P18" s="153">
        <f>+INDEX(DataEx!$1:$1048576,MATCH('2020'!$A18,DataEx!$D:$D,0),MATCH('2020'!P$6,DataEx!$7:$7,0))</f>
        <v>908656.07</v>
      </c>
      <c r="Q18" s="153">
        <f>+INDEX(DataEx!$1:$1048576,MATCH('2020'!$A18,DataEx!$D:$D,0),MATCH('2020'!Q$6,DataEx!$7:$7,0))</f>
        <v>903826.19</v>
      </c>
      <c r="R18" s="153">
        <f>+INDEX(DataEx!$1:$1048576,MATCH('2020'!$A18,DataEx!$D:$D,0),MATCH('2020'!R$6,DataEx!$7:$7,0))</f>
        <v>802194.02</v>
      </c>
      <c r="S18" s="270">
        <f t="shared" si="3"/>
        <v>9982076.6400000006</v>
      </c>
      <c r="T18" s="283">
        <f t="shared" si="4"/>
        <v>0.23848615825688099</v>
      </c>
    </row>
    <row r="19" spans="1:23">
      <c r="A19" s="145">
        <v>712</v>
      </c>
      <c r="B19" s="564" t="str">
        <f>+VLOOKUP($A19,Master!$D$30:$G$226,4,FALSE)</f>
        <v>Doprinosi</v>
      </c>
      <c r="C19" s="565"/>
      <c r="D19" s="565"/>
      <c r="E19" s="565"/>
      <c r="F19" s="565"/>
      <c r="G19" s="156">
        <f>+INDEX(DataEx!$1:$1048576,MATCH('2020'!$A19,DataEx!$D:$D,0),MATCH('2020'!G$6,DataEx!$7:$7,0))</f>
        <v>15749286.220000001</v>
      </c>
      <c r="H19" s="156">
        <f>+INDEX(DataEx!$1:$1048576,MATCH('2020'!$A19,DataEx!$D:$D,0),MATCH('2020'!H$6,DataEx!$7:$7,0))</f>
        <v>42574769.890000001</v>
      </c>
      <c r="I19" s="156">
        <f>+INDEX(DataEx!$1:$1048576,MATCH('2020'!$A19,DataEx!$D:$D,0),MATCH('2020'!I$6,DataEx!$7:$7,0))</f>
        <v>44888756.57</v>
      </c>
      <c r="J19" s="156">
        <f>+INDEX(DataEx!$1:$1048576,MATCH('2020'!$A19,DataEx!$D:$D,0),MATCH('2020'!J$6,DataEx!$7:$7,0))</f>
        <v>33882602.5</v>
      </c>
      <c r="K19" s="156">
        <f>+INDEX(DataEx!$1:$1048576,MATCH('2020'!$A19,DataEx!$D:$D,0),MATCH('2020'!K$6,DataEx!$7:$7,0))</f>
        <v>40418289.450000003</v>
      </c>
      <c r="L19" s="156">
        <f>+INDEX(DataEx!$1:$1048576,MATCH('2020'!$A19,DataEx!$D:$D,0),MATCH('2020'!L$6,DataEx!$7:$7,0))</f>
        <v>42892419.090000004</v>
      </c>
      <c r="M19" s="156">
        <f>+INDEX(DataEx!$1:$1048576,MATCH('2020'!$A19,DataEx!$D:$D,0),MATCH('2020'!M$6,DataEx!$7:$7,0))</f>
        <v>45009811.700000003</v>
      </c>
      <c r="N19" s="156">
        <f>+INDEX(DataEx!$1:$1048576,MATCH('2020'!$A19,DataEx!$D:$D,0),MATCH('2020'!N$6,DataEx!$7:$7,0))</f>
        <v>51984938.960000001</v>
      </c>
      <c r="O19" s="156">
        <f>+INDEX(DataEx!$1:$1048576,MATCH('2020'!$A19,DataEx!$D:$D,0),MATCH('2020'!O$6,DataEx!$7:$7,0))</f>
        <v>42439853.439999998</v>
      </c>
      <c r="P19" s="156">
        <f>+INDEX(DataEx!$1:$1048576,MATCH('2020'!$A19,DataEx!$D:$D,0),MATCH('2020'!P$6,DataEx!$7:$7,0))</f>
        <v>46766265.020000003</v>
      </c>
      <c r="Q19" s="156">
        <f>+INDEX(DataEx!$1:$1048576,MATCH('2020'!$A19,DataEx!$D:$D,0),MATCH('2020'!Q$6,DataEx!$7:$7,0))</f>
        <v>43869251.590000004</v>
      </c>
      <c r="R19" s="156">
        <f>+INDEX(DataEx!$1:$1048576,MATCH('2020'!$A19,DataEx!$D:$D,0),MATCH('2020'!R$6,DataEx!$7:$7,0))</f>
        <v>80544326.959999993</v>
      </c>
      <c r="S19" s="284">
        <f t="shared" si="3"/>
        <v>531020571.38999999</v>
      </c>
      <c r="T19" s="285">
        <f t="shared" si="4"/>
        <v>12.686844691083699</v>
      </c>
    </row>
    <row r="20" spans="1:23">
      <c r="A20" s="145">
        <v>7121</v>
      </c>
      <c r="B20" s="562" t="str">
        <f>+VLOOKUP($A20,Master!$D$30:$G$226,4,FALSE)</f>
        <v>Doprinosi za penzijsko i invalidsko osiguranje</v>
      </c>
      <c r="C20" s="563"/>
      <c r="D20" s="563"/>
      <c r="E20" s="563"/>
      <c r="F20" s="563"/>
      <c r="G20" s="153">
        <f>+INDEX(DataEx!$1:$1048576,MATCH('2020'!$A20,DataEx!$D:$D,0),MATCH('2020'!G$6,DataEx!$7:$7,0))</f>
        <v>9790363.4800000004</v>
      </c>
      <c r="H20" s="153">
        <f>+INDEX(DataEx!$1:$1048576,MATCH('2020'!$A20,DataEx!$D:$D,0),MATCH('2020'!H$6,DataEx!$7:$7,0))</f>
        <v>26782162.98</v>
      </c>
      <c r="I20" s="153">
        <f>+INDEX(DataEx!$1:$1048576,MATCH('2020'!$A20,DataEx!$D:$D,0),MATCH('2020'!I$6,DataEx!$7:$7,0))</f>
        <v>28314388.120000001</v>
      </c>
      <c r="J20" s="153">
        <f>+INDEX(DataEx!$1:$1048576,MATCH('2020'!$A20,DataEx!$D:$D,0),MATCH('2020'!J$6,DataEx!$7:$7,0))</f>
        <v>21078780.449999999</v>
      </c>
      <c r="K20" s="153">
        <f>+INDEX(DataEx!$1:$1048576,MATCH('2020'!$A20,DataEx!$D:$D,0),MATCH('2020'!K$6,DataEx!$7:$7,0))</f>
        <v>24736473.050000001</v>
      </c>
      <c r="L20" s="153">
        <f>+INDEX(DataEx!$1:$1048576,MATCH('2020'!$A20,DataEx!$D:$D,0),MATCH('2020'!L$6,DataEx!$7:$7,0))</f>
        <v>26475281.460000001</v>
      </c>
      <c r="M20" s="153">
        <f>+INDEX(DataEx!$1:$1048576,MATCH('2020'!$A20,DataEx!$D:$D,0),MATCH('2020'!M$6,DataEx!$7:$7,0))</f>
        <v>27851332.690000001</v>
      </c>
      <c r="N20" s="153">
        <f>+INDEX(DataEx!$1:$1048576,MATCH('2020'!$A20,DataEx!$D:$D,0),MATCH('2020'!N$6,DataEx!$7:$7,0))</f>
        <v>32483401.219999999</v>
      </c>
      <c r="O20" s="153">
        <f>+INDEX(DataEx!$1:$1048576,MATCH('2020'!$A20,DataEx!$D:$D,0),MATCH('2020'!O$6,DataEx!$7:$7,0))</f>
        <v>26148502.84</v>
      </c>
      <c r="P20" s="153">
        <f>+INDEX(DataEx!$1:$1048576,MATCH('2020'!$A20,DataEx!$D:$D,0),MATCH('2020'!P$6,DataEx!$7:$7,0))</f>
        <v>29441670.030000001</v>
      </c>
      <c r="Q20" s="153">
        <f>+INDEX(DataEx!$1:$1048576,MATCH('2020'!$A20,DataEx!$D:$D,0),MATCH('2020'!Q$6,DataEx!$7:$7,0))</f>
        <v>27710639.109999999</v>
      </c>
      <c r="R20" s="153">
        <f>+INDEX(DataEx!$1:$1048576,MATCH('2020'!$A20,DataEx!$D:$D,0),MATCH('2020'!R$6,DataEx!$7:$7,0))</f>
        <v>49994308.450000003</v>
      </c>
      <c r="S20" s="270">
        <f t="shared" si="3"/>
        <v>330807303.88</v>
      </c>
      <c r="T20" s="283">
        <f t="shared" si="4"/>
        <v>7.9034619619648296</v>
      </c>
    </row>
    <row r="21" spans="1:23">
      <c r="A21" s="145">
        <v>7122</v>
      </c>
      <c r="B21" s="562" t="str">
        <f>+VLOOKUP($A21,Master!$D$30:$G$226,4,FALSE)</f>
        <v>Doprinosi za zdravstveno osiguranje</v>
      </c>
      <c r="C21" s="563"/>
      <c r="D21" s="563"/>
      <c r="E21" s="563"/>
      <c r="F21" s="563"/>
      <c r="G21" s="153">
        <f>+INDEX(DataEx!$1:$1048576,MATCH('2020'!$A21,DataEx!$D:$D,0),MATCH('2020'!G$6,DataEx!$7:$7,0))</f>
        <v>5160073.6100000003</v>
      </c>
      <c r="H21" s="153">
        <f>+INDEX(DataEx!$1:$1048576,MATCH('2020'!$A21,DataEx!$D:$D,0),MATCH('2020'!H$6,DataEx!$7:$7,0))</f>
        <v>13521231.24</v>
      </c>
      <c r="I21" s="153">
        <f>+INDEX(DataEx!$1:$1048576,MATCH('2020'!$A21,DataEx!$D:$D,0),MATCH('2020'!I$6,DataEx!$7:$7,0))</f>
        <v>14020072.800000001</v>
      </c>
      <c r="J21" s="153">
        <f>+INDEX(DataEx!$1:$1048576,MATCH('2020'!$A21,DataEx!$D:$D,0),MATCH('2020'!J$6,DataEx!$7:$7,0))</f>
        <v>10884138.67</v>
      </c>
      <c r="K21" s="153">
        <f>+INDEX(DataEx!$1:$1048576,MATCH('2020'!$A21,DataEx!$D:$D,0),MATCH('2020'!K$6,DataEx!$7:$7,0))</f>
        <v>13478103.310000001</v>
      </c>
      <c r="L21" s="153">
        <f>+INDEX(DataEx!$1:$1048576,MATCH('2020'!$A21,DataEx!$D:$D,0),MATCH('2020'!L$6,DataEx!$7:$7,0))</f>
        <v>14129608.4</v>
      </c>
      <c r="M21" s="153">
        <f>+INDEX(DataEx!$1:$1048576,MATCH('2020'!$A21,DataEx!$D:$D,0),MATCH('2020'!M$6,DataEx!$7:$7,0))</f>
        <v>14709421.550000001</v>
      </c>
      <c r="N21" s="153">
        <f>+INDEX(DataEx!$1:$1048576,MATCH('2020'!$A21,DataEx!$D:$D,0),MATCH('2020'!N$6,DataEx!$7:$7,0))</f>
        <v>16697077.890000001</v>
      </c>
      <c r="O21" s="153">
        <f>+INDEX(DataEx!$1:$1048576,MATCH('2020'!$A21,DataEx!$D:$D,0),MATCH('2020'!O$6,DataEx!$7:$7,0))</f>
        <v>14002830.41</v>
      </c>
      <c r="P21" s="153">
        <f>+INDEX(DataEx!$1:$1048576,MATCH('2020'!$A21,DataEx!$D:$D,0),MATCH('2020'!P$6,DataEx!$7:$7,0))</f>
        <v>14861911.289999999</v>
      </c>
      <c r="Q21" s="153">
        <f>+INDEX(DataEx!$1:$1048576,MATCH('2020'!$A21,DataEx!$D:$D,0),MATCH('2020'!Q$6,DataEx!$7:$7,0))</f>
        <v>13825874.189999999</v>
      </c>
      <c r="R21" s="153">
        <f>+INDEX(DataEx!$1:$1048576,MATCH('2020'!$A21,DataEx!$D:$D,0),MATCH('2020'!R$6,DataEx!$7:$7,0))</f>
        <v>26271305.699999999</v>
      </c>
      <c r="S21" s="270">
        <f t="shared" si="3"/>
        <v>171561649.06</v>
      </c>
      <c r="T21" s="283">
        <f t="shared" si="4"/>
        <v>4.0988543831230899</v>
      </c>
    </row>
    <row r="22" spans="1:23">
      <c r="A22" s="145">
        <v>7123</v>
      </c>
      <c r="B22" s="562" t="str">
        <f>+VLOOKUP($A22,Master!$D$30:$G$226,4,FALSE)</f>
        <v>Doprinosi za osiguranje od nezaposlenosti</v>
      </c>
      <c r="C22" s="563"/>
      <c r="D22" s="563"/>
      <c r="E22" s="563"/>
      <c r="F22" s="563"/>
      <c r="G22" s="153">
        <f>+INDEX(DataEx!$1:$1048576,MATCH('2020'!$A22,DataEx!$D:$D,0),MATCH('2020'!G$6,DataEx!$7:$7,0))</f>
        <v>455742.13</v>
      </c>
      <c r="H22" s="153">
        <f>+INDEX(DataEx!$1:$1048576,MATCH('2020'!$A22,DataEx!$D:$D,0),MATCH('2020'!H$6,DataEx!$7:$7,0))</f>
        <v>1236727.53</v>
      </c>
      <c r="I22" s="153">
        <f>+INDEX(DataEx!$1:$1048576,MATCH('2020'!$A22,DataEx!$D:$D,0),MATCH('2020'!I$6,DataEx!$7:$7,0))</f>
        <v>1425690.07</v>
      </c>
      <c r="J22" s="153">
        <f>+INDEX(DataEx!$1:$1048576,MATCH('2020'!$A22,DataEx!$D:$D,0),MATCH('2020'!J$6,DataEx!$7:$7,0))</f>
        <v>1042509.86</v>
      </c>
      <c r="K22" s="153">
        <f>+INDEX(DataEx!$1:$1048576,MATCH('2020'!$A22,DataEx!$D:$D,0),MATCH('2020'!K$6,DataEx!$7:$7,0))</f>
        <v>1190738.6299999999</v>
      </c>
      <c r="L22" s="153">
        <f>+INDEX(DataEx!$1:$1048576,MATCH('2020'!$A22,DataEx!$D:$D,0),MATCH('2020'!L$6,DataEx!$7:$7,0))</f>
        <v>1233975.8400000001</v>
      </c>
      <c r="M22" s="153">
        <f>+INDEX(DataEx!$1:$1048576,MATCH('2020'!$A22,DataEx!$D:$D,0),MATCH('2020'!M$6,DataEx!$7:$7,0))</f>
        <v>1318558.31</v>
      </c>
      <c r="N22" s="153">
        <f>+INDEX(DataEx!$1:$1048576,MATCH('2020'!$A22,DataEx!$D:$D,0),MATCH('2020'!N$6,DataEx!$7:$7,0))</f>
        <v>1488807.39</v>
      </c>
      <c r="O22" s="153">
        <f>+INDEX(DataEx!$1:$1048576,MATCH('2020'!$A22,DataEx!$D:$D,0),MATCH('2020'!O$6,DataEx!$7:$7,0))</f>
        <v>1223746.3700000001</v>
      </c>
      <c r="P22" s="153">
        <f>+INDEX(DataEx!$1:$1048576,MATCH('2020'!$A22,DataEx!$D:$D,0),MATCH('2020'!P$6,DataEx!$7:$7,0))</f>
        <v>1260451.97</v>
      </c>
      <c r="Q22" s="153">
        <f>+INDEX(DataEx!$1:$1048576,MATCH('2020'!$A22,DataEx!$D:$D,0),MATCH('2020'!Q$6,DataEx!$7:$7,0))</f>
        <v>1219234.01</v>
      </c>
      <c r="R22" s="153">
        <f>+INDEX(DataEx!$1:$1048576,MATCH('2020'!$A22,DataEx!$D:$D,0),MATCH('2020'!R$6,DataEx!$7:$7,0))</f>
        <v>2323446.4500000002</v>
      </c>
      <c r="S22" s="270">
        <f t="shared" si="3"/>
        <v>15419628.560000001</v>
      </c>
      <c r="T22" s="283">
        <f t="shared" si="4"/>
        <v>0.36839708906727803</v>
      </c>
    </row>
    <row r="23" spans="1:23">
      <c r="A23" s="145">
        <v>7124</v>
      </c>
      <c r="B23" s="562" t="str">
        <f>+VLOOKUP($A23,Master!$D$30:$G$226,4,FALSE)</f>
        <v>Ostali doprinosi</v>
      </c>
      <c r="C23" s="563"/>
      <c r="D23" s="563"/>
      <c r="E23" s="563"/>
      <c r="F23" s="563"/>
      <c r="G23" s="153">
        <f>+INDEX(DataEx!$1:$1048576,MATCH('2020'!$A23,DataEx!$D:$D,0),MATCH('2020'!G$6,DataEx!$7:$7,0))</f>
        <v>343107</v>
      </c>
      <c r="H23" s="153">
        <f>+INDEX(DataEx!$1:$1048576,MATCH('2020'!$A23,DataEx!$D:$D,0),MATCH('2020'!H$6,DataEx!$7:$7,0))</f>
        <v>1034648.14</v>
      </c>
      <c r="I23" s="153">
        <f>+INDEX(DataEx!$1:$1048576,MATCH('2020'!$A23,DataEx!$D:$D,0),MATCH('2020'!I$6,DataEx!$7:$7,0))</f>
        <v>1128605.58</v>
      </c>
      <c r="J23" s="153">
        <f>+INDEX(DataEx!$1:$1048576,MATCH('2020'!$A23,DataEx!$D:$D,0),MATCH('2020'!J$6,DataEx!$7:$7,0))</f>
        <v>877173.52</v>
      </c>
      <c r="K23" s="153">
        <f>+INDEX(DataEx!$1:$1048576,MATCH('2020'!$A23,DataEx!$D:$D,0),MATCH('2020'!K$6,DataEx!$7:$7,0))</f>
        <v>1012974.46</v>
      </c>
      <c r="L23" s="153">
        <f>+INDEX(DataEx!$1:$1048576,MATCH('2020'!$A23,DataEx!$D:$D,0),MATCH('2020'!L$6,DataEx!$7:$7,0))</f>
        <v>1053553.3899999999</v>
      </c>
      <c r="M23" s="153">
        <f>+INDEX(DataEx!$1:$1048576,MATCH('2020'!$A23,DataEx!$D:$D,0),MATCH('2020'!M$6,DataEx!$7:$7,0))</f>
        <v>1130499.1499999999</v>
      </c>
      <c r="N23" s="153">
        <f>+INDEX(DataEx!$1:$1048576,MATCH('2020'!$A23,DataEx!$D:$D,0),MATCH('2020'!N$6,DataEx!$7:$7,0))</f>
        <v>1315652.46</v>
      </c>
      <c r="O23" s="153">
        <f>+INDEX(DataEx!$1:$1048576,MATCH('2020'!$A23,DataEx!$D:$D,0),MATCH('2020'!O$6,DataEx!$7:$7,0))</f>
        <v>1064773.82</v>
      </c>
      <c r="P23" s="153">
        <f>+INDEX(DataEx!$1:$1048576,MATCH('2020'!$A23,DataEx!$D:$D,0),MATCH('2020'!P$6,DataEx!$7:$7,0))</f>
        <v>1202231.73</v>
      </c>
      <c r="Q23" s="153">
        <f>+INDEX(DataEx!$1:$1048576,MATCH('2020'!$A23,DataEx!$D:$D,0),MATCH('2020'!Q$6,DataEx!$7:$7,0))</f>
        <v>1113504.28</v>
      </c>
      <c r="R23" s="153">
        <f>+INDEX(DataEx!$1:$1048576,MATCH('2020'!$A23,DataEx!$D:$D,0),MATCH('2020'!R$6,DataEx!$7:$7,0))</f>
        <v>1955266.36</v>
      </c>
      <c r="S23" s="270">
        <f t="shared" si="3"/>
        <v>13231989.890000001</v>
      </c>
      <c r="T23" s="283">
        <f t="shared" si="4"/>
        <v>0.31613125692851701</v>
      </c>
    </row>
    <row r="24" spans="1:23">
      <c r="A24" s="145">
        <v>713</v>
      </c>
      <c r="B24" s="566" t="str">
        <f>+VLOOKUP($A24,Master!$D$30:$G$226,4,FALSE)</f>
        <v>Takse</v>
      </c>
      <c r="C24" s="567"/>
      <c r="D24" s="567"/>
      <c r="E24" s="567"/>
      <c r="F24" s="567"/>
      <c r="G24" s="159">
        <f>+INDEX(DataEx!$1:$1048576,MATCH('2020'!$A24,DataEx!$D:$D,0),MATCH('2020'!G$6,DataEx!$7:$7,0))</f>
        <v>711811.51</v>
      </c>
      <c r="H24" s="159">
        <f>+INDEX(DataEx!$1:$1048576,MATCH('2020'!$A24,DataEx!$D:$D,0),MATCH('2020'!H$6,DataEx!$7:$7,0))</f>
        <v>845756.92</v>
      </c>
      <c r="I24" s="159">
        <f>+INDEX(DataEx!$1:$1048576,MATCH('2020'!$A24,DataEx!$D:$D,0),MATCH('2020'!I$6,DataEx!$7:$7,0))</f>
        <v>815406.19</v>
      </c>
      <c r="J24" s="159">
        <f>+INDEX(DataEx!$1:$1048576,MATCH('2020'!$A24,DataEx!$D:$D,0),MATCH('2020'!J$6,DataEx!$7:$7,0))</f>
        <v>318936.3</v>
      </c>
      <c r="K24" s="159">
        <f>+INDEX(DataEx!$1:$1048576,MATCH('2020'!$A24,DataEx!$D:$D,0),MATCH('2020'!K$6,DataEx!$7:$7,0))</f>
        <v>469045.42</v>
      </c>
      <c r="L24" s="159">
        <f>+INDEX(DataEx!$1:$1048576,MATCH('2020'!$A24,DataEx!$D:$D,0),MATCH('2020'!L$6,DataEx!$7:$7,0))</f>
        <v>1094710.17</v>
      </c>
      <c r="M24" s="159">
        <f>+INDEX(DataEx!$1:$1048576,MATCH('2020'!$A24,DataEx!$D:$D,0),MATCH('2020'!M$6,DataEx!$7:$7,0))</f>
        <v>962946.75</v>
      </c>
      <c r="N24" s="159">
        <f>+INDEX(DataEx!$1:$1048576,MATCH('2020'!$A24,DataEx!$D:$D,0),MATCH('2020'!N$6,DataEx!$7:$7,0))</f>
        <v>1016910.37</v>
      </c>
      <c r="O24" s="159">
        <f>+INDEX(DataEx!$1:$1048576,MATCH('2020'!$A24,DataEx!$D:$D,0),MATCH('2020'!O$6,DataEx!$7:$7,0))</f>
        <v>1210136.0900000001</v>
      </c>
      <c r="P24" s="159">
        <f>+INDEX(DataEx!$1:$1048576,MATCH('2020'!$A24,DataEx!$D:$D,0),MATCH('2020'!P$6,DataEx!$7:$7,0))</f>
        <v>1020237.03</v>
      </c>
      <c r="Q24" s="159">
        <f>+INDEX(DataEx!$1:$1048576,MATCH('2020'!$A24,DataEx!$D:$D,0),MATCH('2020'!Q$6,DataEx!$7:$7,0))</f>
        <v>955177.11</v>
      </c>
      <c r="R24" s="160">
        <f>+INDEX(DataEx!$1:$1048576,MATCH('2020'!$A24,DataEx!$D:$D,0),MATCH('2020'!R$6,DataEx!$7:$7,0))</f>
        <v>1215368.99</v>
      </c>
      <c r="S24" s="284">
        <f t="shared" si="3"/>
        <v>10636442.85</v>
      </c>
      <c r="T24" s="285">
        <f t="shared" si="4"/>
        <v>0.25411990754013802</v>
      </c>
    </row>
    <row r="25" spans="1:23">
      <c r="A25" s="145">
        <v>714</v>
      </c>
      <c r="B25" s="566" t="str">
        <f>+VLOOKUP($A25,Master!$D$30:$G$226,4,FALSE)</f>
        <v>Naknade</v>
      </c>
      <c r="C25" s="567"/>
      <c r="D25" s="567"/>
      <c r="E25" s="567"/>
      <c r="F25" s="567"/>
      <c r="G25" s="159">
        <f>+INDEX(DataEx!$1:$1048576,MATCH('2020'!$A25,DataEx!$D:$D,0),MATCH('2020'!G$6,DataEx!$7:$7,0))</f>
        <v>2226726.9300000002</v>
      </c>
      <c r="H25" s="159">
        <f>+INDEX(DataEx!$1:$1048576,MATCH('2020'!$A25,DataEx!$D:$D,0),MATCH('2020'!H$6,DataEx!$7:$7,0))</f>
        <v>2200614.79</v>
      </c>
      <c r="I25" s="159">
        <f>+INDEX(DataEx!$1:$1048576,MATCH('2020'!$A25,DataEx!$D:$D,0),MATCH('2020'!I$6,DataEx!$7:$7,0))</f>
        <v>1317967.9099999999</v>
      </c>
      <c r="J25" s="159">
        <f>+INDEX(DataEx!$1:$1048576,MATCH('2020'!$A25,DataEx!$D:$D,0),MATCH('2020'!J$6,DataEx!$7:$7,0))</f>
        <v>1597851.36</v>
      </c>
      <c r="K25" s="159">
        <f>+INDEX(DataEx!$1:$1048576,MATCH('2020'!$A25,DataEx!$D:$D,0),MATCH('2020'!K$6,DataEx!$7:$7,0))</f>
        <v>1673853.74</v>
      </c>
      <c r="L25" s="159">
        <f>+INDEX(DataEx!$1:$1048576,MATCH('2020'!$A25,DataEx!$D:$D,0),MATCH('2020'!L$6,DataEx!$7:$7,0))</f>
        <v>2752546.68</v>
      </c>
      <c r="M25" s="159">
        <f>+INDEX(DataEx!$1:$1048576,MATCH('2020'!$A25,DataEx!$D:$D,0),MATCH('2020'!M$6,DataEx!$7:$7,0))</f>
        <v>2600399.91</v>
      </c>
      <c r="N25" s="159">
        <f>+INDEX(DataEx!$1:$1048576,MATCH('2020'!$A25,DataEx!$D:$D,0),MATCH('2020'!N$6,DataEx!$7:$7,0))</f>
        <v>2411610.62</v>
      </c>
      <c r="O25" s="159">
        <f>+INDEX(DataEx!$1:$1048576,MATCH('2020'!$A25,DataEx!$D:$D,0),MATCH('2020'!O$6,DataEx!$7:$7,0))</f>
        <v>2242559.5</v>
      </c>
      <c r="P25" s="159">
        <f>+INDEX(DataEx!$1:$1048576,MATCH('2020'!$A25,DataEx!$D:$D,0),MATCH('2020'!P$6,DataEx!$7:$7,0))</f>
        <v>3223177.49</v>
      </c>
      <c r="Q25" s="159">
        <f>+INDEX(DataEx!$1:$1048576,MATCH('2020'!$A25,DataEx!$D:$D,0),MATCH('2020'!Q$6,DataEx!$7:$7,0))</f>
        <v>2393815.35</v>
      </c>
      <c r="R25" s="160">
        <f>+INDEX(DataEx!$1:$1048576,MATCH('2020'!$A25,DataEx!$D:$D,0),MATCH('2020'!R$6,DataEx!$7:$7,0))</f>
        <v>3177660.78</v>
      </c>
      <c r="S25" s="284">
        <f t="shared" si="3"/>
        <v>27818785.059999999</v>
      </c>
      <c r="T25" s="285">
        <f t="shared" si="4"/>
        <v>0.66463075926987802</v>
      </c>
      <c r="W25" s="161"/>
    </row>
    <row r="26" spans="1:23">
      <c r="A26" s="145">
        <v>715</v>
      </c>
      <c r="B26" s="566" t="str">
        <f>+VLOOKUP($A26,Master!$D$30:$G$226,4,FALSE)</f>
        <v>Ostali prihodi</v>
      </c>
      <c r="C26" s="567"/>
      <c r="D26" s="567"/>
      <c r="E26" s="567"/>
      <c r="F26" s="567"/>
      <c r="G26" s="159">
        <f>+INDEX(DataEx!$1:$1048576,MATCH('2020'!$A26,DataEx!$D:$D,0),MATCH('2020'!G$6,DataEx!$7:$7,0))</f>
        <v>1483663.67</v>
      </c>
      <c r="H26" s="159">
        <f>+INDEX(DataEx!$1:$1048576,MATCH('2020'!$A26,DataEx!$D:$D,0),MATCH('2020'!H$6,DataEx!$7:$7,0))</f>
        <v>2100277.88</v>
      </c>
      <c r="I26" s="159">
        <f>+INDEX(DataEx!$1:$1048576,MATCH('2020'!$A26,DataEx!$D:$D,0),MATCH('2020'!I$6,DataEx!$7:$7,0))</f>
        <v>4243202.3499999996</v>
      </c>
      <c r="J26" s="159">
        <f>+INDEX(DataEx!$1:$1048576,MATCH('2020'!$A26,DataEx!$D:$D,0),MATCH('2020'!J$6,DataEx!$7:$7,0))</f>
        <v>2093585.81</v>
      </c>
      <c r="K26" s="159">
        <f>+INDEX(DataEx!$1:$1048576,MATCH('2020'!$A26,DataEx!$D:$D,0),MATCH('2020'!K$6,DataEx!$7:$7,0))</f>
        <v>1279434.9099999999</v>
      </c>
      <c r="L26" s="159">
        <f>+INDEX(DataEx!$1:$1048576,MATCH('2020'!$A26,DataEx!$D:$D,0),MATCH('2020'!L$6,DataEx!$7:$7,0))</f>
        <v>1931121.25</v>
      </c>
      <c r="M26" s="159">
        <f>+INDEX(DataEx!$1:$1048576,MATCH('2020'!$A26,DataEx!$D:$D,0),MATCH('2020'!M$6,DataEx!$7:$7,0))</f>
        <v>2459062.7400000002</v>
      </c>
      <c r="N26" s="159">
        <f>+INDEX(DataEx!$1:$1048576,MATCH('2020'!$A26,DataEx!$D:$D,0),MATCH('2020'!N$6,DataEx!$7:$7,0))</f>
        <v>3216715.11</v>
      </c>
      <c r="O26" s="159">
        <f>+INDEX(DataEx!$1:$1048576,MATCH('2020'!$A26,DataEx!$D:$D,0),MATCH('2020'!O$6,DataEx!$7:$7,0))</f>
        <v>11550447.48</v>
      </c>
      <c r="P26" s="159">
        <f>+INDEX(DataEx!$1:$1048576,MATCH('2020'!$A26,DataEx!$D:$D,0),MATCH('2020'!P$6,DataEx!$7:$7,0))</f>
        <v>2887676.87</v>
      </c>
      <c r="Q26" s="159">
        <f>+INDEX(DataEx!$1:$1048576,MATCH('2020'!$A26,DataEx!$D:$D,0),MATCH('2020'!Q$6,DataEx!$7:$7,0))</f>
        <v>1756272.85</v>
      </c>
      <c r="R26" s="160">
        <f>+INDEX(DataEx!$1:$1048576,MATCH('2020'!$A26,DataEx!$D:$D,0),MATCH('2020'!R$6,DataEx!$7:$7,0))</f>
        <v>2614148.87</v>
      </c>
      <c r="S26" s="284">
        <f t="shared" si="3"/>
        <v>37615609.789999999</v>
      </c>
      <c r="T26" s="285">
        <f t="shared" si="4"/>
        <v>0.89869098313264495</v>
      </c>
      <c r="W26" s="172"/>
    </row>
    <row r="27" spans="1:23">
      <c r="A27" s="145">
        <v>73</v>
      </c>
      <c r="B27" s="566" t="str">
        <f>+VLOOKUP($A27,Master!$D$30:$G$226,4,FALSE)</f>
        <v>Primici od otplate kredita i sredstva prenesena iz prethodne godine</v>
      </c>
      <c r="C27" s="567"/>
      <c r="D27" s="567"/>
      <c r="E27" s="567"/>
      <c r="F27" s="567"/>
      <c r="G27" s="159">
        <f>+INDEX(DataEx!$1:$1048576,MATCH('2020'!$A27,DataEx!$D:$D,0),MATCH('2020'!G$6,DataEx!$7:$7,0))</f>
        <v>80819.179999999993</v>
      </c>
      <c r="H27" s="159">
        <f>+INDEX(DataEx!$1:$1048576,MATCH('2020'!$A27,DataEx!$D:$D,0),MATCH('2020'!H$6,DataEx!$7:$7,0))</f>
        <v>813727.89</v>
      </c>
      <c r="I27" s="159">
        <f>+INDEX(DataEx!$1:$1048576,MATCH('2020'!$A27,DataEx!$D:$D,0),MATCH('2020'!I$6,DataEx!$7:$7,0))</f>
        <v>794561.22</v>
      </c>
      <c r="J27" s="159">
        <f>+INDEX(DataEx!$1:$1048576,MATCH('2020'!$A27,DataEx!$D:$D,0),MATCH('2020'!J$6,DataEx!$7:$7,0))</f>
        <v>561040.23</v>
      </c>
      <c r="K27" s="159">
        <f>+INDEX(DataEx!$1:$1048576,MATCH('2020'!$A27,DataEx!$D:$D,0),MATCH('2020'!K$6,DataEx!$7:$7,0))</f>
        <v>896681.72</v>
      </c>
      <c r="L27" s="159">
        <f>+INDEX(DataEx!$1:$1048576,MATCH('2020'!$A27,DataEx!$D:$D,0),MATCH('2020'!L$6,DataEx!$7:$7,0))</f>
        <v>977750.68</v>
      </c>
      <c r="M27" s="159">
        <f>+INDEX(DataEx!$1:$1048576,MATCH('2020'!$A27,DataEx!$D:$D,0),MATCH('2020'!M$6,DataEx!$7:$7,0))</f>
        <v>53328</v>
      </c>
      <c r="N27" s="159">
        <f>+INDEX(DataEx!$1:$1048576,MATCH('2020'!$A27,DataEx!$D:$D,0),MATCH('2020'!N$6,DataEx!$7:$7,0))</f>
        <v>635570.36</v>
      </c>
      <c r="O27" s="159">
        <f>+INDEX(DataEx!$1:$1048576,MATCH('2020'!$A27,DataEx!$D:$D,0),MATCH('2020'!O$6,DataEx!$7:$7,0))</f>
        <v>139421.26999999999</v>
      </c>
      <c r="P27" s="159">
        <f>+INDEX(DataEx!$1:$1048576,MATCH('2020'!$A27,DataEx!$D:$D,0),MATCH('2020'!P$6,DataEx!$7:$7,0))</f>
        <v>338814.6</v>
      </c>
      <c r="Q27" s="159">
        <f>+INDEX(DataEx!$1:$1048576,MATCH('2020'!$A27,DataEx!$D:$D,0),MATCH('2020'!Q$6,DataEx!$7:$7,0))</f>
        <v>1062947.03</v>
      </c>
      <c r="R27" s="160">
        <f>+INDEX(DataEx!$1:$1048576,MATCH('2020'!$A27,DataEx!$D:$D,0),MATCH('2020'!R$6,DataEx!$7:$7,0))</f>
        <v>1060252.57</v>
      </c>
      <c r="S27" s="284">
        <f t="shared" si="3"/>
        <v>7414914.75</v>
      </c>
      <c r="T27" s="285">
        <f t="shared" si="4"/>
        <v>0.177152970900229</v>
      </c>
    </row>
    <row r="28" spans="1:23">
      <c r="A28" s="145">
        <v>74</v>
      </c>
      <c r="B28" s="568" t="str">
        <f>+VLOOKUP($A28,Master!$D$30:$G$226,4,FALSE)</f>
        <v>Donacije i transferi</v>
      </c>
      <c r="C28" s="569"/>
      <c r="D28" s="569"/>
      <c r="E28" s="569"/>
      <c r="F28" s="569"/>
      <c r="G28" s="159">
        <f>+INDEX(DataEx!$1:$1048576,MATCH('2020'!$A28,DataEx!$D:$D,0),MATCH('2020'!G$6,DataEx!$7:$7,0))</f>
        <v>749733.22</v>
      </c>
      <c r="H28" s="159">
        <f>+INDEX(DataEx!$1:$1048576,MATCH('2020'!$A28,DataEx!$D:$D,0),MATCH('2020'!H$6,DataEx!$7:$7,0))</f>
        <v>1634973.52</v>
      </c>
      <c r="I28" s="159">
        <f>+INDEX(DataEx!$1:$1048576,MATCH('2020'!$A28,DataEx!$D:$D,0),MATCH('2020'!I$6,DataEx!$7:$7,0))</f>
        <v>3517796.56</v>
      </c>
      <c r="J28" s="159">
        <f>+INDEX(DataEx!$1:$1048576,MATCH('2020'!$A28,DataEx!$D:$D,0),MATCH('2020'!J$6,DataEx!$7:$7,0))</f>
        <v>2957605.59</v>
      </c>
      <c r="K28" s="159">
        <f>+INDEX(DataEx!$1:$1048576,MATCH('2020'!$A28,DataEx!$D:$D,0),MATCH('2020'!K$6,DataEx!$7:$7,0))</f>
        <v>842020.08</v>
      </c>
      <c r="L28" s="159">
        <f>+INDEX(DataEx!$1:$1048576,MATCH('2020'!$A28,DataEx!$D:$D,0),MATCH('2020'!L$6,DataEx!$7:$7,0))</f>
        <v>2579280.8199999998</v>
      </c>
      <c r="M28" s="159">
        <f>+INDEX(DataEx!$1:$1048576,MATCH('2020'!$A28,DataEx!$D:$D,0),MATCH('2020'!M$6,DataEx!$7:$7,0))</f>
        <v>2556670.7400000002</v>
      </c>
      <c r="N28" s="159">
        <f>+INDEX(DataEx!$1:$1048576,MATCH('2020'!$A28,DataEx!$D:$D,0),MATCH('2020'!N$6,DataEx!$7:$7,0))</f>
        <v>2031508.34</v>
      </c>
      <c r="O28" s="159">
        <f>+INDEX(DataEx!$1:$1048576,MATCH('2020'!$A28,DataEx!$D:$D,0),MATCH('2020'!O$6,DataEx!$7:$7,0))</f>
        <v>4226201.38</v>
      </c>
      <c r="P28" s="159">
        <f>+INDEX(DataEx!$1:$1048576,MATCH('2020'!$A28,DataEx!$D:$D,0),MATCH('2020'!P$6,DataEx!$7:$7,0))</f>
        <v>1408452.9</v>
      </c>
      <c r="Q28" s="159">
        <f>+INDEX(DataEx!$1:$1048576,MATCH('2020'!$A28,DataEx!$D:$D,0),MATCH('2020'!Q$6,DataEx!$7:$7,0))</f>
        <v>29291580.460000001</v>
      </c>
      <c r="R28" s="160">
        <f>+INDEX(DataEx!$1:$1048576,MATCH('2020'!$A28,DataEx!$D:$D,0),MATCH('2020'!R$6,DataEx!$7:$7,0))</f>
        <v>6123058.8600000003</v>
      </c>
      <c r="S28" s="284">
        <f t="shared" si="3"/>
        <v>57918882.469999999</v>
      </c>
      <c r="T28" s="286">
        <f t="shared" si="4"/>
        <v>1.3837653495317299</v>
      </c>
    </row>
    <row r="29" spans="1:23">
      <c r="A29" s="145">
        <v>4</v>
      </c>
      <c r="B29" s="570" t="str">
        <f>+VLOOKUP($A29,Master!$D$30:$G$226,4,FALSE)</f>
        <v>Izdaci budžeta</v>
      </c>
      <c r="C29" s="571"/>
      <c r="D29" s="571"/>
      <c r="E29" s="571"/>
      <c r="F29" s="571"/>
      <c r="G29" s="146">
        <f t="shared" ref="G29:R29" si="5">+G30+G40+G46+SUM(G47:G51)</f>
        <v>128591825.434</v>
      </c>
      <c r="H29" s="146">
        <f t="shared" si="5"/>
        <v>145713289.46399999</v>
      </c>
      <c r="I29" s="146">
        <f t="shared" si="5"/>
        <v>178222340.09400001</v>
      </c>
      <c r="J29" s="146">
        <f t="shared" si="5"/>
        <v>170397112.164</v>
      </c>
      <c r="K29" s="146">
        <f t="shared" si="5"/>
        <v>159815444.86399999</v>
      </c>
      <c r="L29" s="146">
        <f t="shared" si="5"/>
        <v>179437127.39399999</v>
      </c>
      <c r="M29" s="146">
        <f t="shared" si="5"/>
        <v>190592917.514</v>
      </c>
      <c r="N29" s="146">
        <f t="shared" si="5"/>
        <v>181891693.96200001</v>
      </c>
      <c r="O29" s="146">
        <f t="shared" si="5"/>
        <v>164193110.59</v>
      </c>
      <c r="P29" s="146">
        <f t="shared" si="5"/>
        <v>188455616.74000001</v>
      </c>
      <c r="Q29" s="146">
        <f t="shared" si="5"/>
        <v>165383741.06</v>
      </c>
      <c r="R29" s="146">
        <f t="shared" si="5"/>
        <v>211987092.09999999</v>
      </c>
      <c r="S29" s="287">
        <f t="shared" si="3"/>
        <v>2064681311.3800001</v>
      </c>
      <c r="T29" s="288">
        <f t="shared" si="4"/>
        <v>49.328204113627699</v>
      </c>
    </row>
    <row r="30" spans="1:23">
      <c r="A30" s="145">
        <v>41</v>
      </c>
      <c r="B30" s="574" t="str">
        <f>+VLOOKUP($A30,Master!$D$30:$G$226,4,FALSE)</f>
        <v>Tekući izdaci</v>
      </c>
      <c r="C30" s="575"/>
      <c r="D30" s="575"/>
      <c r="E30" s="575"/>
      <c r="F30" s="575"/>
      <c r="G30" s="168">
        <f t="shared" ref="G30:R30" si="6">+SUM(G31:G39)</f>
        <v>53650303.520000003</v>
      </c>
      <c r="H30" s="168">
        <f t="shared" si="6"/>
        <v>62278017.93</v>
      </c>
      <c r="I30" s="168">
        <f t="shared" si="6"/>
        <v>85181841.269999996</v>
      </c>
      <c r="J30" s="168">
        <f t="shared" si="6"/>
        <v>84501906.049999997</v>
      </c>
      <c r="K30" s="168">
        <f t="shared" si="6"/>
        <v>65227876.740000002</v>
      </c>
      <c r="L30" s="168">
        <f t="shared" si="6"/>
        <v>69508562.390000001</v>
      </c>
      <c r="M30" s="168">
        <f t="shared" si="6"/>
        <v>70731758.230000004</v>
      </c>
      <c r="N30" s="168">
        <f t="shared" si="6"/>
        <v>57903495.600000001</v>
      </c>
      <c r="O30" s="168">
        <f t="shared" si="6"/>
        <v>62395523.909999996</v>
      </c>
      <c r="P30" s="168">
        <f t="shared" si="6"/>
        <v>80306872.579999998</v>
      </c>
      <c r="Q30" s="168">
        <f t="shared" si="6"/>
        <v>73263896.420000002</v>
      </c>
      <c r="R30" s="169">
        <f t="shared" si="6"/>
        <v>93065811.170000002</v>
      </c>
      <c r="S30" s="289">
        <f t="shared" si="3"/>
        <v>858015865.80999994</v>
      </c>
      <c r="T30" s="282">
        <f t="shared" si="4"/>
        <v>20.499232268014101</v>
      </c>
    </row>
    <row r="31" spans="1:23">
      <c r="A31" s="145">
        <v>411</v>
      </c>
      <c r="B31" s="562" t="str">
        <f>+VLOOKUP($A31,Master!$D$30:$G$226,4,FALSE)</f>
        <v>Bruto zarade i doprinosi na teret poslodavca</v>
      </c>
      <c r="C31" s="563"/>
      <c r="D31" s="563"/>
      <c r="E31" s="563"/>
      <c r="F31" s="563"/>
      <c r="G31" s="153">
        <f>+INDEX(DataEx!$1:$1048576,MATCH('2020'!$A31,DataEx!$D:$D,0),MATCH('2020'!G$6,DataEx!$7:$7,0))</f>
        <v>40879419.469999999</v>
      </c>
      <c r="H31" s="153">
        <f>+INDEX(DataEx!$1:$1048576,MATCH('2020'!$A31,DataEx!$D:$D,0),MATCH('2020'!H$6,DataEx!$7:$7,0))</f>
        <v>41362850.270000003</v>
      </c>
      <c r="I31" s="153">
        <f>+INDEX(DataEx!$1:$1048576,MATCH('2020'!$A31,DataEx!$D:$D,0),MATCH('2020'!I$6,DataEx!$7:$7,0))</f>
        <v>41444412.079999998</v>
      </c>
      <c r="J31" s="153">
        <f>+INDEX(DataEx!$1:$1048576,MATCH('2020'!$A31,DataEx!$D:$D,0),MATCH('2020'!J$6,DataEx!$7:$7,0))</f>
        <v>41745440.189999998</v>
      </c>
      <c r="K31" s="153">
        <f>+INDEX(DataEx!$1:$1048576,MATCH('2020'!$A31,DataEx!$D:$D,0),MATCH('2020'!K$6,DataEx!$7:$7,0))</f>
        <v>40758304.579999998</v>
      </c>
      <c r="L31" s="153">
        <f>+INDEX(DataEx!$1:$1048576,MATCH('2020'!$A31,DataEx!$D:$D,0),MATCH('2020'!L$6,DataEx!$7:$7,0))</f>
        <v>43040867.280000001</v>
      </c>
      <c r="M31" s="153">
        <f>+INDEX(DataEx!$1:$1048576,MATCH('2020'!$A31,DataEx!$D:$D,0),MATCH('2020'!M$6,DataEx!$7:$7,0))</f>
        <v>41134725.810000002</v>
      </c>
      <c r="N31" s="153">
        <f>+INDEX(DataEx!$1:$1048576,MATCH('2020'!$A31,DataEx!$D:$D,0),MATCH('2020'!N$6,DataEx!$7:$7,0))</f>
        <v>40354849.710000001</v>
      </c>
      <c r="O31" s="153">
        <f>+INDEX(DataEx!$1:$1048576,MATCH('2020'!$A31,DataEx!$D:$D,0),MATCH('2020'!O$6,DataEx!$7:$7,0))</f>
        <v>40276343.780000001</v>
      </c>
      <c r="P31" s="153">
        <f>+INDEX(DataEx!$1:$1048576,MATCH('2020'!$A31,DataEx!$D:$D,0),MATCH('2020'!P$6,DataEx!$7:$7,0))</f>
        <v>42400898.109999999</v>
      </c>
      <c r="Q31" s="153">
        <f>+INDEX(DataEx!$1:$1048576,MATCH('2020'!$A31,DataEx!$D:$D,0),MATCH('2020'!Q$6,DataEx!$7:$7,0))</f>
        <v>38685460.780000001</v>
      </c>
      <c r="R31" s="153">
        <f>+INDEX(DataEx!$1:$1048576,MATCH('2020'!$A31,DataEx!$D:$D,0),MATCH('2020'!R$6,DataEx!$7:$7,0))</f>
        <v>47063398.039999999</v>
      </c>
      <c r="S31" s="270">
        <f t="shared" si="3"/>
        <v>499146970.10000002</v>
      </c>
      <c r="T31" s="283">
        <f t="shared" si="4"/>
        <v>11.9253385440558</v>
      </c>
    </row>
    <row r="32" spans="1:23">
      <c r="A32" s="145">
        <v>412</v>
      </c>
      <c r="B32" s="562" t="str">
        <f>+VLOOKUP($A32,Master!$D$30:$G$226,4,FALSE)</f>
        <v>Ostala lična primanja</v>
      </c>
      <c r="C32" s="563"/>
      <c r="D32" s="563"/>
      <c r="E32" s="563"/>
      <c r="F32" s="563"/>
      <c r="G32" s="153">
        <f>+INDEX(DataEx!$1:$1048576,MATCH('2020'!$A32,DataEx!$D:$D,0),MATCH('2020'!G$6,DataEx!$7:$7,0))</f>
        <v>476603.42</v>
      </c>
      <c r="H32" s="153">
        <f>+INDEX(DataEx!$1:$1048576,MATCH('2020'!$A32,DataEx!$D:$D,0),MATCH('2020'!H$6,DataEx!$7:$7,0))</f>
        <v>1082169.6499999999</v>
      </c>
      <c r="I32" s="153">
        <f>+INDEX(DataEx!$1:$1048576,MATCH('2020'!$A32,DataEx!$D:$D,0),MATCH('2020'!I$6,DataEx!$7:$7,0))</f>
        <v>1108872.33</v>
      </c>
      <c r="J32" s="153">
        <f>+INDEX(DataEx!$1:$1048576,MATCH('2020'!$A32,DataEx!$D:$D,0),MATCH('2020'!J$6,DataEx!$7:$7,0))</f>
        <v>652598.81999999995</v>
      </c>
      <c r="K32" s="153">
        <f>+INDEX(DataEx!$1:$1048576,MATCH('2020'!$A32,DataEx!$D:$D,0),MATCH('2020'!K$6,DataEx!$7:$7,0))</f>
        <v>376000.24</v>
      </c>
      <c r="L32" s="153">
        <f>+INDEX(DataEx!$1:$1048576,MATCH('2020'!$A32,DataEx!$D:$D,0),MATCH('2020'!L$6,DataEx!$7:$7,0))</f>
        <v>1295023.8</v>
      </c>
      <c r="M32" s="153">
        <f>+INDEX(DataEx!$1:$1048576,MATCH('2020'!$A32,DataEx!$D:$D,0),MATCH('2020'!M$6,DataEx!$7:$7,0))</f>
        <v>1295373.58</v>
      </c>
      <c r="N32" s="153">
        <f>+INDEX(DataEx!$1:$1048576,MATCH('2020'!$A32,DataEx!$D:$D,0),MATCH('2020'!N$6,DataEx!$7:$7,0))</f>
        <v>1018490.55</v>
      </c>
      <c r="O32" s="153">
        <f>+INDEX(DataEx!$1:$1048576,MATCH('2020'!$A32,DataEx!$D:$D,0),MATCH('2020'!O$6,DataEx!$7:$7,0))</f>
        <v>1121276.3999999999</v>
      </c>
      <c r="P32" s="153">
        <f>+INDEX(DataEx!$1:$1048576,MATCH('2020'!$A32,DataEx!$D:$D,0),MATCH('2020'!P$6,DataEx!$7:$7,0))</f>
        <v>1092201.97</v>
      </c>
      <c r="Q32" s="153">
        <f>+INDEX(DataEx!$1:$1048576,MATCH('2020'!$A32,DataEx!$D:$D,0),MATCH('2020'!Q$6,DataEx!$7:$7,0))</f>
        <v>886334.18</v>
      </c>
      <c r="R32" s="153">
        <f>+INDEX(DataEx!$1:$1048576,MATCH('2020'!$A32,DataEx!$D:$D,0),MATCH('2020'!R$6,DataEx!$7:$7,0))</f>
        <v>2514701.59</v>
      </c>
      <c r="S32" s="270">
        <f t="shared" si="3"/>
        <v>12919646.529999999</v>
      </c>
      <c r="T32" s="283">
        <f t="shared" si="4"/>
        <v>0.30866892512423499</v>
      </c>
    </row>
    <row r="33" spans="1:23">
      <c r="A33" s="145">
        <v>413</v>
      </c>
      <c r="B33" s="562" t="str">
        <f>+VLOOKUP($A33,Master!$D$30:$G$226,4,FALSE)</f>
        <v>Rashodi za materijal</v>
      </c>
      <c r="C33" s="563"/>
      <c r="D33" s="563"/>
      <c r="E33" s="563"/>
      <c r="F33" s="563"/>
      <c r="G33" s="153">
        <f>+INDEX(DataEx!$1:$1048576,MATCH('2020'!$A33,DataEx!$D:$D,0),MATCH('2020'!G$6,DataEx!$7:$7,0))</f>
        <v>844008.41</v>
      </c>
      <c r="H33" s="153">
        <f>+INDEX(DataEx!$1:$1048576,MATCH('2020'!$A33,DataEx!$D:$D,0),MATCH('2020'!H$6,DataEx!$7:$7,0))</f>
        <v>4249565.51</v>
      </c>
      <c r="I33" s="153">
        <f>+INDEX(DataEx!$1:$1048576,MATCH('2020'!$A33,DataEx!$D:$D,0),MATCH('2020'!I$6,DataEx!$7:$7,0))</f>
        <v>2437073.7200000002</v>
      </c>
      <c r="J33" s="153">
        <f>+INDEX(DataEx!$1:$1048576,MATCH('2020'!$A33,DataEx!$D:$D,0),MATCH('2020'!J$6,DataEx!$7:$7,0))</f>
        <v>2981687.21</v>
      </c>
      <c r="K33" s="153">
        <f>+INDEX(DataEx!$1:$1048576,MATCH('2020'!$A33,DataEx!$D:$D,0),MATCH('2020'!K$6,DataEx!$7:$7,0))</f>
        <v>1829547.16</v>
      </c>
      <c r="L33" s="153">
        <f>+INDEX(DataEx!$1:$1048576,MATCH('2020'!$A33,DataEx!$D:$D,0),MATCH('2020'!L$6,DataEx!$7:$7,0))</f>
        <v>2089784.74</v>
      </c>
      <c r="M33" s="153">
        <f>+INDEX(DataEx!$1:$1048576,MATCH('2020'!$A33,DataEx!$D:$D,0),MATCH('2020'!M$6,DataEx!$7:$7,0))</f>
        <v>3585494.74</v>
      </c>
      <c r="N33" s="153">
        <f>+INDEX(DataEx!$1:$1048576,MATCH('2020'!$A33,DataEx!$D:$D,0),MATCH('2020'!N$6,DataEx!$7:$7,0))</f>
        <v>2727242.16</v>
      </c>
      <c r="O33" s="153">
        <f>+INDEX(DataEx!$1:$1048576,MATCH('2020'!$A33,DataEx!$D:$D,0),MATCH('2020'!O$6,DataEx!$7:$7,0))</f>
        <v>2503728.25</v>
      </c>
      <c r="P33" s="153">
        <f>+INDEX(DataEx!$1:$1048576,MATCH('2020'!$A33,DataEx!$D:$D,0),MATCH('2020'!P$6,DataEx!$7:$7,0))</f>
        <v>4831223.7</v>
      </c>
      <c r="Q33" s="153">
        <f>+INDEX(DataEx!$1:$1048576,MATCH('2020'!$A33,DataEx!$D:$D,0),MATCH('2020'!Q$6,DataEx!$7:$7,0))</f>
        <v>5281833.1900000004</v>
      </c>
      <c r="R33" s="153">
        <f>+INDEX(DataEx!$1:$1048576,MATCH('2020'!$A33,DataEx!$D:$D,0),MATCH('2020'!R$6,DataEx!$7:$7,0))</f>
        <v>6567500.3300000001</v>
      </c>
      <c r="S33" s="270">
        <f t="shared" si="3"/>
        <v>39928689.119999997</v>
      </c>
      <c r="T33" s="283">
        <f t="shared" si="4"/>
        <v>0.95395377293577999</v>
      </c>
      <c r="V33" s="173"/>
    </row>
    <row r="34" spans="1:23" s="267" customFormat="1">
      <c r="A34" s="272">
        <v>414</v>
      </c>
      <c r="B34" s="600" t="str">
        <f>+VLOOKUP($A34,Master!$D$30:$G$226,4,FALSE)</f>
        <v>Rashodi za usluge</v>
      </c>
      <c r="C34" s="601"/>
      <c r="D34" s="601"/>
      <c r="E34" s="601"/>
      <c r="F34" s="601"/>
      <c r="G34" s="153">
        <f>+INDEX(DataEx!$1:$1048576,MATCH('2020'!$A34,DataEx!$D:$D,0),MATCH('2020'!G$6,DataEx!$7:$7,0))</f>
        <v>1489455.09</v>
      </c>
      <c r="H34" s="153">
        <f>+INDEX(DataEx!$1:$1048576,MATCH('2020'!$A34,DataEx!$D:$D,0),MATCH('2020'!H$6,DataEx!$7:$7,0))</f>
        <v>5723852.3799999999</v>
      </c>
      <c r="I34" s="153">
        <f>+INDEX(DataEx!$1:$1048576,MATCH('2020'!$A34,DataEx!$D:$D,0),MATCH('2020'!I$6,DataEx!$7:$7,0))</f>
        <v>6178408.1299999999</v>
      </c>
      <c r="J34" s="153">
        <f>+INDEX(DataEx!$1:$1048576,MATCH('2020'!$A34,DataEx!$D:$D,0),MATCH('2020'!J$6,DataEx!$7:$7,0))</f>
        <v>3724252.93</v>
      </c>
      <c r="K34" s="153">
        <f>+INDEX(DataEx!$1:$1048576,MATCH('2020'!$A34,DataEx!$D:$D,0),MATCH('2020'!K$6,DataEx!$7:$7,0))</f>
        <v>13077921.189999999</v>
      </c>
      <c r="L34" s="153">
        <f>+INDEX(DataEx!$1:$1048576,MATCH('2020'!$A34,DataEx!$D:$D,0),MATCH('2020'!L$6,DataEx!$7:$7,0))</f>
        <v>5881001.1799999997</v>
      </c>
      <c r="M34" s="153">
        <f>+INDEX(DataEx!$1:$1048576,MATCH('2020'!$A34,DataEx!$D:$D,0),MATCH('2020'!M$6,DataEx!$7:$7,0))</f>
        <v>5977676.1900000004</v>
      </c>
      <c r="N34" s="153">
        <f>+INDEX(DataEx!$1:$1048576,MATCH('2020'!$A34,DataEx!$D:$D,0),MATCH('2020'!N$6,DataEx!$7:$7,0))</f>
        <v>4335926</v>
      </c>
      <c r="O34" s="153">
        <f>+INDEX(DataEx!$1:$1048576,MATCH('2020'!$A34,DataEx!$D:$D,0),MATCH('2020'!O$6,DataEx!$7:$7,0))</f>
        <v>5316393.49</v>
      </c>
      <c r="P34" s="153">
        <f>+INDEX(DataEx!$1:$1048576,MATCH('2020'!$A34,DataEx!$D:$D,0),MATCH('2020'!P$6,DataEx!$7:$7,0))</f>
        <v>6553727.0800000001</v>
      </c>
      <c r="Q34" s="153">
        <f>+INDEX(DataEx!$1:$1048576,MATCH('2020'!$A34,DataEx!$D:$D,0),MATCH('2020'!Q$6,DataEx!$7:$7,0))</f>
        <v>5833602.8700000001</v>
      </c>
      <c r="R34" s="153">
        <f>+INDEX(DataEx!$1:$1048576,MATCH('2020'!$A34,DataEx!$D:$D,0),MATCH('2020'!R$6,DataEx!$7:$7,0))</f>
        <v>10153738.76</v>
      </c>
      <c r="S34" s="270">
        <f t="shared" si="3"/>
        <v>74245955.290000007</v>
      </c>
      <c r="T34" s="283">
        <f t="shared" si="4"/>
        <v>1.77384258624809</v>
      </c>
      <c r="U34" s="129"/>
    </row>
    <row r="35" spans="1:23">
      <c r="A35" s="145">
        <v>415</v>
      </c>
      <c r="B35" s="562" t="str">
        <f>+VLOOKUP($A35,Master!$D$30:$G$226,4,FALSE)</f>
        <v>Rashodi za tekuće održavanje</v>
      </c>
      <c r="C35" s="563"/>
      <c r="D35" s="563"/>
      <c r="E35" s="563"/>
      <c r="F35" s="563"/>
      <c r="G35" s="153">
        <f>+INDEX(DataEx!$1:$1048576,MATCH('2020'!$A35,DataEx!$D:$D,0),MATCH('2020'!G$6,DataEx!$7:$7,0))</f>
        <v>108260.99</v>
      </c>
      <c r="H35" s="153">
        <f>+INDEX(DataEx!$1:$1048576,MATCH('2020'!$A35,DataEx!$D:$D,0),MATCH('2020'!H$6,DataEx!$7:$7,0))</f>
        <v>2255656.6800000002</v>
      </c>
      <c r="I35" s="153">
        <f>+INDEX(DataEx!$1:$1048576,MATCH('2020'!$A35,DataEx!$D:$D,0),MATCH('2020'!I$6,DataEx!$7:$7,0))</f>
        <v>1009908.48</v>
      </c>
      <c r="J35" s="153">
        <f>+INDEX(DataEx!$1:$1048576,MATCH('2020'!$A35,DataEx!$D:$D,0),MATCH('2020'!J$6,DataEx!$7:$7,0))</f>
        <v>2799383.59</v>
      </c>
      <c r="K35" s="153">
        <f>+INDEX(DataEx!$1:$1048576,MATCH('2020'!$A35,DataEx!$D:$D,0),MATCH('2020'!K$6,DataEx!$7:$7,0))</f>
        <v>1877104.42</v>
      </c>
      <c r="L35" s="153">
        <f>+INDEX(DataEx!$1:$1048576,MATCH('2020'!$A35,DataEx!$D:$D,0),MATCH('2020'!L$6,DataEx!$7:$7,0))</f>
        <v>1791066.21</v>
      </c>
      <c r="M35" s="153">
        <f>+INDEX(DataEx!$1:$1048576,MATCH('2020'!$A35,DataEx!$D:$D,0),MATCH('2020'!M$6,DataEx!$7:$7,0))</f>
        <v>2157134.41</v>
      </c>
      <c r="N35" s="153">
        <f>+INDEX(DataEx!$1:$1048576,MATCH('2020'!$A35,DataEx!$D:$D,0),MATCH('2020'!N$6,DataEx!$7:$7,0))</f>
        <v>967680.89</v>
      </c>
      <c r="O35" s="153">
        <f>+INDEX(DataEx!$1:$1048576,MATCH('2020'!$A35,DataEx!$D:$D,0),MATCH('2020'!O$6,DataEx!$7:$7,0))</f>
        <v>2793256.25</v>
      </c>
      <c r="P35" s="153">
        <f>+INDEX(DataEx!$1:$1048576,MATCH('2020'!$A35,DataEx!$D:$D,0),MATCH('2020'!P$6,DataEx!$7:$7,0))</f>
        <v>1995447.62</v>
      </c>
      <c r="Q35" s="153">
        <f>+INDEX(DataEx!$1:$1048576,MATCH('2020'!$A35,DataEx!$D:$D,0),MATCH('2020'!Q$6,DataEx!$7:$7,0))</f>
        <v>1984910.33</v>
      </c>
      <c r="R35" s="153">
        <f>+INDEX(DataEx!$1:$1048576,MATCH('2020'!$A35,DataEx!$D:$D,0),MATCH('2020'!R$6,DataEx!$7:$7,0))</f>
        <v>4623873.92</v>
      </c>
      <c r="S35" s="270">
        <f t="shared" si="3"/>
        <v>24363683.789999999</v>
      </c>
      <c r="T35" s="283">
        <f t="shared" si="4"/>
        <v>0.58208342388188095</v>
      </c>
    </row>
    <row r="36" spans="1:23">
      <c r="A36" s="145">
        <v>416</v>
      </c>
      <c r="B36" s="562" t="str">
        <f>+VLOOKUP($A36,Master!$D$30:$G$226,4,FALSE)</f>
        <v>Kamate</v>
      </c>
      <c r="C36" s="563"/>
      <c r="D36" s="563"/>
      <c r="E36" s="563"/>
      <c r="F36" s="563"/>
      <c r="G36" s="153">
        <f>+INDEX(DataEx!$1:$1048576,MATCH('2020'!$A36,DataEx!$D:$D,0),MATCH('2020'!G$6,DataEx!$7:$7,0))</f>
        <v>7654845.3899999997</v>
      </c>
      <c r="H36" s="153">
        <f>+INDEX(DataEx!$1:$1048576,MATCH('2020'!$A36,DataEx!$D:$D,0),MATCH('2020'!H$6,DataEx!$7:$7,0))</f>
        <v>1839801.88</v>
      </c>
      <c r="I36" s="153">
        <f>+INDEX(DataEx!$1:$1048576,MATCH('2020'!$A36,DataEx!$D:$D,0),MATCH('2020'!I$6,DataEx!$7:$7,0))</f>
        <v>27475960.399999999</v>
      </c>
      <c r="J36" s="153">
        <f>+INDEX(DataEx!$1:$1048576,MATCH('2020'!$A36,DataEx!$D:$D,0),MATCH('2020'!J$6,DataEx!$7:$7,0))</f>
        <v>22627138.609999999</v>
      </c>
      <c r="K36" s="153">
        <f>+INDEX(DataEx!$1:$1048576,MATCH('2020'!$A36,DataEx!$D:$D,0),MATCH('2020'!K$6,DataEx!$7:$7,0))</f>
        <v>1656916.58</v>
      </c>
      <c r="L36" s="153">
        <f>+INDEX(DataEx!$1:$1048576,MATCH('2020'!$A36,DataEx!$D:$D,0),MATCH('2020'!L$6,DataEx!$7:$7,0))</f>
        <v>5341737.45</v>
      </c>
      <c r="M36" s="153">
        <f>+INDEX(DataEx!$1:$1048576,MATCH('2020'!$A36,DataEx!$D:$D,0),MATCH('2020'!M$6,DataEx!$7:$7,0))</f>
        <v>7776730.1600000001</v>
      </c>
      <c r="N36" s="153">
        <f>+INDEX(DataEx!$1:$1048576,MATCH('2020'!$A36,DataEx!$D:$D,0),MATCH('2020'!N$6,DataEx!$7:$7,0))</f>
        <v>1773831.18</v>
      </c>
      <c r="O36" s="153">
        <f>+INDEX(DataEx!$1:$1048576,MATCH('2020'!$A36,DataEx!$D:$D,0),MATCH('2020'!O$6,DataEx!$7:$7,0))</f>
        <v>1552435.29</v>
      </c>
      <c r="P36" s="153">
        <f>+INDEX(DataEx!$1:$1048576,MATCH('2020'!$A36,DataEx!$D:$D,0),MATCH('2020'!P$6,DataEx!$7:$7,0))</f>
        <v>14223016.369999999</v>
      </c>
      <c r="Q36" s="153">
        <f>+INDEX(DataEx!$1:$1048576,MATCH('2020'!$A36,DataEx!$D:$D,0),MATCH('2020'!Q$6,DataEx!$7:$7,0))</f>
        <v>10001902.91</v>
      </c>
      <c r="R36" s="153">
        <f>+INDEX(DataEx!$1:$1048576,MATCH('2020'!$A36,DataEx!$D:$D,0),MATCH('2020'!R$6,DataEx!$7:$7,0))</f>
        <v>9184592.1300000008</v>
      </c>
      <c r="S36" s="270">
        <f t="shared" si="3"/>
        <v>111108908.34999999</v>
      </c>
      <c r="T36" s="283">
        <f t="shared" si="4"/>
        <v>2.6545515183008401</v>
      </c>
    </row>
    <row r="37" spans="1:23">
      <c r="A37" s="145">
        <v>417</v>
      </c>
      <c r="B37" s="562" t="str">
        <f>+VLOOKUP($A37,Master!$D$30:$G$226,4,FALSE)</f>
        <v>Renta</v>
      </c>
      <c r="C37" s="563"/>
      <c r="D37" s="563"/>
      <c r="E37" s="563"/>
      <c r="F37" s="563"/>
      <c r="G37" s="153">
        <f>+INDEX(DataEx!$1:$1048576,MATCH('2020'!$A37,DataEx!$D:$D,0),MATCH('2020'!G$6,DataEx!$7:$7,0))</f>
        <v>615194.6</v>
      </c>
      <c r="H37" s="153">
        <f>+INDEX(DataEx!$1:$1048576,MATCH('2020'!$A37,DataEx!$D:$D,0),MATCH('2020'!H$6,DataEx!$7:$7,0))</f>
        <v>744117.39</v>
      </c>
      <c r="I37" s="153">
        <f>+INDEX(DataEx!$1:$1048576,MATCH('2020'!$A37,DataEx!$D:$D,0),MATCH('2020'!I$6,DataEx!$7:$7,0))</f>
        <v>896209.73</v>
      </c>
      <c r="J37" s="153">
        <f>+INDEX(DataEx!$1:$1048576,MATCH('2020'!$A37,DataEx!$D:$D,0),MATCH('2020'!J$6,DataEx!$7:$7,0))</f>
        <v>971481.72</v>
      </c>
      <c r="K37" s="153">
        <f>+INDEX(DataEx!$1:$1048576,MATCH('2020'!$A37,DataEx!$D:$D,0),MATCH('2020'!K$6,DataEx!$7:$7,0))</f>
        <v>768927.2</v>
      </c>
      <c r="L37" s="153">
        <f>+INDEX(DataEx!$1:$1048576,MATCH('2020'!$A37,DataEx!$D:$D,0),MATCH('2020'!L$6,DataEx!$7:$7,0))</f>
        <v>795087.54</v>
      </c>
      <c r="M37" s="153">
        <f>+INDEX(DataEx!$1:$1048576,MATCH('2020'!$A37,DataEx!$D:$D,0),MATCH('2020'!M$6,DataEx!$7:$7,0))</f>
        <v>1218754.73</v>
      </c>
      <c r="N37" s="153">
        <f>+INDEX(DataEx!$1:$1048576,MATCH('2020'!$A37,DataEx!$D:$D,0),MATCH('2020'!N$6,DataEx!$7:$7,0))</f>
        <v>762878.34</v>
      </c>
      <c r="O37" s="153">
        <f>+INDEX(DataEx!$1:$1048576,MATCH('2020'!$A37,DataEx!$D:$D,0),MATCH('2020'!O$6,DataEx!$7:$7,0))</f>
        <v>769460.79</v>
      </c>
      <c r="P37" s="153">
        <f>+INDEX(DataEx!$1:$1048576,MATCH('2020'!$A37,DataEx!$D:$D,0),MATCH('2020'!P$6,DataEx!$7:$7,0))</f>
        <v>1062864.68</v>
      </c>
      <c r="Q37" s="153">
        <f>+INDEX(DataEx!$1:$1048576,MATCH('2020'!$A37,DataEx!$D:$D,0),MATCH('2020'!Q$6,DataEx!$7:$7,0))</f>
        <v>1092565.04</v>
      </c>
      <c r="R37" s="153">
        <f>+INDEX(DataEx!$1:$1048576,MATCH('2020'!$A37,DataEx!$D:$D,0),MATCH('2020'!R$6,DataEx!$7:$7,0))</f>
        <v>1672063.04</v>
      </c>
      <c r="S37" s="270">
        <f t="shared" si="3"/>
        <v>11369604.800000001</v>
      </c>
      <c r="T37" s="283">
        <f t="shared" si="4"/>
        <v>0.27163620030580998</v>
      </c>
    </row>
    <row r="38" spans="1:23">
      <c r="A38" s="145">
        <v>418</v>
      </c>
      <c r="B38" s="562" t="str">
        <f>+VLOOKUP($A38,Master!$D$30:$G$226,4,FALSE)</f>
        <v>Subvencije</v>
      </c>
      <c r="C38" s="563"/>
      <c r="D38" s="563"/>
      <c r="E38" s="563"/>
      <c r="F38" s="563"/>
      <c r="G38" s="153">
        <f>+INDEX(DataEx!$1:$1048576,MATCH('2020'!$A38,DataEx!$D:$D,0),MATCH('2020'!G$6,DataEx!$7:$7,0))</f>
        <v>186907.92</v>
      </c>
      <c r="H38" s="153">
        <f>+INDEX(DataEx!$1:$1048576,MATCH('2020'!$A38,DataEx!$D:$D,0),MATCH('2020'!H$6,DataEx!$7:$7,0))</f>
        <v>1211715.27</v>
      </c>
      <c r="I38" s="153">
        <f>+INDEX(DataEx!$1:$1048576,MATCH('2020'!$A38,DataEx!$D:$D,0),MATCH('2020'!I$6,DataEx!$7:$7,0))</f>
        <v>1425211.49</v>
      </c>
      <c r="J38" s="153">
        <f>+INDEX(DataEx!$1:$1048576,MATCH('2020'!$A38,DataEx!$D:$D,0),MATCH('2020'!J$6,DataEx!$7:$7,0))</f>
        <v>5065576.53</v>
      </c>
      <c r="K38" s="153">
        <f>+INDEX(DataEx!$1:$1048576,MATCH('2020'!$A38,DataEx!$D:$D,0),MATCH('2020'!K$6,DataEx!$7:$7,0))</f>
        <v>1512180.75</v>
      </c>
      <c r="L38" s="153">
        <f>+INDEX(DataEx!$1:$1048576,MATCH('2020'!$A38,DataEx!$D:$D,0),MATCH('2020'!L$6,DataEx!$7:$7,0))</f>
        <v>2801785.17</v>
      </c>
      <c r="M38" s="153">
        <f>+INDEX(DataEx!$1:$1048576,MATCH('2020'!$A38,DataEx!$D:$D,0),MATCH('2020'!M$6,DataEx!$7:$7,0))</f>
        <v>1918061.81</v>
      </c>
      <c r="N38" s="153">
        <f>+INDEX(DataEx!$1:$1048576,MATCH('2020'!$A38,DataEx!$D:$D,0),MATCH('2020'!N$6,DataEx!$7:$7,0))</f>
        <v>3289868.97</v>
      </c>
      <c r="O38" s="153">
        <f>+INDEX(DataEx!$1:$1048576,MATCH('2020'!$A38,DataEx!$D:$D,0),MATCH('2020'!O$6,DataEx!$7:$7,0))</f>
        <v>4969212.8</v>
      </c>
      <c r="P38" s="153">
        <f>+INDEX(DataEx!$1:$1048576,MATCH('2020'!$A38,DataEx!$D:$D,0),MATCH('2020'!P$6,DataEx!$7:$7,0))</f>
        <v>3866974.49</v>
      </c>
      <c r="Q38" s="153">
        <f>+INDEX(DataEx!$1:$1048576,MATCH('2020'!$A38,DataEx!$D:$D,0),MATCH('2020'!Q$6,DataEx!$7:$7,0))</f>
        <v>5206660.47</v>
      </c>
      <c r="R38" s="153">
        <f>+INDEX(DataEx!$1:$1048576,MATCH('2020'!$A38,DataEx!$D:$D,0),MATCH('2020'!R$6,DataEx!$7:$7,0))</f>
        <v>4870096.6500000004</v>
      </c>
      <c r="S38" s="270">
        <f t="shared" si="3"/>
        <v>36324252.32</v>
      </c>
      <c r="T38" s="283">
        <f t="shared" si="4"/>
        <v>0.86783859709480105</v>
      </c>
    </row>
    <row r="39" spans="1:23" s="267" customFormat="1">
      <c r="A39" s="272">
        <v>419</v>
      </c>
      <c r="B39" s="600" t="str">
        <f>+VLOOKUP($A39,Master!$D$30:$G$226,4,FALSE)</f>
        <v>Ostali izdaci</v>
      </c>
      <c r="C39" s="601"/>
      <c r="D39" s="601"/>
      <c r="E39" s="601"/>
      <c r="F39" s="601"/>
      <c r="G39" s="153">
        <f>+INDEX(DataEx!$1:$1048576,MATCH('2020'!$A39,DataEx!$D:$D,0),MATCH('2020'!G$6,DataEx!$7:$7,0))</f>
        <v>1395608.23</v>
      </c>
      <c r="H39" s="153">
        <f>+INDEX(DataEx!$1:$1048576,MATCH('2020'!$A39,DataEx!$D:$D,0),MATCH('2020'!H$6,DataEx!$7:$7,0))</f>
        <v>3808288.9</v>
      </c>
      <c r="I39" s="153">
        <f>+INDEX(DataEx!$1:$1048576,MATCH('2020'!$A39,DataEx!$D:$D,0),MATCH('2020'!I$6,DataEx!$7:$7,0))</f>
        <v>3205784.91</v>
      </c>
      <c r="J39" s="153">
        <f>+INDEX(DataEx!$1:$1048576,MATCH('2020'!$A39,DataEx!$D:$D,0),MATCH('2020'!J$6,DataEx!$7:$7,0))</f>
        <v>3934346.45</v>
      </c>
      <c r="K39" s="153">
        <f>+INDEX(DataEx!$1:$1048576,MATCH('2020'!$A39,DataEx!$D:$D,0),MATCH('2020'!K$6,DataEx!$7:$7,0))</f>
        <v>3370974.62</v>
      </c>
      <c r="L39" s="153">
        <f>+INDEX(DataEx!$1:$1048576,MATCH('2020'!$A39,DataEx!$D:$D,0),MATCH('2020'!L$6,DataEx!$7:$7,0))</f>
        <v>6472209.0199999996</v>
      </c>
      <c r="M39" s="153">
        <f>+INDEX(DataEx!$1:$1048576,MATCH('2020'!$A39,DataEx!$D:$D,0),MATCH('2020'!M$6,DataEx!$7:$7,0))</f>
        <v>5667806.7999999998</v>
      </c>
      <c r="N39" s="153">
        <f>+INDEX(DataEx!$1:$1048576,MATCH('2020'!$A39,DataEx!$D:$D,0),MATCH('2020'!N$6,DataEx!$7:$7,0))</f>
        <v>2672727.7999999998</v>
      </c>
      <c r="O39" s="153">
        <f>+INDEX(DataEx!$1:$1048576,MATCH('2020'!$A39,DataEx!$D:$D,0),MATCH('2020'!O$6,DataEx!$7:$7,0))</f>
        <v>3093416.86</v>
      </c>
      <c r="P39" s="153">
        <f>+INDEX(DataEx!$1:$1048576,MATCH('2020'!$A39,DataEx!$D:$D,0),MATCH('2020'!P$6,DataEx!$7:$7,0))</f>
        <v>4280518.5599999996</v>
      </c>
      <c r="Q39" s="153">
        <f>+INDEX(DataEx!$1:$1048576,MATCH('2020'!$A39,DataEx!$D:$D,0),MATCH('2020'!Q$6,DataEx!$7:$7,0))</f>
        <v>4290626.6500000004</v>
      </c>
      <c r="R39" s="153">
        <f>+INDEX(DataEx!$1:$1048576,MATCH('2020'!$A39,DataEx!$D:$D,0),MATCH('2020'!R$6,DataEx!$7:$7,0))</f>
        <v>6415846.71</v>
      </c>
      <c r="S39" s="270">
        <f t="shared" si="3"/>
        <v>48608155.509999998</v>
      </c>
      <c r="T39" s="283">
        <f t="shared" si="4"/>
        <v>1.1613187000669001</v>
      </c>
      <c r="U39" s="129"/>
    </row>
    <row r="40" spans="1:23">
      <c r="A40" s="145">
        <v>42</v>
      </c>
      <c r="B40" s="576" t="str">
        <f>+VLOOKUP($A40,Master!$D$30:$G$226,4,FALSE)</f>
        <v>Transferi za socijalnu zaštitu</v>
      </c>
      <c r="C40" s="577"/>
      <c r="D40" s="577"/>
      <c r="E40" s="577"/>
      <c r="F40" s="577"/>
      <c r="G40" s="174">
        <f>+SUM(G41:G45)</f>
        <v>43981994.083999999</v>
      </c>
      <c r="H40" s="174">
        <f t="shared" ref="H40:R40" si="7">+SUM(H41:H45)</f>
        <v>47700409.223999999</v>
      </c>
      <c r="I40" s="174">
        <f t="shared" si="7"/>
        <v>46614790.754000001</v>
      </c>
      <c r="J40" s="159">
        <f t="shared" si="7"/>
        <v>46190234.303999998</v>
      </c>
      <c r="K40" s="174">
        <f t="shared" si="7"/>
        <v>45099435.814000003</v>
      </c>
      <c r="L40" s="174">
        <f t="shared" si="7"/>
        <v>45893631.064000003</v>
      </c>
      <c r="M40" s="174">
        <f t="shared" si="7"/>
        <v>46548598.714000002</v>
      </c>
      <c r="N40" s="174">
        <f t="shared" si="7"/>
        <v>46455371.942000002</v>
      </c>
      <c r="O40" s="174">
        <f t="shared" si="7"/>
        <v>46669298.210000001</v>
      </c>
      <c r="P40" s="174">
        <f t="shared" si="7"/>
        <v>47234342.939999998</v>
      </c>
      <c r="Q40" s="174">
        <f t="shared" si="7"/>
        <v>47274132.93</v>
      </c>
      <c r="R40" s="175">
        <f t="shared" si="7"/>
        <v>49016728.520000003</v>
      </c>
      <c r="S40" s="284">
        <f t="shared" si="3"/>
        <v>558678968.5</v>
      </c>
      <c r="T40" s="285">
        <f t="shared" si="4"/>
        <v>13.347643551701101</v>
      </c>
      <c r="U40" s="270"/>
      <c r="W40" s="193"/>
    </row>
    <row r="41" spans="1:23">
      <c r="A41" s="145">
        <v>421</v>
      </c>
      <c r="B41" s="562" t="str">
        <f>+VLOOKUP($A41,Master!$D$30:$G$226,4,FALSE)</f>
        <v>Prava iz oblasti socijalne zaštite</v>
      </c>
      <c r="C41" s="563"/>
      <c r="D41" s="563"/>
      <c r="E41" s="563"/>
      <c r="F41" s="563"/>
      <c r="G41" s="153">
        <f>+INDEX(DataEx!$1:$1048576,MATCH('2020'!$A41,DataEx!$D:$D,0),MATCH('2020'!G$6,DataEx!$7:$7,0))</f>
        <v>6448137.3300000001</v>
      </c>
      <c r="H41" s="153">
        <f>+INDEX(DataEx!$1:$1048576,MATCH('2020'!$A41,DataEx!$D:$D,0),MATCH('2020'!H$6,DataEx!$7:$7,0))</f>
        <v>7174722.5199999996</v>
      </c>
      <c r="I41" s="153">
        <f>+INDEX(DataEx!$1:$1048576,MATCH('2020'!$A41,DataEx!$D:$D,0),MATCH('2020'!I$6,DataEx!$7:$7,0))</f>
        <v>6752335.3300000001</v>
      </c>
      <c r="J41" s="153">
        <f>+INDEX(DataEx!$1:$1048576,MATCH('2020'!$A41,DataEx!$D:$D,0),MATCH('2020'!J$6,DataEx!$7:$7,0))</f>
        <v>6378584.3399999999</v>
      </c>
      <c r="K41" s="153">
        <f>+INDEX(DataEx!$1:$1048576,MATCH('2020'!$A41,DataEx!$D:$D,0),MATCH('2020'!K$6,DataEx!$7:$7,0))</f>
        <v>5976072.2199999997</v>
      </c>
      <c r="L41" s="153">
        <f>+INDEX(DataEx!$1:$1048576,MATCH('2020'!$A41,DataEx!$D:$D,0),MATCH('2020'!L$6,DataEx!$7:$7,0))</f>
        <v>6185136.4800000004</v>
      </c>
      <c r="M41" s="153">
        <f>+INDEX(DataEx!$1:$1048576,MATCH('2020'!$A41,DataEx!$D:$D,0),MATCH('2020'!M$6,DataEx!$7:$7,0))</f>
        <v>6808115.7000000002</v>
      </c>
      <c r="N41" s="153">
        <f>+INDEX(DataEx!$1:$1048576,MATCH('2020'!$A41,DataEx!$D:$D,0),MATCH('2020'!N$6,DataEx!$7:$7,0))</f>
        <v>7119326.7800000003</v>
      </c>
      <c r="O41" s="153">
        <f>+INDEX(DataEx!$1:$1048576,MATCH('2020'!$A41,DataEx!$D:$D,0),MATCH('2020'!O$6,DataEx!$7:$7,0))</f>
        <v>6754872.6500000004</v>
      </c>
      <c r="P41" s="153">
        <f>+INDEX(DataEx!$1:$1048576,MATCH('2020'!$A41,DataEx!$D:$D,0),MATCH('2020'!P$6,DataEx!$7:$7,0))</f>
        <v>7095987.1799999997</v>
      </c>
      <c r="Q41" s="153">
        <f>+INDEX(DataEx!$1:$1048576,MATCH('2020'!$A41,DataEx!$D:$D,0),MATCH('2020'!Q$6,DataEx!$7:$7,0))</f>
        <v>7147001.1699999999</v>
      </c>
      <c r="R41" s="153">
        <f>+INDEX(DataEx!$1:$1048576,MATCH('2020'!$A41,DataEx!$D:$D,0),MATCH('2020'!R$6,DataEx!$7:$7,0))</f>
        <v>6638995.8600000003</v>
      </c>
      <c r="S41" s="270">
        <f t="shared" si="3"/>
        <v>80479287.560000002</v>
      </c>
      <c r="T41" s="283">
        <f t="shared" si="4"/>
        <v>1.9227658534021399</v>
      </c>
      <c r="U41" s="270"/>
    </row>
    <row r="42" spans="1:23">
      <c r="A42" s="145">
        <v>422</v>
      </c>
      <c r="B42" s="562" t="str">
        <f>+VLOOKUP($A42,Master!$D$30:$G$226,4,FALSE)</f>
        <v>Sredstva za tehnološke viškove</v>
      </c>
      <c r="C42" s="563"/>
      <c r="D42" s="563"/>
      <c r="E42" s="563"/>
      <c r="F42" s="563"/>
      <c r="G42" s="153">
        <f>+INDEX(DataEx!$1:$1048576,MATCH('2020'!$A42,DataEx!$D:$D,0),MATCH('2020'!G$6,DataEx!$7:$7,0))</f>
        <v>54255.6</v>
      </c>
      <c r="H42" s="153">
        <f>+INDEX(DataEx!$1:$1048576,MATCH('2020'!$A42,DataEx!$D:$D,0),MATCH('2020'!H$6,DataEx!$7:$7,0))</f>
        <v>1607182</v>
      </c>
      <c r="I42" s="153">
        <f>+INDEX(DataEx!$1:$1048576,MATCH('2020'!$A42,DataEx!$D:$D,0),MATCH('2020'!I$6,DataEx!$7:$7,0))</f>
        <v>1602703.45</v>
      </c>
      <c r="J42" s="153">
        <f>+INDEX(DataEx!$1:$1048576,MATCH('2020'!$A42,DataEx!$D:$D,0),MATCH('2020'!J$6,DataEx!$7:$7,0))</f>
        <v>1448885.74</v>
      </c>
      <c r="K42" s="153">
        <f>+INDEX(DataEx!$1:$1048576,MATCH('2020'!$A42,DataEx!$D:$D,0),MATCH('2020'!K$6,DataEx!$7:$7,0))</f>
        <v>1413828.93</v>
      </c>
      <c r="L42" s="153">
        <f>+INDEX(DataEx!$1:$1048576,MATCH('2020'!$A42,DataEx!$D:$D,0),MATCH('2020'!L$6,DataEx!$7:$7,0))</f>
        <v>1505135.2</v>
      </c>
      <c r="M42" s="153">
        <f>+INDEX(DataEx!$1:$1048576,MATCH('2020'!$A42,DataEx!$D:$D,0),MATCH('2020'!M$6,DataEx!$7:$7,0))</f>
        <v>1640040.42</v>
      </c>
      <c r="N42" s="153">
        <f>+INDEX(DataEx!$1:$1048576,MATCH('2020'!$A42,DataEx!$D:$D,0),MATCH('2020'!N$6,DataEx!$7:$7,0))</f>
        <v>1389249.83</v>
      </c>
      <c r="O42" s="153">
        <f>+INDEX(DataEx!$1:$1048576,MATCH('2020'!$A42,DataEx!$D:$D,0),MATCH('2020'!O$6,DataEx!$7:$7,0))</f>
        <v>2024466.79</v>
      </c>
      <c r="P42" s="153">
        <f>+INDEX(DataEx!$1:$1048576,MATCH('2020'!$A42,DataEx!$D:$D,0),MATCH('2020'!P$6,DataEx!$7:$7,0))</f>
        <v>2312719.52</v>
      </c>
      <c r="Q42" s="153">
        <f>+INDEX(DataEx!$1:$1048576,MATCH('2020'!$A42,DataEx!$D:$D,0),MATCH('2020'!Q$6,DataEx!$7:$7,0))</f>
        <v>1642662.15</v>
      </c>
      <c r="R42" s="153">
        <f>+INDEX(DataEx!$1:$1048576,MATCH('2020'!$A42,DataEx!$D:$D,0),MATCH('2020'!R$6,DataEx!$7:$7,0))</f>
        <v>3457352.97</v>
      </c>
      <c r="S42" s="270">
        <f t="shared" si="3"/>
        <v>20098482.600000001</v>
      </c>
      <c r="T42" s="283">
        <f t="shared" si="4"/>
        <v>0.48018163704128403</v>
      </c>
      <c r="U42" s="270"/>
    </row>
    <row r="43" spans="1:23">
      <c r="A43" s="145">
        <v>423</v>
      </c>
      <c r="B43" s="562" t="str">
        <f>+VLOOKUP($A43,Master!$D$30:$G$226,4,FALSE)</f>
        <v>Prava iz oblasti penzijskog i invalidskog osiguranja</v>
      </c>
      <c r="C43" s="563"/>
      <c r="D43" s="563"/>
      <c r="E43" s="563"/>
      <c r="F43" s="563"/>
      <c r="G43" s="153">
        <f>+INDEX(DataEx!$1:$1048576,MATCH('2020'!$A43,DataEx!$D:$D,0),MATCH('2020'!G$6,DataEx!$7:$7,0))</f>
        <v>35112783.004000001</v>
      </c>
      <c r="H43" s="153">
        <f>+INDEX(DataEx!$1:$1048576,MATCH('2020'!$A43,DataEx!$D:$D,0),MATCH('2020'!H$6,DataEx!$7:$7,0))</f>
        <v>36248365.684</v>
      </c>
      <c r="I43" s="153">
        <f>+INDEX(DataEx!$1:$1048576,MATCH('2020'!$A43,DataEx!$D:$D,0),MATCH('2020'!I$6,DataEx!$7:$7,0))</f>
        <v>35757596.434</v>
      </c>
      <c r="J43" s="153">
        <f>+INDEX(DataEx!$1:$1048576,MATCH('2020'!$A43,DataEx!$D:$D,0),MATCH('2020'!J$6,DataEx!$7:$7,0))</f>
        <v>35574785.513999999</v>
      </c>
      <c r="K43" s="153">
        <f>+INDEX(DataEx!$1:$1048576,MATCH('2020'!$A43,DataEx!$D:$D,0),MATCH('2020'!K$6,DataEx!$7:$7,0))</f>
        <v>35560412.794</v>
      </c>
      <c r="L43" s="153">
        <f>+INDEX(DataEx!$1:$1048576,MATCH('2020'!$A43,DataEx!$D:$D,0),MATCH('2020'!L$6,DataEx!$7:$7,0))</f>
        <v>35558037.473999999</v>
      </c>
      <c r="M43" s="153">
        <f>+INDEX(DataEx!$1:$1048576,MATCH('2020'!$A43,DataEx!$D:$D,0),MATCH('2020'!M$6,DataEx!$7:$7,0))</f>
        <v>35634994.473999999</v>
      </c>
      <c r="N43" s="153">
        <f>+INDEX(DataEx!$1:$1048576,MATCH('2020'!$A43,DataEx!$D:$D,0),MATCH('2020'!N$6,DataEx!$7:$7,0))</f>
        <v>35402272.042000003</v>
      </c>
      <c r="O43" s="153">
        <f>+INDEX(DataEx!$1:$1048576,MATCH('2020'!$A43,DataEx!$D:$D,0),MATCH('2020'!O$6,DataEx!$7:$7,0))</f>
        <v>35665529.619999997</v>
      </c>
      <c r="P43" s="153">
        <f>+INDEX(DataEx!$1:$1048576,MATCH('2020'!$A43,DataEx!$D:$D,0),MATCH('2020'!P$6,DataEx!$7:$7,0))</f>
        <v>35477154.850000001</v>
      </c>
      <c r="Q43" s="153">
        <f>+INDEX(DataEx!$1:$1048576,MATCH('2020'!$A43,DataEx!$D:$D,0),MATCH('2020'!Q$6,DataEx!$7:$7,0))</f>
        <v>36217355.229999997</v>
      </c>
      <c r="R43" s="153">
        <f>+INDEX(DataEx!$1:$1048576,MATCH('2020'!$A43,DataEx!$D:$D,0),MATCH('2020'!R$6,DataEx!$7:$7,0))</f>
        <v>35862298.759999998</v>
      </c>
      <c r="S43" s="270">
        <f t="shared" si="3"/>
        <v>428071585.88</v>
      </c>
      <c r="T43" s="283">
        <f t="shared" si="4"/>
        <v>10.227245457759899</v>
      </c>
      <c r="U43" s="270"/>
    </row>
    <row r="44" spans="1:23">
      <c r="A44" s="145">
        <v>424</v>
      </c>
      <c r="B44" s="562" t="str">
        <f>+VLOOKUP($A44,Master!$D$30:$G$226,4,FALSE)</f>
        <v>Ostala prava iz oblasti zdravstvene zaštite</v>
      </c>
      <c r="C44" s="563"/>
      <c r="D44" s="563"/>
      <c r="E44" s="563"/>
      <c r="F44" s="563"/>
      <c r="G44" s="153">
        <f>+INDEX(DataEx!$1:$1048576,MATCH('2020'!$A44,DataEx!$D:$D,0),MATCH('2020'!G$6,DataEx!$7:$7,0))</f>
        <v>1621388.9</v>
      </c>
      <c r="H44" s="153">
        <f>+INDEX(DataEx!$1:$1048576,MATCH('2020'!$A44,DataEx!$D:$D,0),MATCH('2020'!H$6,DataEx!$7:$7,0))</f>
        <v>1831428.58</v>
      </c>
      <c r="I44" s="153">
        <f>+INDEX(DataEx!$1:$1048576,MATCH('2020'!$A44,DataEx!$D:$D,0),MATCH('2020'!I$6,DataEx!$7:$7,0))</f>
        <v>1595368.45</v>
      </c>
      <c r="J44" s="153">
        <f>+INDEX(DataEx!$1:$1048576,MATCH('2020'!$A44,DataEx!$D:$D,0),MATCH('2020'!J$6,DataEx!$7:$7,0))</f>
        <v>2107330.88</v>
      </c>
      <c r="K44" s="153">
        <f>+INDEX(DataEx!$1:$1048576,MATCH('2020'!$A44,DataEx!$D:$D,0),MATCH('2020'!K$6,DataEx!$7:$7,0))</f>
        <v>1443795.73</v>
      </c>
      <c r="L44" s="153">
        <f>+INDEX(DataEx!$1:$1048576,MATCH('2020'!$A44,DataEx!$D:$D,0),MATCH('2020'!L$6,DataEx!$7:$7,0))</f>
        <v>1963797.13</v>
      </c>
      <c r="M44" s="153">
        <f>+INDEX(DataEx!$1:$1048576,MATCH('2020'!$A44,DataEx!$D:$D,0),MATCH('2020'!M$6,DataEx!$7:$7,0))</f>
        <v>1500985.15</v>
      </c>
      <c r="N44" s="153">
        <f>+INDEX(DataEx!$1:$1048576,MATCH('2020'!$A44,DataEx!$D:$D,0),MATCH('2020'!N$6,DataEx!$7:$7,0))</f>
        <v>1699336.28</v>
      </c>
      <c r="O44" s="153">
        <f>+INDEX(DataEx!$1:$1048576,MATCH('2020'!$A44,DataEx!$D:$D,0),MATCH('2020'!O$6,DataEx!$7:$7,0))</f>
        <v>1504557.8</v>
      </c>
      <c r="P44" s="153">
        <f>+INDEX(DataEx!$1:$1048576,MATCH('2020'!$A44,DataEx!$D:$D,0),MATCH('2020'!P$6,DataEx!$7:$7,0))</f>
        <v>1553753.79</v>
      </c>
      <c r="Q44" s="153">
        <f>+INDEX(DataEx!$1:$1048576,MATCH('2020'!$A44,DataEx!$D:$D,0),MATCH('2020'!Q$6,DataEx!$7:$7,0))</f>
        <v>1478440.88</v>
      </c>
      <c r="R44" s="153">
        <f>+INDEX(DataEx!$1:$1048576,MATCH('2020'!$A44,DataEx!$D:$D,0),MATCH('2020'!R$6,DataEx!$7:$7,0))</f>
        <v>1921204.43</v>
      </c>
      <c r="S44" s="270">
        <f t="shared" si="3"/>
        <v>20221388</v>
      </c>
      <c r="T44" s="283">
        <f t="shared" si="4"/>
        <v>0.48311802370030599</v>
      </c>
      <c r="U44" s="270"/>
    </row>
    <row r="45" spans="1:23" s="267" customFormat="1">
      <c r="A45" s="272">
        <v>425</v>
      </c>
      <c r="B45" s="602" t="str">
        <f>+VLOOKUP($A45,Master!$D$30:$G$226,4,FALSE)</f>
        <v>Ostala prava iz zdravstvenog osiguranja</v>
      </c>
      <c r="C45" s="603"/>
      <c r="D45" s="603"/>
      <c r="E45" s="603"/>
      <c r="F45" s="603"/>
      <c r="G45" s="153">
        <f>+INDEX(DataEx!$1:$1048576,MATCH('2020'!$A45,DataEx!$D:$D,0),MATCH('2020'!G$6,DataEx!$7:$7,0))</f>
        <v>745429.25</v>
      </c>
      <c r="H45" s="153">
        <f>+INDEX(DataEx!$1:$1048576,MATCH('2020'!$A45,DataEx!$D:$D,0),MATCH('2020'!H$6,DataEx!$7:$7,0))</f>
        <v>838710.44</v>
      </c>
      <c r="I45" s="153">
        <f>+INDEX(DataEx!$1:$1048576,MATCH('2020'!$A45,DataEx!$D:$D,0),MATCH('2020'!I$6,DataEx!$7:$7,0))</f>
        <v>906787.09</v>
      </c>
      <c r="J45" s="153">
        <f>+INDEX(DataEx!$1:$1048576,MATCH('2020'!$A45,DataEx!$D:$D,0),MATCH('2020'!J$6,DataEx!$7:$7,0))</f>
        <v>680647.83</v>
      </c>
      <c r="K45" s="153">
        <f>+INDEX(DataEx!$1:$1048576,MATCH('2020'!$A45,DataEx!$D:$D,0),MATCH('2020'!K$6,DataEx!$7:$7,0))</f>
        <v>705326.14</v>
      </c>
      <c r="L45" s="153">
        <f>+INDEX(DataEx!$1:$1048576,MATCH('2020'!$A45,DataEx!$D:$D,0),MATCH('2020'!L$6,DataEx!$7:$7,0))</f>
        <v>681524.78</v>
      </c>
      <c r="M45" s="153">
        <f>+INDEX(DataEx!$1:$1048576,MATCH('2020'!$A45,DataEx!$D:$D,0),MATCH('2020'!M$6,DataEx!$7:$7,0))</f>
        <v>964462.97</v>
      </c>
      <c r="N45" s="153">
        <f>+INDEX(DataEx!$1:$1048576,MATCH('2020'!$A45,DataEx!$D:$D,0),MATCH('2020'!N$6,DataEx!$7:$7,0))</f>
        <v>845187.01</v>
      </c>
      <c r="O45" s="153">
        <f>+INDEX(DataEx!$1:$1048576,MATCH('2020'!$A45,DataEx!$D:$D,0),MATCH('2020'!O$6,DataEx!$7:$7,0))</f>
        <v>719871.35</v>
      </c>
      <c r="P45" s="153">
        <f>+INDEX(DataEx!$1:$1048576,MATCH('2020'!$A45,DataEx!$D:$D,0),MATCH('2020'!P$6,DataEx!$7:$7,0))</f>
        <v>794727.6</v>
      </c>
      <c r="Q45" s="153">
        <f>+INDEX(DataEx!$1:$1048576,MATCH('2020'!$A45,DataEx!$D:$D,0),MATCH('2020'!Q$6,DataEx!$7:$7,0))</f>
        <v>788673.5</v>
      </c>
      <c r="R45" s="153">
        <f>+INDEX(DataEx!$1:$1048576,MATCH('2020'!$A45,DataEx!$D:$D,0),MATCH('2020'!R$6,DataEx!$7:$7,0))</f>
        <v>1136876.5</v>
      </c>
      <c r="S45" s="270">
        <f t="shared" si="3"/>
        <v>9808224.4600000009</v>
      </c>
      <c r="T45" s="283">
        <f t="shared" si="4"/>
        <v>0.23433257979740099</v>
      </c>
      <c r="U45" s="270"/>
    </row>
    <row r="46" spans="1:23">
      <c r="A46" s="145">
        <v>43</v>
      </c>
      <c r="B46" s="580" t="str">
        <f>+VLOOKUP($A46,Master!$D$30:$G$226,4,FALSE)</f>
        <v>Transferi institucijama, pojedincima, nevladinom i javnom sektoru</v>
      </c>
      <c r="C46" s="581"/>
      <c r="D46" s="581"/>
      <c r="E46" s="581"/>
      <c r="F46" s="581"/>
      <c r="G46" s="159">
        <f>+INDEX(DataEx!$1:$1048576,MATCH('2020'!$A46,DataEx!$D:$D,0),MATCH('2020'!G$6,DataEx!$7:$7,0))</f>
        <v>23631566.68</v>
      </c>
      <c r="H46" s="159">
        <f>+INDEX(DataEx!$1:$1048576,MATCH('2020'!$A46,DataEx!$D:$D,0),MATCH('2020'!H$6,DataEx!$7:$7,0))</f>
        <v>23904975.98</v>
      </c>
      <c r="I46" s="159">
        <f>+INDEX(DataEx!$1:$1048576,MATCH('2020'!$A46,DataEx!$D:$D,0),MATCH('2020'!I$6,DataEx!$7:$7,0))</f>
        <v>31910693.890000001</v>
      </c>
      <c r="J46" s="159">
        <f>+INDEX(DataEx!$1:$1048576,MATCH('2020'!$A46,DataEx!$D:$D,0),MATCH('2020'!J$6,DataEx!$7:$7,0))</f>
        <v>17323075.199999999</v>
      </c>
      <c r="K46" s="159">
        <f>+INDEX(DataEx!$1:$1048576,MATCH('2020'!$A46,DataEx!$D:$D,0),MATCH('2020'!K$6,DataEx!$7:$7,0))</f>
        <v>15552980.33</v>
      </c>
      <c r="L46" s="159">
        <f>+INDEX(DataEx!$1:$1048576,MATCH('2020'!$A46,DataEx!$D:$D,0),MATCH('2020'!L$6,DataEx!$7:$7,0))</f>
        <v>18901990.300000001</v>
      </c>
      <c r="M46" s="159">
        <f>+INDEX(DataEx!$1:$1048576,MATCH('2020'!$A46,DataEx!$D:$D,0),MATCH('2020'!M$6,DataEx!$7:$7,0))</f>
        <v>35655547.57</v>
      </c>
      <c r="N46" s="159">
        <f>+INDEX(DataEx!$1:$1048576,MATCH('2020'!$A46,DataEx!$D:$D,0),MATCH('2020'!N$6,DataEx!$7:$7,0))</f>
        <v>21486991.629999999</v>
      </c>
      <c r="O46" s="159">
        <f>+INDEX(DataEx!$1:$1048576,MATCH('2020'!$A46,DataEx!$D:$D,0),MATCH('2020'!O$6,DataEx!$7:$7,0))</f>
        <v>29910249.559999999</v>
      </c>
      <c r="P46" s="159">
        <f>+INDEX(DataEx!$1:$1048576,MATCH('2020'!$A46,DataEx!$D:$D,0),MATCH('2020'!P$6,DataEx!$7:$7,0))</f>
        <v>21288409.039999999</v>
      </c>
      <c r="Q46" s="159">
        <f>+INDEX(DataEx!$1:$1048576,MATCH('2020'!$A46,DataEx!$D:$D,0),MATCH('2020'!Q$6,DataEx!$7:$7,0))</f>
        <v>17496982.879999999</v>
      </c>
      <c r="R46" s="160">
        <f>+INDEX(DataEx!$1:$1048576,MATCH('2020'!$A46,DataEx!$D:$D,0),MATCH('2020'!R$6,DataEx!$7:$7,0))</f>
        <v>24185439.440000001</v>
      </c>
      <c r="S46" s="284">
        <f t="shared" si="3"/>
        <v>281248902.5</v>
      </c>
      <c r="T46" s="285">
        <f t="shared" si="4"/>
        <v>6.7194405222668196</v>
      </c>
      <c r="U46" s="270"/>
    </row>
    <row r="47" spans="1:23">
      <c r="A47" s="145">
        <v>44</v>
      </c>
      <c r="B47" s="580" t="str">
        <f>+VLOOKUP($A47,Master!$D$30:$G$226,4,FALSE)</f>
        <v>Kapitalni izdaci</v>
      </c>
      <c r="C47" s="581"/>
      <c r="D47" s="581"/>
      <c r="E47" s="581"/>
      <c r="F47" s="581"/>
      <c r="G47" s="159">
        <f>+INDEX(DataEx!$1:$1048576,MATCH('2020'!$A47,DataEx!$D:$D,0),MATCH('2020'!G$6,DataEx!$7:$7,0))</f>
        <v>4152678.95</v>
      </c>
      <c r="H47" s="159">
        <f>+INDEX(DataEx!$1:$1048576,MATCH('2020'!$A47,DataEx!$D:$D,0),MATCH('2020'!H$6,DataEx!$7:$7,0))</f>
        <v>8910217.8200000003</v>
      </c>
      <c r="I47" s="159">
        <f>+INDEX(DataEx!$1:$1048576,MATCH('2020'!$A47,DataEx!$D:$D,0),MATCH('2020'!I$6,DataEx!$7:$7,0))</f>
        <v>13037958.210000001</v>
      </c>
      <c r="J47" s="159">
        <f>+INDEX(DataEx!$1:$1048576,MATCH('2020'!$A47,DataEx!$D:$D,0),MATCH('2020'!J$6,DataEx!$7:$7,0))</f>
        <v>17935572.800000001</v>
      </c>
      <c r="K47" s="159">
        <f>+INDEX(DataEx!$1:$1048576,MATCH('2020'!$A47,DataEx!$D:$D,0),MATCH('2020'!K$6,DataEx!$7:$7,0))</f>
        <v>15871730.18</v>
      </c>
      <c r="L47" s="159">
        <f>+INDEX(DataEx!$1:$1048576,MATCH('2020'!$A47,DataEx!$D:$D,0),MATCH('2020'!L$6,DataEx!$7:$7,0))</f>
        <v>24497607.260000002</v>
      </c>
      <c r="M47" s="159">
        <f>+INDEX(DataEx!$1:$1048576,MATCH('2020'!$A47,DataEx!$D:$D,0),MATCH('2020'!M$6,DataEx!$7:$7,0))</f>
        <v>24763301.23</v>
      </c>
      <c r="N47" s="159">
        <f>+INDEX(DataEx!$1:$1048576,MATCH('2020'!$A47,DataEx!$D:$D,0),MATCH('2020'!N$6,DataEx!$7:$7,0))</f>
        <v>20481740.649999999</v>
      </c>
      <c r="O47" s="159">
        <f>+INDEX(DataEx!$1:$1048576,MATCH('2020'!$A47,DataEx!$D:$D,0),MATCH('2020'!O$6,DataEx!$7:$7,0))</f>
        <v>19123751.109999999</v>
      </c>
      <c r="P47" s="159">
        <f>+INDEX(DataEx!$1:$1048576,MATCH('2020'!$A47,DataEx!$D:$D,0),MATCH('2020'!P$6,DataEx!$7:$7,0))</f>
        <v>28780272.41</v>
      </c>
      <c r="Q47" s="159">
        <f>+INDEX(DataEx!$1:$1048576,MATCH('2020'!$A47,DataEx!$D:$D,0),MATCH('2020'!Q$6,DataEx!$7:$7,0))</f>
        <v>19501124.399999999</v>
      </c>
      <c r="R47" s="159">
        <f>+INDEX(DataEx!$1:$1048576,MATCH('2020'!$A47,DataEx!$D:$D,0),MATCH('2020'!R$6,DataEx!$7:$7,0))</f>
        <v>32880958.649999999</v>
      </c>
      <c r="S47" s="284">
        <f t="shared" si="3"/>
        <v>229936913.66999999</v>
      </c>
      <c r="T47" s="285">
        <f t="shared" si="4"/>
        <v>5.4935233579415099</v>
      </c>
      <c r="U47" s="270"/>
    </row>
    <row r="48" spans="1:23">
      <c r="A48" s="145">
        <v>451</v>
      </c>
      <c r="B48" s="604" t="str">
        <f>+VLOOKUP($A48,Master!$D$30:$G$226,4,FALSE)</f>
        <v>Pozajmice i krediti</v>
      </c>
      <c r="C48" s="605"/>
      <c r="D48" s="605"/>
      <c r="E48" s="605"/>
      <c r="F48" s="605"/>
      <c r="G48" s="153">
        <f>DataEx!FR169</f>
        <v>0</v>
      </c>
      <c r="H48" s="153">
        <f>DataEx!FS169</f>
        <v>277634</v>
      </c>
      <c r="I48" s="153">
        <f>DataEx!FT169</f>
        <v>0</v>
      </c>
      <c r="J48" s="153">
        <f>DataEx!FU169</f>
        <v>268014</v>
      </c>
      <c r="K48" s="153">
        <f>DataEx!FV169</f>
        <v>5000</v>
      </c>
      <c r="L48" s="153">
        <f>DataEx!FW169</f>
        <v>269846</v>
      </c>
      <c r="M48" s="153">
        <f>DataEx!FX169</f>
        <v>97</v>
      </c>
      <c r="N48" s="153">
        <f>DataEx!FY169</f>
        <v>10000</v>
      </c>
      <c r="O48" s="153">
        <f>DataEx!FZ169</f>
        <v>322072</v>
      </c>
      <c r="P48" s="153">
        <f>DataEx!GA169</f>
        <v>280082</v>
      </c>
      <c r="Q48" s="153">
        <f>DataEx!GB169</f>
        <v>0</v>
      </c>
      <c r="R48" s="153">
        <f>DataEx!GC169</f>
        <v>178722</v>
      </c>
      <c r="S48" s="270">
        <f t="shared" si="3"/>
        <v>1611467</v>
      </c>
      <c r="T48" s="283">
        <f t="shared" si="4"/>
        <v>3.8500262805810398E-2</v>
      </c>
      <c r="U48" s="270"/>
    </row>
    <row r="49" spans="1:22" s="267" customFormat="1">
      <c r="A49" s="272">
        <v>47</v>
      </c>
      <c r="B49" s="606" t="str">
        <f>+VLOOKUP($A49,Master!$D$30:$G$226,4,FALSE)</f>
        <v>Rezerve</v>
      </c>
      <c r="C49" s="607"/>
      <c r="D49" s="607"/>
      <c r="E49" s="607"/>
      <c r="F49" s="607"/>
      <c r="G49" s="153">
        <f>+INDEX(DataEx!$1:$1048576,MATCH('2020'!$A49,DataEx!$D:$D,0),MATCH('2020'!G$6,DataEx!$7:$7,0))</f>
        <v>1941194</v>
      </c>
      <c r="H49" s="153">
        <f>+INDEX(DataEx!$1:$1048576,MATCH('2020'!$A49,DataEx!$D:$D,0),MATCH('2020'!H$6,DataEx!$7:$7,0))</f>
        <v>720000</v>
      </c>
      <c r="I49" s="153">
        <f>+INDEX(DataEx!$1:$1048576,MATCH('2020'!$A49,DataEx!$D:$D,0),MATCH('2020'!I$6,DataEx!$7:$7,0))</f>
        <v>117020</v>
      </c>
      <c r="J49" s="176">
        <f>+INDEX(DataEx!$1:$1048576,MATCH('2020'!$A49,DataEx!$D:$D,0),MATCH('2020'!J$6,DataEx!$7:$7,0))</f>
        <v>3138464.05</v>
      </c>
      <c r="K49" s="153">
        <f>+INDEX(DataEx!$1:$1048576,MATCH('2020'!$A49,DataEx!$D:$D,0),MATCH('2020'!K$6,DataEx!$7:$7,0))</f>
        <v>16941995.850000001</v>
      </c>
      <c r="L49" s="153">
        <f>+INDEX(DataEx!$1:$1048576,MATCH('2020'!$A49,DataEx!$D:$D,0),MATCH('2020'!L$6,DataEx!$7:$7,0))</f>
        <v>18264699.84</v>
      </c>
      <c r="M49" s="153">
        <f>+INDEX(DataEx!$1:$1048576,MATCH('2020'!$A49,DataEx!$D:$D,0),MATCH('2020'!M$6,DataEx!$7:$7,0))</f>
        <v>10247185.029999999</v>
      </c>
      <c r="N49" s="153">
        <f>+INDEX(DataEx!$1:$1048576,MATCH('2020'!$A49,DataEx!$D:$D,0),MATCH('2020'!N$6,DataEx!$7:$7,0))</f>
        <v>34716650.759999998</v>
      </c>
      <c r="O49" s="153">
        <f>+INDEX(DataEx!$1:$1048576,MATCH('2020'!$A49,DataEx!$D:$D,0),MATCH('2020'!O$6,DataEx!$7:$7,0))</f>
        <v>5007344.8</v>
      </c>
      <c r="P49" s="153">
        <f>+INDEX(DataEx!$1:$1048576,MATCH('2020'!$A49,DataEx!$D:$D,0),MATCH('2020'!P$6,DataEx!$7:$7,0))</f>
        <v>9782266.6999999993</v>
      </c>
      <c r="Q49" s="153">
        <f>+INDEX(DataEx!$1:$1048576,MATCH('2020'!$A49,DataEx!$D:$D,0),MATCH('2020'!Q$6,DataEx!$7:$7,0))</f>
        <v>6000238.46</v>
      </c>
      <c r="R49" s="176">
        <f>+INDEX(DataEx!$1:$1048576,MATCH('2020'!$A49,DataEx!$D:$D,0),MATCH('2020'!R$6,DataEx!$7:$7,0))</f>
        <v>9536649.7100000009</v>
      </c>
      <c r="S49" s="270">
        <f t="shared" si="3"/>
        <v>116413709.2</v>
      </c>
      <c r="T49" s="283">
        <f t="shared" si="4"/>
        <v>2.7812908352446502</v>
      </c>
      <c r="U49" s="270"/>
    </row>
    <row r="50" spans="1:22">
      <c r="A50" s="145">
        <v>462</v>
      </c>
      <c r="B50" s="578" t="str">
        <f>+VLOOKUP($A50,Master!$D$30:$G$226,4,FALSE)</f>
        <v>Otplata garancija</v>
      </c>
      <c r="C50" s="579"/>
      <c r="D50" s="579"/>
      <c r="E50" s="579"/>
      <c r="F50" s="579"/>
      <c r="G50" s="180">
        <f>+INDEX(DataEx!$1:$1048576,MATCH('2020'!$A50,DataEx!$D:$D,0),MATCH('2020'!G$6,DataEx!$7:$7,0))</f>
        <v>0</v>
      </c>
      <c r="H50" s="180">
        <f>+INDEX(DataEx!$1:$1048576,MATCH('2020'!$A50,DataEx!$D:$D,0),MATCH('2020'!H$6,DataEx!$7:$7,0))</f>
        <v>0</v>
      </c>
      <c r="I50" s="180">
        <f>+INDEX(DataEx!$1:$1048576,MATCH('2020'!$A50,DataEx!$D:$D,0),MATCH('2020'!I$6,DataEx!$7:$7,0))</f>
        <v>0</v>
      </c>
      <c r="J50" s="180">
        <f>+INDEX(DataEx!$1:$1048576,MATCH('2020'!$A50,DataEx!$D:$D,0),MATCH('2020'!J$6,DataEx!$7:$7,0))</f>
        <v>0</v>
      </c>
      <c r="K50" s="180">
        <f>+INDEX(DataEx!$1:$1048576,MATCH('2020'!$A50,DataEx!$D:$D,0),MATCH('2020'!K$6,DataEx!$7:$7,0))</f>
        <v>0</v>
      </c>
      <c r="L50" s="180">
        <f>+INDEX(DataEx!$1:$1048576,MATCH('2020'!$A50,DataEx!$D:$D,0),MATCH('2020'!L$6,DataEx!$7:$7,0))</f>
        <v>0</v>
      </c>
      <c r="M50" s="180">
        <f>+INDEX(DataEx!$1:$1048576,MATCH('2020'!$A50,DataEx!$D:$D,0),MATCH('2020'!M$6,DataEx!$7:$7,0))</f>
        <v>0</v>
      </c>
      <c r="N50" s="180">
        <f>+INDEX(DataEx!$1:$1048576,MATCH('2020'!$A50,DataEx!$D:$D,0),MATCH('2020'!N$6,DataEx!$7:$7,0))</f>
        <v>0</v>
      </c>
      <c r="O50" s="180">
        <f>+INDEX(DataEx!$1:$1048576,MATCH('2020'!$A50,DataEx!$D:$D,0),MATCH('2020'!O$6,DataEx!$7:$7,0))</f>
        <v>0</v>
      </c>
      <c r="P50" s="180">
        <f>+INDEX(DataEx!$1:$1048576,MATCH('2020'!$A50,DataEx!$D:$D,0),MATCH('2020'!P$6,DataEx!$7:$7,0))</f>
        <v>0</v>
      </c>
      <c r="Q50" s="180">
        <f>+INDEX(DataEx!$1:$1048576,MATCH('2020'!$A50,DataEx!$D:$D,0),MATCH('2020'!Q$6,DataEx!$7:$7,0))</f>
        <v>0</v>
      </c>
      <c r="R50" s="180">
        <f>+INDEX(DataEx!$1:$1048576,MATCH('2020'!$A50,DataEx!$D:$D,0),MATCH('2020'!R$6,DataEx!$7:$7,0))</f>
        <v>0</v>
      </c>
      <c r="S50" s="270">
        <f t="shared" si="3"/>
        <v>0</v>
      </c>
      <c r="T50" s="283">
        <f t="shared" si="4"/>
        <v>0</v>
      </c>
      <c r="U50" s="270"/>
      <c r="V50" s="171"/>
    </row>
    <row r="51" spans="1:22">
      <c r="A51" s="136">
        <v>4630</v>
      </c>
      <c r="B51" s="608" t="str">
        <f>+VLOOKUP($A51,Master!$D$30:$G$226,4,TRUE)</f>
        <v>Otplata obaveza iz prethodnog perioda</v>
      </c>
      <c r="C51" s="609"/>
      <c r="D51" s="609"/>
      <c r="E51" s="609"/>
      <c r="F51" s="609"/>
      <c r="G51" s="180">
        <f>+INDEX(DataEx!$1:$1048576,MATCH('2020'!$A51,DataEx!$D:$D,0),MATCH('2020'!G$6,DataEx!$7:$7,0))</f>
        <v>1234088.2</v>
      </c>
      <c r="H51" s="180">
        <f>+INDEX(DataEx!$1:$1048576,MATCH('2020'!$A51,DataEx!$D:$D,0),MATCH('2020'!H$6,DataEx!$7:$7,0))</f>
        <v>1922034.51</v>
      </c>
      <c r="I51" s="180">
        <f>+INDEX(DataEx!$1:$1048576,MATCH('2020'!$A51,DataEx!$D:$D,0),MATCH('2020'!I$6,DataEx!$7:$7,0))</f>
        <v>1360035.97</v>
      </c>
      <c r="J51" s="180">
        <f>+INDEX(DataEx!$1:$1048576,MATCH('2020'!$A51,DataEx!$D:$D,0),MATCH('2020'!J$6,DataEx!$7:$7,0))</f>
        <v>1039845.76</v>
      </c>
      <c r="K51" s="180">
        <f>+INDEX(DataEx!$1:$1048576,MATCH('2020'!$A51,DataEx!$D:$D,0),MATCH('2020'!K$6,DataEx!$7:$7,0))</f>
        <v>1116425.95</v>
      </c>
      <c r="L51" s="180">
        <f>+INDEX(DataEx!$1:$1048576,MATCH('2020'!$A51,DataEx!$D:$D,0),MATCH('2020'!L$6,DataEx!$7:$7,0))</f>
        <v>2100790.54</v>
      </c>
      <c r="M51" s="180">
        <f>+INDEX(DataEx!$1:$1048576,MATCH('2020'!$A51,DataEx!$D:$D,0),MATCH('2020'!M$6,DataEx!$7:$7,0))</f>
        <v>2646429.7400000002</v>
      </c>
      <c r="N51" s="180">
        <f>+INDEX(DataEx!$1:$1048576,MATCH('2020'!$A51,DataEx!$D:$D,0),MATCH('2020'!N$6,DataEx!$7:$7,0))</f>
        <v>837443.38</v>
      </c>
      <c r="O51" s="180">
        <f>+INDEX(DataEx!$1:$1048576,MATCH('2020'!$A51,DataEx!$D:$D,0),MATCH('2020'!O$6,DataEx!$7:$7,0))</f>
        <v>764871</v>
      </c>
      <c r="P51" s="180">
        <f>+INDEX(DataEx!$1:$1048576,MATCH('2020'!$A51,DataEx!$D:$D,0),MATCH('2020'!P$6,DataEx!$7:$7,0))</f>
        <v>783371.07</v>
      </c>
      <c r="Q51" s="180">
        <f>+INDEX(DataEx!$1:$1048576,MATCH('2020'!$A51,DataEx!$D:$D,0),MATCH('2020'!Q$6,DataEx!$7:$7,0))</f>
        <v>1847365.97</v>
      </c>
      <c r="R51" s="180">
        <f>+INDEX(DataEx!$1:$1048576,MATCH('2020'!$A51,DataEx!$D:$D,0),MATCH('2020'!R$6,DataEx!$7:$7,0))</f>
        <v>3122782.61</v>
      </c>
      <c r="S51" s="290">
        <f t="shared" si="3"/>
        <v>18775484.699999999</v>
      </c>
      <c r="T51" s="291">
        <f t="shared" si="4"/>
        <v>0.44857331565366998</v>
      </c>
      <c r="U51" s="270"/>
    </row>
    <row r="52" spans="1:22">
      <c r="A52" s="128">
        <v>1005</v>
      </c>
      <c r="B52" s="610" t="str">
        <f>+VLOOKUP($A52,Master!$D$30:$G$228,4,FALSE)</f>
        <v>Neto povećanje obaveza</v>
      </c>
      <c r="C52" s="611"/>
      <c r="D52" s="611"/>
      <c r="E52" s="611"/>
      <c r="F52" s="611"/>
      <c r="G52" s="183">
        <f>+INDEX(DataEx!$1:$1048576,MATCH('2020'!$A52,DataEx!$D:$D,0),MATCH('2020'!G$6,DataEx!$7:$7,0))</f>
        <v>0</v>
      </c>
      <c r="H52" s="183">
        <f>+INDEX(DataEx!$1:$1048576,MATCH('2020'!$A52,DataEx!$D:$D,0),MATCH('2020'!H$6,DataEx!$7:$7,0))</f>
        <v>0</v>
      </c>
      <c r="I52" s="183">
        <f>+INDEX(DataEx!$1:$1048576,MATCH('2020'!$A52,DataEx!$D:$D,0),MATCH('2020'!I$6,DataEx!$7:$7,0))</f>
        <v>0</v>
      </c>
      <c r="J52" s="176">
        <f>+INDEX(DataEx!$1:$1048576,MATCH('2020'!$A52,DataEx!$D:$D,0),MATCH('2020'!J$6,DataEx!$7:$7,0))</f>
        <v>0</v>
      </c>
      <c r="K52" s="183">
        <f>+INDEX(DataEx!$1:$1048576,MATCH('2020'!$A52,DataEx!$D:$D,0),MATCH('2020'!K$6,DataEx!$7:$7,0))</f>
        <v>0</v>
      </c>
      <c r="L52" s="183">
        <f>+INDEX(DataEx!$1:$1048576,MATCH('2020'!$A52,DataEx!$D:$D,0),MATCH('2020'!L$6,DataEx!$7:$7,0))</f>
        <v>0</v>
      </c>
      <c r="M52" s="183">
        <f>+INDEX(DataEx!$1:$1048576,MATCH('2020'!$A52,DataEx!$D:$D,0),MATCH('2020'!M$6,DataEx!$7:$7,0))</f>
        <v>0</v>
      </c>
      <c r="N52" s="183">
        <f>+INDEX(DataEx!$1:$1048576,MATCH('2020'!$A52,DataEx!$D:$D,0),MATCH('2020'!N$6,DataEx!$7:$7,0))</f>
        <v>0</v>
      </c>
      <c r="O52" s="183">
        <f>+INDEX(DataEx!$1:$1048576,MATCH('2020'!$A52,DataEx!$D:$D,0),MATCH('2020'!O$6,DataEx!$7:$7,0))</f>
        <v>0</v>
      </c>
      <c r="P52" s="183">
        <f>+INDEX(DataEx!$1:$1048576,MATCH('2020'!$A52,DataEx!$D:$D,0),MATCH('2020'!P$6,DataEx!$7:$7,0))</f>
        <v>0</v>
      </c>
      <c r="Q52" s="183">
        <f>+INDEX(DataEx!$1:$1048576,MATCH('2020'!$A52,DataEx!$D:$D,0),MATCH('2020'!Q$6,DataEx!$7:$7,0))</f>
        <v>0</v>
      </c>
      <c r="R52" s="183">
        <f>+INDEX(DataEx!$1:$1048576,MATCH('2020'!$A52,DataEx!$D:$D,0),MATCH('2020'!R$6,DataEx!$7:$7,0))</f>
        <v>0</v>
      </c>
      <c r="S52" s="292">
        <f t="shared" si="3"/>
        <v>0</v>
      </c>
      <c r="T52" s="293">
        <f t="shared" si="4"/>
        <v>0</v>
      </c>
    </row>
    <row r="53" spans="1:22">
      <c r="A53" s="136">
        <v>1000</v>
      </c>
      <c r="B53" s="596" t="str">
        <f>+VLOOKUP($A53,Master!$D$30:$G$226,4,FALSE)</f>
        <v>Suficit / deficit</v>
      </c>
      <c r="C53" s="597"/>
      <c r="D53" s="597"/>
      <c r="E53" s="597"/>
      <c r="F53" s="597"/>
      <c r="G53" s="146">
        <f t="shared" ref="G53:R53" si="8">+G10-G29</f>
        <v>-34269579.494000003</v>
      </c>
      <c r="H53" s="146">
        <f t="shared" si="8"/>
        <v>-25860081.173999999</v>
      </c>
      <c r="I53" s="146">
        <f t="shared" si="8"/>
        <v>-17030912.634</v>
      </c>
      <c r="J53" s="146">
        <f t="shared" si="8"/>
        <v>-45463515.454000004</v>
      </c>
      <c r="K53" s="146">
        <f t="shared" si="8"/>
        <v>-44483361.424000002</v>
      </c>
      <c r="L53" s="146">
        <f t="shared" si="8"/>
        <v>-47248347.784000002</v>
      </c>
      <c r="M53" s="146">
        <f t="shared" si="8"/>
        <v>-56328945.373999998</v>
      </c>
      <c r="N53" s="146">
        <f t="shared" si="8"/>
        <v>-40609649.402000003</v>
      </c>
      <c r="O53" s="146">
        <f t="shared" si="8"/>
        <v>-21619884.920000002</v>
      </c>
      <c r="P53" s="146">
        <f t="shared" si="8"/>
        <v>-51076156.009999998</v>
      </c>
      <c r="Q53" s="146">
        <f t="shared" si="8"/>
        <v>-13262386.539999999</v>
      </c>
      <c r="R53" s="146">
        <f t="shared" si="8"/>
        <v>-28899450.579999998</v>
      </c>
      <c r="S53" s="294">
        <f t="shared" si="3"/>
        <v>-426152270.79000002</v>
      </c>
      <c r="T53" s="295">
        <f t="shared" si="4"/>
        <v>-10.181390261611201</v>
      </c>
    </row>
    <row r="54" spans="1:22">
      <c r="A54" s="136">
        <v>1001</v>
      </c>
      <c r="B54" s="598" t="str">
        <f>+VLOOKUP($A54,Master!$D$30:$G$226,4,FALSE)</f>
        <v>Primarni suficit/deficit</v>
      </c>
      <c r="C54" s="599"/>
      <c r="D54" s="599"/>
      <c r="E54" s="599"/>
      <c r="F54" s="599"/>
      <c r="G54" s="190">
        <f t="shared" ref="G54:R54" si="9">+G53+G36</f>
        <v>-26614734.103999998</v>
      </c>
      <c r="H54" s="190">
        <f t="shared" si="9"/>
        <v>-24020279.294</v>
      </c>
      <c r="I54" s="190">
        <f t="shared" si="9"/>
        <v>10445047.766000001</v>
      </c>
      <c r="J54" s="190">
        <f t="shared" si="9"/>
        <v>-22836376.844000001</v>
      </c>
      <c r="K54" s="190">
        <f t="shared" si="9"/>
        <v>-42826444.843999997</v>
      </c>
      <c r="L54" s="190">
        <f t="shared" si="9"/>
        <v>-41906610.333999999</v>
      </c>
      <c r="M54" s="190">
        <f t="shared" si="9"/>
        <v>-48552215.214000002</v>
      </c>
      <c r="N54" s="190">
        <f t="shared" si="9"/>
        <v>-38835818.222000003</v>
      </c>
      <c r="O54" s="190">
        <f t="shared" si="9"/>
        <v>-20067449.629999999</v>
      </c>
      <c r="P54" s="190">
        <f t="shared" si="9"/>
        <v>-36853139.640000001</v>
      </c>
      <c r="Q54" s="190">
        <f t="shared" si="9"/>
        <v>-3260483.6299999901</v>
      </c>
      <c r="R54" s="190">
        <f t="shared" si="9"/>
        <v>-19714858.449999999</v>
      </c>
      <c r="S54" s="294">
        <f t="shared" si="3"/>
        <v>-315043362.44</v>
      </c>
      <c r="T54" s="295">
        <f t="shared" si="4"/>
        <v>-7.5268387433103996</v>
      </c>
    </row>
    <row r="55" spans="1:22">
      <c r="A55" s="136">
        <v>46</v>
      </c>
      <c r="B55" s="612" t="str">
        <f>+VLOOKUP($A55,Master!$D$30:$G$226,4,FALSE)</f>
        <v>Otplata dugova</v>
      </c>
      <c r="C55" s="613"/>
      <c r="D55" s="613"/>
      <c r="E55" s="613"/>
      <c r="F55" s="613"/>
      <c r="G55" s="174">
        <f t="shared" ref="G55:R55" si="10">+SUM(G56:G57)</f>
        <v>24526193.280000001</v>
      </c>
      <c r="H55" s="174">
        <f t="shared" si="10"/>
        <v>65365822.75</v>
      </c>
      <c r="I55" s="174">
        <f t="shared" si="10"/>
        <v>332059497.63</v>
      </c>
      <c r="J55" s="159">
        <f t="shared" si="10"/>
        <v>17213530.07</v>
      </c>
      <c r="K55" s="174">
        <f t="shared" si="10"/>
        <v>11395595.050000001</v>
      </c>
      <c r="L55" s="174">
        <f t="shared" si="10"/>
        <v>12046882.029999999</v>
      </c>
      <c r="M55" s="174">
        <f t="shared" si="10"/>
        <v>16626649.35</v>
      </c>
      <c r="N55" s="174">
        <f t="shared" si="10"/>
        <v>34722559.57</v>
      </c>
      <c r="O55" s="174">
        <f t="shared" si="10"/>
        <v>9821065.5600000005</v>
      </c>
      <c r="P55" s="174">
        <f t="shared" si="10"/>
        <v>22451086.93</v>
      </c>
      <c r="Q55" s="174">
        <f t="shared" si="10"/>
        <v>89628953.269999996</v>
      </c>
      <c r="R55" s="174">
        <f t="shared" si="10"/>
        <v>29988194.140000001</v>
      </c>
      <c r="S55" s="296">
        <f t="shared" si="3"/>
        <v>665846029.63</v>
      </c>
      <c r="T55" s="297">
        <f t="shared" si="4"/>
        <v>15.908018674264101</v>
      </c>
      <c r="V55" s="193"/>
    </row>
    <row r="56" spans="1:22">
      <c r="A56" s="136">
        <v>4611</v>
      </c>
      <c r="B56" s="594" t="str">
        <f>+VLOOKUP($A56,Master!$D$30:$G$226,4,FALSE)</f>
        <v>Otplata hartija od vrijednosti i kredita rezidentima</v>
      </c>
      <c r="C56" s="595"/>
      <c r="D56" s="595"/>
      <c r="E56" s="595"/>
      <c r="F56" s="595"/>
      <c r="G56" s="176">
        <f>+INDEX(DataEx!$1:$1048576,MATCH('2020'!$A56,DataEx!$D:$D,0),MATCH('2020'!G$6,DataEx!$7:$7,0))</f>
        <v>23090399.57</v>
      </c>
      <c r="H56" s="176">
        <f>+INDEX(DataEx!$1:$1048576,MATCH('2020'!$A56,DataEx!$D:$D,0),MATCH('2020'!H$6,DataEx!$7:$7,0))</f>
        <v>54840868.399999999</v>
      </c>
      <c r="I56" s="176">
        <f>+INDEX(DataEx!$1:$1048576,MATCH('2020'!$A56,DataEx!$D:$D,0),MATCH('2020'!I$6,DataEx!$7:$7,0))</f>
        <v>1854849.15</v>
      </c>
      <c r="J56" s="176">
        <f>+INDEX(DataEx!$1:$1048576,MATCH('2020'!$A56,DataEx!$D:$D,0),MATCH('2020'!J$6,DataEx!$7:$7,0))</f>
        <v>1603895.49</v>
      </c>
      <c r="K56" s="176">
        <f>+INDEX(DataEx!$1:$1048576,MATCH('2020'!$A56,DataEx!$D:$D,0),MATCH('2020'!K$6,DataEx!$7:$7,0))</f>
        <v>1842278.41</v>
      </c>
      <c r="L56" s="176">
        <f>+INDEX(DataEx!$1:$1048576,MATCH('2020'!$A56,DataEx!$D:$D,0),MATCH('2020'!L$6,DataEx!$7:$7,0))</f>
        <v>2108350.36</v>
      </c>
      <c r="M56" s="176">
        <f>+INDEX(DataEx!$1:$1048576,MATCH('2020'!$A56,DataEx!$D:$D,0),MATCH('2020'!M$6,DataEx!$7:$7,0))</f>
        <v>14993230.529999999</v>
      </c>
      <c r="N56" s="176">
        <f>+INDEX(DataEx!$1:$1048576,MATCH('2020'!$A56,DataEx!$D:$D,0),MATCH('2020'!N$6,DataEx!$7:$7,0))</f>
        <v>23750000</v>
      </c>
      <c r="O56" s="176">
        <f>+INDEX(DataEx!$1:$1048576,MATCH('2020'!$A56,DataEx!$D:$D,0),MATCH('2020'!O$6,DataEx!$7:$7,0))</f>
        <v>1782512.05</v>
      </c>
      <c r="P56" s="176">
        <f>+INDEX(DataEx!$1:$1048576,MATCH('2020'!$A56,DataEx!$D:$D,0),MATCH('2020'!P$6,DataEx!$7:$7,0))</f>
        <v>18541765.760000002</v>
      </c>
      <c r="Q56" s="176">
        <f>+INDEX(DataEx!$1:$1048576,MATCH('2020'!$A56,DataEx!$D:$D,0),MATCH('2020'!Q$6,DataEx!$7:$7,0))</f>
        <v>81160000</v>
      </c>
      <c r="R56" s="176">
        <f>+INDEX(DataEx!$1:$1048576,MATCH('2020'!$A56,DataEx!$D:$D,0),MATCH('2020'!R$6,DataEx!$7:$7,0))</f>
        <v>18626065.969999999</v>
      </c>
      <c r="S56" s="298">
        <f t="shared" si="3"/>
        <v>244194215.69</v>
      </c>
      <c r="T56" s="299">
        <f t="shared" si="4"/>
        <v>5.8341507953459502</v>
      </c>
      <c r="V56" s="179"/>
    </row>
    <row r="57" spans="1:22">
      <c r="A57" s="136">
        <v>4612</v>
      </c>
      <c r="B57" s="582" t="str">
        <f>+VLOOKUP($A57,Master!$D$30:$G$226,4,FALSE)</f>
        <v>Otplata hartija od vrijednosti i kredita nerezidentima</v>
      </c>
      <c r="C57" s="583"/>
      <c r="D57" s="583"/>
      <c r="E57" s="583"/>
      <c r="F57" s="583"/>
      <c r="G57" s="176">
        <f>+INDEX(DataEx!$1:$1048576,MATCH('2020'!$A57,DataEx!$D:$D,0),MATCH('2020'!G$6,DataEx!$7:$7,0))</f>
        <v>1435793.71</v>
      </c>
      <c r="H57" s="176">
        <f>+INDEX(DataEx!$1:$1048576,MATCH('2020'!$A57,DataEx!$D:$D,0),MATCH('2020'!H$6,DataEx!$7:$7,0))</f>
        <v>10524954.35</v>
      </c>
      <c r="I57" s="176">
        <f>+INDEX(DataEx!$1:$1048576,MATCH('2020'!$A57,DataEx!$D:$D,0),MATCH('2020'!I$6,DataEx!$7:$7,0))</f>
        <v>330204648.48000002</v>
      </c>
      <c r="J57" s="176">
        <f>+INDEX(DataEx!$1:$1048576,MATCH('2020'!$A57,DataEx!$D:$D,0),MATCH('2020'!J$6,DataEx!$7:$7,0))</f>
        <v>15609634.58</v>
      </c>
      <c r="K57" s="176">
        <f>+INDEX(DataEx!$1:$1048576,MATCH('2020'!$A57,DataEx!$D:$D,0),MATCH('2020'!K$6,DataEx!$7:$7,0))</f>
        <v>9553316.6400000006</v>
      </c>
      <c r="L57" s="176">
        <f>+INDEX(DataEx!$1:$1048576,MATCH('2020'!$A57,DataEx!$D:$D,0),MATCH('2020'!L$6,DataEx!$7:$7,0))</f>
        <v>9938531.6699999999</v>
      </c>
      <c r="M57" s="176">
        <f>+INDEX(DataEx!$1:$1048576,MATCH('2020'!$A57,DataEx!$D:$D,0),MATCH('2020'!M$6,DataEx!$7:$7,0))</f>
        <v>1633418.82</v>
      </c>
      <c r="N57" s="176">
        <f>+INDEX(DataEx!$1:$1048576,MATCH('2020'!$A57,DataEx!$D:$D,0),MATCH('2020'!N$6,DataEx!$7:$7,0))</f>
        <v>10972559.57</v>
      </c>
      <c r="O57" s="176">
        <f>+INDEX(DataEx!$1:$1048576,MATCH('2020'!$A57,DataEx!$D:$D,0),MATCH('2020'!O$6,DataEx!$7:$7,0))</f>
        <v>8038553.5099999998</v>
      </c>
      <c r="P57" s="176">
        <f>+INDEX(DataEx!$1:$1048576,MATCH('2020'!$A57,DataEx!$D:$D,0),MATCH('2020'!P$6,DataEx!$7:$7,0))</f>
        <v>3909321.17</v>
      </c>
      <c r="Q57" s="176">
        <f>+INDEX(DataEx!$1:$1048576,MATCH('2020'!$A57,DataEx!$D:$D,0),MATCH('2020'!Q$6,DataEx!$7:$7,0))</f>
        <v>8468953.2699999996</v>
      </c>
      <c r="R57" s="176">
        <f>+INDEX(DataEx!$1:$1048576,MATCH('2020'!$A57,DataEx!$D:$D,0),MATCH('2020'!R$6,DataEx!$7:$7,0))</f>
        <v>11362128.17</v>
      </c>
      <c r="S57" s="298">
        <f t="shared" si="3"/>
        <v>421651813.94</v>
      </c>
      <c r="T57" s="299">
        <f t="shared" si="4"/>
        <v>10.0738678789182</v>
      </c>
      <c r="V57" s="196"/>
    </row>
    <row r="58" spans="1:22">
      <c r="A58" s="136">
        <v>4418</v>
      </c>
      <c r="B58" s="572" t="str">
        <f>+VLOOKUP($A58,Master!$D$30:$G$226,4,FALSE)</f>
        <v>Izdaci za kupovinu hartija od vrijednosti</v>
      </c>
      <c r="C58" s="573"/>
      <c r="D58" s="573"/>
      <c r="E58" s="573"/>
      <c r="F58" s="573"/>
      <c r="G58" s="300">
        <f>+INDEX(DataEx!$1:$1048576,MATCH('2020'!$A58,DataEx!$D:$D,0),MATCH('2020'!G$6,DataEx!$7:$7,0))</f>
        <v>0</v>
      </c>
      <c r="H58" s="300">
        <f>+INDEX(DataEx!$1:$1048576,MATCH('2020'!$A58,DataEx!$D:$D,0),MATCH('2020'!H$6,DataEx!$7:$7,0))</f>
        <v>0</v>
      </c>
      <c r="I58" s="300">
        <f>+INDEX(DataEx!$1:$1048576,MATCH('2020'!$A58,DataEx!$D:$D,0),MATCH('2020'!I$6,DataEx!$7:$7,0))</f>
        <v>0</v>
      </c>
      <c r="J58" s="300">
        <f>+INDEX(DataEx!$1:$1048576,MATCH('2020'!$A58,DataEx!$D:$D,0),MATCH('2020'!J$6,DataEx!$7:$7,0))</f>
        <v>0</v>
      </c>
      <c r="K58" s="300">
        <f>+INDEX(DataEx!$1:$1048576,MATCH('2020'!$A58,DataEx!$D:$D,0),MATCH('2020'!K$6,DataEx!$7:$7,0))</f>
        <v>0</v>
      </c>
      <c r="L58" s="300">
        <f>+INDEX(DataEx!$1:$1048576,MATCH('2020'!$A58,DataEx!$D:$D,0),MATCH('2020'!L$6,DataEx!$7:$7,0))</f>
        <v>0</v>
      </c>
      <c r="M58" s="300">
        <f>+INDEX(DataEx!$1:$1048576,MATCH('2020'!$A58,DataEx!$D:$D,0),MATCH('2020'!M$6,DataEx!$7:$7,0))</f>
        <v>0</v>
      </c>
      <c r="N58" s="300">
        <f>+INDEX(DataEx!$1:$1048576,MATCH('2020'!$A58,DataEx!$D:$D,0),MATCH('2020'!N$6,DataEx!$7:$7,0))</f>
        <v>0</v>
      </c>
      <c r="O58" s="300">
        <f>+INDEX(DataEx!$1:$1048576,MATCH('2020'!$A58,DataEx!$D:$D,0),MATCH('2020'!O$6,DataEx!$7:$7,0))</f>
        <v>940769.61</v>
      </c>
      <c r="P58" s="300">
        <f>+INDEX(DataEx!$1:$1048576,MATCH('2020'!$A58,DataEx!$D:$D,0),MATCH('2020'!P$6,DataEx!$7:$7,0))</f>
        <v>0</v>
      </c>
      <c r="Q58" s="300">
        <f>+INDEX(DataEx!$1:$1048576,MATCH('2020'!$A58,DataEx!$D:$D,0),MATCH('2020'!Q$6,DataEx!$7:$7,0))</f>
        <v>0</v>
      </c>
      <c r="R58" s="301">
        <f>+INDEX(DataEx!$1:$1048576,MATCH('2020'!$A58,DataEx!$D:$D,0),MATCH('2020'!R$6,DataEx!$7:$7,0))</f>
        <v>0</v>
      </c>
      <c r="S58" s="296">
        <f>SUM(G58:R58)</f>
        <v>940769.61</v>
      </c>
      <c r="T58" s="302">
        <f t="shared" si="4"/>
        <v>2.2476338159403701E-2</v>
      </c>
      <c r="V58" s="196"/>
    </row>
    <row r="59" spans="1:22">
      <c r="A59" s="136">
        <v>1002</v>
      </c>
      <c r="B59" s="592" t="str">
        <f>+VLOOKUP($A59,Master!$D$30:$G$226,4,FALSE)</f>
        <v>Nedostajuća sredstva</v>
      </c>
      <c r="C59" s="593"/>
      <c r="D59" s="593"/>
      <c r="E59" s="593"/>
      <c r="F59" s="593"/>
      <c r="G59" s="197">
        <f>+G53-G55-G58</f>
        <v>-58795772.773999996</v>
      </c>
      <c r="H59" s="197">
        <f t="shared" ref="H59:R59" si="11">+H53-H55-H58</f>
        <v>-91225903.923999995</v>
      </c>
      <c r="I59" s="197">
        <f t="shared" si="11"/>
        <v>-349090410.264</v>
      </c>
      <c r="J59" s="197">
        <f t="shared" si="11"/>
        <v>-62677045.523999996</v>
      </c>
      <c r="K59" s="197">
        <f t="shared" si="11"/>
        <v>-55878956.473999999</v>
      </c>
      <c r="L59" s="197">
        <f t="shared" si="11"/>
        <v>-59295229.814000003</v>
      </c>
      <c r="M59" s="197">
        <f t="shared" si="11"/>
        <v>-72955594.724000007</v>
      </c>
      <c r="N59" s="197">
        <f t="shared" si="11"/>
        <v>-75332208.972000003</v>
      </c>
      <c r="O59" s="197">
        <f t="shared" si="11"/>
        <v>-32381720.09</v>
      </c>
      <c r="P59" s="197">
        <f t="shared" si="11"/>
        <v>-73527242.939999998</v>
      </c>
      <c r="Q59" s="197">
        <f t="shared" si="11"/>
        <v>-102891339.81</v>
      </c>
      <c r="R59" s="197">
        <f t="shared" si="11"/>
        <v>-58887644.719999999</v>
      </c>
      <c r="S59" s="303">
        <f t="shared" si="3"/>
        <v>-1092939070.03</v>
      </c>
      <c r="T59" s="304">
        <f t="shared" si="4"/>
        <v>-26.111885274034801</v>
      </c>
    </row>
    <row r="60" spans="1:22">
      <c r="A60" s="136">
        <v>1003</v>
      </c>
      <c r="B60" s="570" t="str">
        <f>+VLOOKUP($A60,Master!$D$30:$G$226,4,FALSE)</f>
        <v>Finansiranje</v>
      </c>
      <c r="C60" s="571"/>
      <c r="D60" s="571"/>
      <c r="E60" s="571"/>
      <c r="F60" s="571"/>
      <c r="G60" s="146">
        <f>+SUM(G61:G64)</f>
        <v>58795772.773999996</v>
      </c>
      <c r="H60" s="146">
        <f t="shared" ref="H60:R60" si="12">+SUM(H61:H64)</f>
        <v>91225903.923999995</v>
      </c>
      <c r="I60" s="146">
        <f t="shared" si="12"/>
        <v>349090410.264</v>
      </c>
      <c r="J60" s="146">
        <f t="shared" si="12"/>
        <v>62677045.523999996</v>
      </c>
      <c r="K60" s="146">
        <f t="shared" si="12"/>
        <v>55878956.473999999</v>
      </c>
      <c r="L60" s="146">
        <f t="shared" si="12"/>
        <v>59295229.814000003</v>
      </c>
      <c r="M60" s="146">
        <f t="shared" si="12"/>
        <v>72955594.724000007</v>
      </c>
      <c r="N60" s="146">
        <f t="shared" si="12"/>
        <v>75332208.972000003</v>
      </c>
      <c r="O60" s="146">
        <f t="shared" si="12"/>
        <v>32381720.09</v>
      </c>
      <c r="P60" s="146">
        <f t="shared" si="12"/>
        <v>73527242.939999998</v>
      </c>
      <c r="Q60" s="146">
        <f t="shared" si="12"/>
        <v>102891339.81</v>
      </c>
      <c r="R60" s="146">
        <f t="shared" si="12"/>
        <v>58887644.719999999</v>
      </c>
      <c r="S60" s="305">
        <f t="shared" si="3"/>
        <v>1092939070.03</v>
      </c>
      <c r="T60" s="306">
        <f t="shared" si="4"/>
        <v>26.111885274034801</v>
      </c>
    </row>
    <row r="61" spans="1:22">
      <c r="A61" s="136">
        <v>7511</v>
      </c>
      <c r="B61" s="594" t="str">
        <f>+VLOOKUP($A61,Master!$D$30:$G$226,4,FALSE)</f>
        <v>Pozajmice i krediti od domaćih izvora</v>
      </c>
      <c r="C61" s="595"/>
      <c r="D61" s="595"/>
      <c r="E61" s="595"/>
      <c r="F61" s="595"/>
      <c r="G61" s="176">
        <f>+INDEX(DataEx!$1:$1048576,MATCH('2020'!$A61,DataEx!$D:$D,0),MATCH('2020'!G$6,DataEx!$7:$7,0))</f>
        <v>14900000</v>
      </c>
      <c r="H61" s="176">
        <f>+INDEX(DataEx!$1:$1048576,MATCH('2020'!$A61,DataEx!$D:$D,0),MATCH('2020'!H$6,DataEx!$7:$7,0))</f>
        <v>23000000</v>
      </c>
      <c r="I61" s="176">
        <f>+INDEX(DataEx!$1:$1048576,MATCH('2020'!$A61,DataEx!$D:$D,0),MATCH('2020'!I$6,DataEx!$7:$7,0))</f>
        <v>0</v>
      </c>
      <c r="J61" s="176">
        <f>+INDEX(DataEx!$1:$1048576,MATCH('2020'!$A61,DataEx!$D:$D,0),MATCH('2020'!J$6,DataEx!$7:$7,0))</f>
        <v>19932059.129999999</v>
      </c>
      <c r="K61" s="176">
        <f>+INDEX(DataEx!$1:$1048576,MATCH('2020'!$A61,DataEx!$D:$D,0),MATCH('2020'!K$6,DataEx!$7:$7,0))</f>
        <v>10000000</v>
      </c>
      <c r="L61" s="176">
        <f>+INDEX(DataEx!$1:$1048576,MATCH('2020'!$A61,DataEx!$D:$D,0),MATCH('2020'!L$6,DataEx!$7:$7,0))</f>
        <v>0</v>
      </c>
      <c r="M61" s="176">
        <f>+INDEX(DataEx!$1:$1048576,MATCH('2020'!$A61,DataEx!$D:$D,0),MATCH('2020'!M$6,DataEx!$7:$7,0))</f>
        <v>44900000</v>
      </c>
      <c r="N61" s="176">
        <f>+INDEX(DataEx!$1:$1048576,MATCH('2020'!$A61,DataEx!$D:$D,0),MATCH('2020'!N$6,DataEx!$7:$7,0))</f>
        <v>11800000</v>
      </c>
      <c r="O61" s="176">
        <f>+INDEX(DataEx!$1:$1048576,MATCH('2020'!$A61,DataEx!$D:$D,0),MATCH('2020'!O$6,DataEx!$7:$7,0))</f>
        <v>0</v>
      </c>
      <c r="P61" s="176">
        <f>+INDEX(DataEx!$1:$1048576,MATCH('2020'!$A61,DataEx!$D:$D,0),MATCH('2020'!P$6,DataEx!$7:$7,0))</f>
        <v>15000000</v>
      </c>
      <c r="Q61" s="176">
        <f>+INDEX(DataEx!$1:$1048576,MATCH('2020'!$A61,DataEx!$D:$D,0),MATCH('2020'!Q$6,DataEx!$7:$7,0))</f>
        <v>28000000</v>
      </c>
      <c r="R61" s="176">
        <f>+INDEX(DataEx!$1:$1048576,MATCH('2020'!$A61,DataEx!$D:$D,0),MATCH('2020'!R$6,DataEx!$7:$7,0))</f>
        <v>0</v>
      </c>
      <c r="S61" s="298">
        <f t="shared" si="3"/>
        <v>167532059.13</v>
      </c>
      <c r="T61" s="299">
        <f t="shared" si="4"/>
        <v>4.00258168793005</v>
      </c>
    </row>
    <row r="62" spans="1:22">
      <c r="A62" s="136">
        <v>7512</v>
      </c>
      <c r="B62" s="582" t="str">
        <f>+VLOOKUP($A62,Master!$D$30:$G$226,4,FALSE)</f>
        <v>Pozajmice i krediti od inostranih izvora</v>
      </c>
      <c r="C62" s="583"/>
      <c r="D62" s="583"/>
      <c r="E62" s="583"/>
      <c r="F62" s="583"/>
      <c r="G62" s="176">
        <f>+INDEX(DataEx!$1:$1048576,MATCH('2020'!$A62,DataEx!$D:$D,0),MATCH('2020'!G$6,DataEx!$7:$7,0))</f>
        <v>316564.84000000003</v>
      </c>
      <c r="H62" s="176">
        <f>+INDEX(DataEx!$1:$1048576,MATCH('2020'!$A62,DataEx!$D:$D,0),MATCH('2020'!H$6,DataEx!$7:$7,0))</f>
        <v>1511136.76</v>
      </c>
      <c r="I62" s="176">
        <f>+INDEX(DataEx!$1:$1048576,MATCH('2020'!$A62,DataEx!$D:$D,0),MATCH('2020'!I$6,DataEx!$7:$7,0))</f>
        <v>3834054.75</v>
      </c>
      <c r="J62" s="176">
        <f>+INDEX(DataEx!$1:$1048576,MATCH('2020'!$A62,DataEx!$D:$D,0),MATCH('2020'!J$6,DataEx!$7:$7,0))</f>
        <v>4493810.3600000003</v>
      </c>
      <c r="K62" s="176">
        <f>+INDEX(DataEx!$1:$1048576,MATCH('2020'!$A62,DataEx!$D:$D,0),MATCH('2020'!K$6,DataEx!$7:$7,0))</f>
        <v>250307576.15000001</v>
      </c>
      <c r="L62" s="176">
        <f>+INDEX(DataEx!$1:$1048576,MATCH('2020'!$A62,DataEx!$D:$D,0),MATCH('2020'!L$6,DataEx!$7:$7,0))</f>
        <v>83297964.459999993</v>
      </c>
      <c r="M62" s="176">
        <f>+INDEX(DataEx!$1:$1048576,MATCH('2020'!$A62,DataEx!$D:$D,0),MATCH('2020'!M$6,DataEx!$7:$7,0))</f>
        <v>18425337.739999998</v>
      </c>
      <c r="N62" s="176">
        <f>+INDEX(DataEx!$1:$1048576,MATCH('2020'!$A62,DataEx!$D:$D,0),MATCH('2020'!N$6,DataEx!$7:$7,0))</f>
        <v>6606851.8499999996</v>
      </c>
      <c r="O62" s="176">
        <f>+INDEX(DataEx!$1:$1048576,MATCH('2020'!$A62,DataEx!$D:$D,0),MATCH('2020'!O$6,DataEx!$7:$7,0))</f>
        <v>3867306.65</v>
      </c>
      <c r="P62" s="176">
        <f>+INDEX(DataEx!$1:$1048576,MATCH('2020'!$A62,DataEx!$D:$D,0),MATCH('2020'!P$6,DataEx!$7:$7,0))</f>
        <v>43616999.969999999</v>
      </c>
      <c r="Q62" s="176">
        <f>+INDEX(DataEx!$1:$1048576,MATCH('2020'!$A62,DataEx!$D:$D,0),MATCH('2020'!Q$6,DataEx!$7:$7,0))</f>
        <v>5875847.9400000004</v>
      </c>
      <c r="R62" s="176">
        <f>+INDEX(DataEx!$1:$1048576,MATCH('2020'!$A62,DataEx!$D:$D,0),MATCH('2020'!R$6,DataEx!$7:$7,0))</f>
        <v>763591402.35000002</v>
      </c>
      <c r="S62" s="298">
        <f t="shared" si="3"/>
        <v>1185744853.8199999</v>
      </c>
      <c r="T62" s="299">
        <f t="shared" si="4"/>
        <v>28.329148839354001</v>
      </c>
    </row>
    <row r="63" spans="1:22">
      <c r="A63" s="136">
        <v>72</v>
      </c>
      <c r="B63" s="582" t="str">
        <f>+VLOOKUP($A63,Master!$D$30:$G$226,4,FALSE)</f>
        <v>Primici od prodaje imovine</v>
      </c>
      <c r="C63" s="583"/>
      <c r="D63" s="583"/>
      <c r="E63" s="583"/>
      <c r="F63" s="583"/>
      <c r="G63" s="176">
        <f>+INDEX(DataEx!$1:$1048576,MATCH('2020'!$A63,DataEx!$D:$D,0),MATCH('2020'!G$6,DataEx!$7:$7,0))</f>
        <v>62782.51</v>
      </c>
      <c r="H63" s="176">
        <f>+INDEX(DataEx!$1:$1048576,MATCH('2020'!$A63,DataEx!$D:$D,0),MATCH('2020'!H$6,DataEx!$7:$7,0))</f>
        <v>437988.22</v>
      </c>
      <c r="I63" s="176">
        <f>+INDEX(DataEx!$1:$1048576,MATCH('2020'!$A63,DataEx!$D:$D,0),MATCH('2020'!I$6,DataEx!$7:$7,0))</f>
        <v>603218.21</v>
      </c>
      <c r="J63" s="176">
        <f>+INDEX(DataEx!$1:$1048576,MATCH('2020'!$A63,DataEx!$D:$D,0),MATCH('2020'!J$6,DataEx!$7:$7,0))</f>
        <v>198578.39</v>
      </c>
      <c r="K63" s="176">
        <f>+INDEX(DataEx!$1:$1048576,MATCH('2020'!$A63,DataEx!$D:$D,0),MATCH('2020'!K$6,DataEx!$7:$7,0))</f>
        <v>270349.07</v>
      </c>
      <c r="L63" s="176">
        <f>+INDEX(DataEx!$1:$1048576,MATCH('2020'!$A63,DataEx!$D:$D,0),MATCH('2020'!L$6,DataEx!$7:$7,0))</f>
        <v>213993.31</v>
      </c>
      <c r="M63" s="176">
        <f>+INDEX(DataEx!$1:$1048576,MATCH('2020'!$A63,DataEx!$D:$D,0),MATCH('2020'!M$6,DataEx!$7:$7,0))</f>
        <v>3744610.34</v>
      </c>
      <c r="N63" s="176">
        <f>+INDEX(DataEx!$1:$1048576,MATCH('2020'!$A63,DataEx!$D:$D,0),MATCH('2020'!N$6,DataEx!$7:$7,0))</f>
        <v>391133.36</v>
      </c>
      <c r="O63" s="176">
        <f>+INDEX(DataEx!$1:$1048576,MATCH('2020'!$A63,DataEx!$D:$D,0),MATCH('2020'!O$6,DataEx!$7:$7,0))</f>
        <v>257820.89</v>
      </c>
      <c r="P63" s="176">
        <f>+INDEX(DataEx!$1:$1048576,MATCH('2020'!$A63,DataEx!$D:$D,0),MATCH('2020'!P$6,DataEx!$7:$7,0))</f>
        <v>1253015.19</v>
      </c>
      <c r="Q63" s="176">
        <f>+INDEX(DataEx!$1:$1048576,MATCH('2020'!$A63,DataEx!$D:$D,0),MATCH('2020'!Q$6,DataEx!$7:$7,0))</f>
        <v>383181.15</v>
      </c>
      <c r="R63" s="176">
        <f>+INDEX(DataEx!$1:$1048576,MATCH('2020'!$A63,DataEx!$D:$D,0),MATCH('2020'!R$6,DataEx!$7:$7,0))</f>
        <v>730580.32</v>
      </c>
      <c r="S63" s="298">
        <f t="shared" si="3"/>
        <v>8547250.9600000009</v>
      </c>
      <c r="T63" s="299">
        <f t="shared" si="4"/>
        <v>0.204206110474006</v>
      </c>
    </row>
    <row r="64" spans="1:22">
      <c r="A64" s="136">
        <v>1004</v>
      </c>
      <c r="B64" s="202" t="str">
        <f>+VLOOKUP($A64,Master!$D$30:$G$226,4,FALSE)</f>
        <v>Povećanje / smanjenje depozita</v>
      </c>
      <c r="C64" s="203"/>
      <c r="D64" s="203"/>
      <c r="E64" s="203"/>
      <c r="F64" s="203"/>
      <c r="G64" s="204">
        <f>-G59-SUM(G61:G63)</f>
        <v>43516425.424000002</v>
      </c>
      <c r="H64" s="204">
        <f t="shared" ref="H64:R64" si="13">-H59-SUM(H61:H63)</f>
        <v>66276778.943999998</v>
      </c>
      <c r="I64" s="204">
        <f t="shared" si="13"/>
        <v>344653137.30400002</v>
      </c>
      <c r="J64" s="204">
        <f t="shared" si="13"/>
        <v>38052597.644000001</v>
      </c>
      <c r="K64" s="204">
        <f t="shared" si="13"/>
        <v>-204698968.74599999</v>
      </c>
      <c r="L64" s="204">
        <f t="shared" si="13"/>
        <v>-24216727.956</v>
      </c>
      <c r="M64" s="204">
        <f t="shared" si="13"/>
        <v>5885646.6440000096</v>
      </c>
      <c r="N64" s="204">
        <f t="shared" si="13"/>
        <v>56534223.762000002</v>
      </c>
      <c r="O64" s="204">
        <f t="shared" si="13"/>
        <v>28256592.550000001</v>
      </c>
      <c r="P64" s="204">
        <f t="shared" si="13"/>
        <v>13657227.779999999</v>
      </c>
      <c r="Q64" s="204">
        <f t="shared" si="13"/>
        <v>68632310.719999999</v>
      </c>
      <c r="R64" s="204">
        <f t="shared" si="13"/>
        <v>-705434337.95000005</v>
      </c>
      <c r="S64" s="307">
        <f t="shared" si="3"/>
        <v>-268885093.88</v>
      </c>
      <c r="T64" s="308">
        <f t="shared" si="4"/>
        <v>-6.4240513637232404</v>
      </c>
    </row>
    <row r="65" spans="18:18">
      <c r="R65" s="207"/>
    </row>
    <row r="70" spans="18:18">
      <c r="R70" s="208"/>
    </row>
    <row r="98" spans="1:21"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</row>
    <row r="99" spans="1:21">
      <c r="G99" s="210" t="str">
        <f t="shared" ref="G99:R99" si="14">+CONCATENATE(G6,"p")</f>
        <v>2020-01p</v>
      </c>
      <c r="H99" s="210" t="str">
        <f t="shared" si="14"/>
        <v>2020-02p</v>
      </c>
      <c r="I99" s="210" t="str">
        <f t="shared" si="14"/>
        <v>2020-03p</v>
      </c>
      <c r="J99" s="210" t="str">
        <f t="shared" si="14"/>
        <v>2020-04p</v>
      </c>
      <c r="K99" s="210" t="str">
        <f t="shared" si="14"/>
        <v>2020-05p</v>
      </c>
      <c r="L99" s="210" t="str">
        <f t="shared" si="14"/>
        <v>2020-06p</v>
      </c>
      <c r="M99" s="210" t="str">
        <f t="shared" si="14"/>
        <v>2020-07p</v>
      </c>
      <c r="N99" s="210" t="str">
        <f t="shared" si="14"/>
        <v>2020-08p</v>
      </c>
      <c r="O99" s="210" t="str">
        <f t="shared" si="14"/>
        <v>2020-09p</v>
      </c>
      <c r="P99" s="210" t="str">
        <f t="shared" si="14"/>
        <v>2020-10p</v>
      </c>
      <c r="Q99" s="210" t="str">
        <f t="shared" si="14"/>
        <v>2020-11p</v>
      </c>
      <c r="R99" s="210" t="str">
        <f t="shared" si="14"/>
        <v>2020-12p</v>
      </c>
    </row>
    <row r="100" spans="1:21" ht="15.75" customHeight="1">
      <c r="B100" s="637" t="str">
        <f>+Master!G253</f>
        <v>Plan ostvarenja budžeta</v>
      </c>
      <c r="C100" s="638"/>
      <c r="D100" s="638"/>
      <c r="E100" s="638"/>
      <c r="F100" s="638"/>
      <c r="G100" s="614">
        <v>2020</v>
      </c>
      <c r="H100" s="615"/>
      <c r="I100" s="615"/>
      <c r="J100" s="615"/>
      <c r="K100" s="615"/>
      <c r="L100" s="615"/>
      <c r="M100" s="615"/>
      <c r="N100" s="615"/>
      <c r="O100" s="615"/>
      <c r="P100" s="615"/>
      <c r="Q100" s="615"/>
      <c r="R100" s="616"/>
      <c r="S100" s="211" t="str">
        <f>+S7</f>
        <v>BDP</v>
      </c>
      <c r="T100" s="212">
        <v>4607300000</v>
      </c>
    </row>
    <row r="101" spans="1:21" ht="15.75" customHeight="1">
      <c r="B101" s="639"/>
      <c r="C101" s="640"/>
      <c r="D101" s="640"/>
      <c r="E101" s="640"/>
      <c r="F101" s="641"/>
      <c r="G101" s="179" t="str">
        <f t="shared" ref="G101:R101" si="15">+G8</f>
        <v>Januar</v>
      </c>
      <c r="H101" s="179" t="str">
        <f t="shared" si="15"/>
        <v>Februar</v>
      </c>
      <c r="I101" s="179" t="str">
        <f t="shared" si="15"/>
        <v>Mart</v>
      </c>
      <c r="J101" s="179" t="str">
        <f t="shared" si="15"/>
        <v>April</v>
      </c>
      <c r="K101" s="179" t="str">
        <f t="shared" si="15"/>
        <v>Maj</v>
      </c>
      <c r="L101" s="179" t="str">
        <f t="shared" si="15"/>
        <v>Jun</v>
      </c>
      <c r="M101" s="179" t="str">
        <f t="shared" si="15"/>
        <v>Jul</v>
      </c>
      <c r="N101" s="179" t="str">
        <f t="shared" si="15"/>
        <v>Avgust</v>
      </c>
      <c r="O101" s="179" t="str">
        <f t="shared" si="15"/>
        <v>Septembar</v>
      </c>
      <c r="P101" s="179" t="str">
        <f t="shared" si="15"/>
        <v>Oktobar</v>
      </c>
      <c r="Q101" s="179" t="str">
        <f t="shared" si="15"/>
        <v>Novembar</v>
      </c>
      <c r="R101" s="179" t="str">
        <f t="shared" si="15"/>
        <v>Decembar</v>
      </c>
      <c r="S101" s="614" t="str">
        <f>+Master!G247</f>
        <v>Jan - Dec</v>
      </c>
      <c r="T101" s="616">
        <f>+T8</f>
        <v>0</v>
      </c>
    </row>
    <row r="102" spans="1:21">
      <c r="B102" s="642"/>
      <c r="C102" s="643"/>
      <c r="D102" s="643"/>
      <c r="E102" s="643"/>
      <c r="F102" s="644"/>
      <c r="G102" s="213" t="s">
        <v>2</v>
      </c>
      <c r="H102" s="213" t="s">
        <v>2</v>
      </c>
      <c r="I102" s="213" t="s">
        <v>2</v>
      </c>
      <c r="J102" s="213" t="s">
        <v>2</v>
      </c>
      <c r="K102" s="213" t="s">
        <v>2</v>
      </c>
      <c r="L102" s="213" t="s">
        <v>2</v>
      </c>
      <c r="M102" s="213" t="s">
        <v>2</v>
      </c>
      <c r="N102" s="213" t="s">
        <v>2</v>
      </c>
      <c r="O102" s="213" t="s">
        <v>2</v>
      </c>
      <c r="P102" s="213" t="s">
        <v>2</v>
      </c>
      <c r="Q102" s="213" t="s">
        <v>2</v>
      </c>
      <c r="R102" s="213" t="s">
        <v>2</v>
      </c>
      <c r="S102" s="214" t="s">
        <v>2</v>
      </c>
      <c r="T102" s="215" t="str">
        <f>+T9</f>
        <v>% BDP</v>
      </c>
    </row>
    <row r="103" spans="1:21">
      <c r="A103" s="216" t="str">
        <f t="shared" ref="A103:A144" si="16">+CONCATENATE(A10,"p")</f>
        <v>7p</v>
      </c>
      <c r="B103" s="651" t="str">
        <f>+VLOOKUP(LEFT($A103,LEN(A103)-1)*1,Master!$D$30:$G$226,4,FALSE)</f>
        <v>Prihodi budžeta</v>
      </c>
      <c r="C103" s="652"/>
      <c r="D103" s="652"/>
      <c r="E103" s="652"/>
      <c r="F103" s="652"/>
      <c r="G103" s="217">
        <f t="shared" ref="G103:R103" si="17">+G104+G112+SUM(G117:G121)</f>
        <v>94285835.650000006</v>
      </c>
      <c r="H103" s="217">
        <f t="shared" si="17"/>
        <v>119854724.31</v>
      </c>
      <c r="I103" s="217">
        <f t="shared" si="17"/>
        <v>161096447.81</v>
      </c>
      <c r="J103" s="217">
        <f t="shared" si="17"/>
        <v>124455764.22</v>
      </c>
      <c r="K103" s="217">
        <f t="shared" si="17"/>
        <v>115626470.648333</v>
      </c>
      <c r="L103" s="217">
        <f t="shared" si="17"/>
        <v>129263442.472629</v>
      </c>
      <c r="M103" s="217">
        <f t="shared" si="17"/>
        <v>149679785.44143</v>
      </c>
      <c r="N103" s="217">
        <f t="shared" si="17"/>
        <v>151163847.86687899</v>
      </c>
      <c r="O103" s="217">
        <f t="shared" si="17"/>
        <v>182359802.52894601</v>
      </c>
      <c r="P103" s="217">
        <f t="shared" si="17"/>
        <v>171190045.108147</v>
      </c>
      <c r="Q103" s="217">
        <f t="shared" si="17"/>
        <v>126872146.86621</v>
      </c>
      <c r="R103" s="217">
        <f t="shared" si="17"/>
        <v>179141076.235201</v>
      </c>
      <c r="S103" s="309">
        <f>+SUM(G103:R103)</f>
        <v>1704989389.1577699</v>
      </c>
      <c r="T103" s="310">
        <f>+S103/$T$100*100</f>
        <v>37.006259396127298</v>
      </c>
    </row>
    <row r="104" spans="1:21">
      <c r="A104" s="216" t="str">
        <f t="shared" si="16"/>
        <v>711p</v>
      </c>
      <c r="B104" s="619" t="str">
        <f>+VLOOKUP(LEFT($A104,LEN(A104)-1)*1,Master!$D$30:$G$226,4,FALSE)</f>
        <v>Porezi</v>
      </c>
      <c r="C104" s="620"/>
      <c r="D104" s="620"/>
      <c r="E104" s="620"/>
      <c r="F104" s="620"/>
      <c r="G104" s="220">
        <f t="shared" ref="G104:R104" si="18">+SUM(G105:G111)</f>
        <v>73320205.209999993</v>
      </c>
      <c r="H104" s="220">
        <f t="shared" si="18"/>
        <v>69683087.400000006</v>
      </c>
      <c r="I104" s="220">
        <f t="shared" si="18"/>
        <v>105613736.66</v>
      </c>
      <c r="J104" s="220">
        <f t="shared" si="18"/>
        <v>83521974.920000002</v>
      </c>
      <c r="K104" s="220">
        <f t="shared" si="18"/>
        <v>69752758.120000005</v>
      </c>
      <c r="L104" s="220">
        <f t="shared" si="18"/>
        <v>82125472.672907203</v>
      </c>
      <c r="M104" s="220">
        <f t="shared" si="18"/>
        <v>97440527.992951095</v>
      </c>
      <c r="N104" s="220">
        <f t="shared" si="18"/>
        <v>102835982.178223</v>
      </c>
      <c r="O104" s="220">
        <f t="shared" si="18"/>
        <v>99861898.573637307</v>
      </c>
      <c r="P104" s="220">
        <f t="shared" si="18"/>
        <v>96098494.299763694</v>
      </c>
      <c r="Q104" s="220">
        <f t="shared" si="18"/>
        <v>81549422.466298297</v>
      </c>
      <c r="R104" s="221">
        <f t="shared" si="18"/>
        <v>93633799.201363906</v>
      </c>
      <c r="S104" s="311">
        <f t="shared" ref="S104:S157" si="19">+SUM(G104:R104)</f>
        <v>1055437359.69515</v>
      </c>
      <c r="T104" s="282">
        <f t="shared" ref="T104:T157" si="20">+S104/$T$100*100</f>
        <v>22.907936528881201</v>
      </c>
      <c r="U104" s="224"/>
    </row>
    <row r="105" spans="1:21">
      <c r="A105" s="216" t="str">
        <f t="shared" si="16"/>
        <v>7111p</v>
      </c>
      <c r="B105" s="621" t="str">
        <f>+VLOOKUP(LEFT($A105,LEN(A105)-1)*1,Master!$D$30:$G$229,4,FALSE)</f>
        <v>Porez na dohodak fizičkih lica</v>
      </c>
      <c r="C105" s="622"/>
      <c r="D105" s="622"/>
      <c r="E105" s="622"/>
      <c r="F105" s="622"/>
      <c r="G105" s="225">
        <f>+SUM(DataEx!FR219)</f>
        <v>4317755.12</v>
      </c>
      <c r="H105" s="225">
        <f>+SUM(DataEx!FS219)</f>
        <v>9514934.0399999991</v>
      </c>
      <c r="I105" s="225">
        <f>+SUM(DataEx!FT219)</f>
        <v>9988296.0800000001</v>
      </c>
      <c r="J105" s="225">
        <f>+SUM(DataEx!FU219)</f>
        <v>6960084.75</v>
      </c>
      <c r="K105" s="225">
        <f>+SUM(DataEx!FV219)</f>
        <v>10104597.5</v>
      </c>
      <c r="L105" s="225">
        <f>+SUM(DataEx!FW219)</f>
        <v>9233273.1269990597</v>
      </c>
      <c r="M105" s="225">
        <f>+SUM(DataEx!FX219)</f>
        <v>9150318.9104051199</v>
      </c>
      <c r="N105" s="225">
        <f>+SUM(DataEx!FY219)</f>
        <v>8725946.6834637895</v>
      </c>
      <c r="O105" s="225">
        <f>+SUM(DataEx!FZ219)</f>
        <v>8605027.8152614608</v>
      </c>
      <c r="P105" s="225">
        <f>+SUM(DataEx!GA219)</f>
        <v>12215525.5668632</v>
      </c>
      <c r="Q105" s="225">
        <f>+SUM(DataEx!GB219)</f>
        <v>8318398.7638738099</v>
      </c>
      <c r="R105" s="225">
        <f>+SUM(DataEx!GC219)</f>
        <v>15525209.395354999</v>
      </c>
      <c r="S105" s="312">
        <f t="shared" si="19"/>
        <v>112659367.752221</v>
      </c>
      <c r="T105" s="283">
        <f t="shared" si="20"/>
        <v>2.44523620672024</v>
      </c>
    </row>
    <row r="106" spans="1:21">
      <c r="A106" s="216" t="str">
        <f t="shared" si="16"/>
        <v>7112p</v>
      </c>
      <c r="B106" s="621" t="str">
        <f>+VLOOKUP(LEFT($A106,LEN(A106)-1)*1,Master!$D$30:$G$229,4,FALSE)</f>
        <v>Porez na dobit pravnih lica</v>
      </c>
      <c r="C106" s="622"/>
      <c r="D106" s="622"/>
      <c r="E106" s="622"/>
      <c r="F106" s="622"/>
      <c r="G106" s="225">
        <f>+SUM(DataEx!FR220)</f>
        <v>673739.6</v>
      </c>
      <c r="H106" s="225">
        <f>+SUM(DataEx!FS220)</f>
        <v>2402403.02</v>
      </c>
      <c r="I106" s="225">
        <f>+SUM(DataEx!FT220)</f>
        <v>21201257.989999998</v>
      </c>
      <c r="J106" s="225">
        <f>+SUM(DataEx!FU220)</f>
        <v>24401832.57</v>
      </c>
      <c r="K106" s="225">
        <f>+SUM(DataEx!FV220)</f>
        <v>4691004.47</v>
      </c>
      <c r="L106" s="225">
        <f>+SUM(DataEx!FW220)</f>
        <v>4393088.9950781604</v>
      </c>
      <c r="M106" s="225">
        <f>+SUM(DataEx!FX220)</f>
        <v>2315331.8626998202</v>
      </c>
      <c r="N106" s="225">
        <f>+SUM(DataEx!FY220)</f>
        <v>2012009.4317284599</v>
      </c>
      <c r="O106" s="225">
        <f>+SUM(DataEx!FZ220)</f>
        <v>2197471.5206857999</v>
      </c>
      <c r="P106" s="225">
        <f>+SUM(DataEx!GA220)</f>
        <v>448859.94196204399</v>
      </c>
      <c r="Q106" s="225">
        <f>+SUM(DataEx!GB220)</f>
        <v>572222.09031102306</v>
      </c>
      <c r="R106" s="225">
        <f>+SUM(DataEx!GC220)</f>
        <v>2287912.9892877098</v>
      </c>
      <c r="S106" s="312">
        <f t="shared" si="19"/>
        <v>67597134.481753007</v>
      </c>
      <c r="T106" s="283">
        <f t="shared" si="20"/>
        <v>1.4671745812461301</v>
      </c>
    </row>
    <row r="107" spans="1:21">
      <c r="A107" s="216" t="str">
        <f t="shared" si="16"/>
        <v>7113p</v>
      </c>
      <c r="B107" s="621" t="str">
        <f>+VLOOKUP(LEFT($A107,LEN(A107)-1)*1,Master!$D$30:$G$229,4,FALSE)</f>
        <v>Porez na promet nepokretnosti</v>
      </c>
      <c r="C107" s="622"/>
      <c r="D107" s="622"/>
      <c r="E107" s="622"/>
      <c r="F107" s="622"/>
      <c r="G107" s="225">
        <f>+SUM(DataEx!FR221)</f>
        <v>185009.31</v>
      </c>
      <c r="H107" s="225">
        <f>+SUM(DataEx!FS221)</f>
        <v>168097.86</v>
      </c>
      <c r="I107" s="225">
        <f>+SUM(DataEx!FT221)</f>
        <v>129165.08</v>
      </c>
      <c r="J107" s="225">
        <f>+SUM(DataEx!FU221)</f>
        <v>48149.33</v>
      </c>
      <c r="K107" s="225">
        <f>+SUM(DataEx!FV221)</f>
        <v>95187.63</v>
      </c>
      <c r="L107" s="225">
        <f>+SUM(DataEx!FW221)</f>
        <v>161561.36570369601</v>
      </c>
      <c r="M107" s="225">
        <f>+SUM(DataEx!FX221)</f>
        <v>155879.212165484</v>
      </c>
      <c r="N107" s="225">
        <f>+SUM(DataEx!FY221)</f>
        <v>176011.76588988601</v>
      </c>
      <c r="O107" s="225">
        <f>+SUM(DataEx!FZ221)</f>
        <v>134410.42099123701</v>
      </c>
      <c r="P107" s="225">
        <f>+SUM(DataEx!GA221)</f>
        <v>177686.88135689101</v>
      </c>
      <c r="Q107" s="225">
        <f>+SUM(DataEx!GB221)</f>
        <v>176411.244615303</v>
      </c>
      <c r="R107" s="225">
        <f>+SUM(DataEx!GC221)</f>
        <v>295411.18930750299</v>
      </c>
      <c r="S107" s="312">
        <f t="shared" si="19"/>
        <v>1902981.29003</v>
      </c>
      <c r="T107" s="283">
        <f t="shared" si="20"/>
        <v>4.1303611443361601E-2</v>
      </c>
    </row>
    <row r="108" spans="1:21">
      <c r="A108" s="216" t="str">
        <f t="shared" si="16"/>
        <v>7114p</v>
      </c>
      <c r="B108" s="621" t="str">
        <f>+VLOOKUP(LEFT($A108,LEN(A108)-1)*1,Master!$D$30:$G$229,4,FALSE)</f>
        <v>Porez na dodatu vrijednost</v>
      </c>
      <c r="C108" s="622"/>
      <c r="D108" s="622"/>
      <c r="E108" s="622"/>
      <c r="F108" s="622"/>
      <c r="G108" s="225">
        <f>+SUM(DataEx!FR222)</f>
        <v>47781207.189999998</v>
      </c>
      <c r="H108" s="225">
        <f>+SUM(DataEx!FS222)</f>
        <v>40097544.82</v>
      </c>
      <c r="I108" s="225">
        <f>+SUM(DataEx!FT222)</f>
        <v>54963852.219999999</v>
      </c>
      <c r="J108" s="225">
        <f>+SUM(DataEx!FU222)</f>
        <v>35570662.579999998</v>
      </c>
      <c r="K108" s="225">
        <f>+SUM(DataEx!FV222)</f>
        <v>38250745.619999997</v>
      </c>
      <c r="L108" s="225">
        <f>+SUM(DataEx!FW222)</f>
        <v>47380778.616715297</v>
      </c>
      <c r="M108" s="225">
        <f>+SUM(DataEx!FX222)</f>
        <v>60262693.256538197</v>
      </c>
      <c r="N108" s="225">
        <f>+SUM(DataEx!FY222)</f>
        <v>62819967.506489202</v>
      </c>
      <c r="O108" s="225">
        <f>+SUM(DataEx!FZ222)</f>
        <v>61535814.430398002</v>
      </c>
      <c r="P108" s="225">
        <f>+SUM(DataEx!GA222)</f>
        <v>60132973.705961198</v>
      </c>
      <c r="Q108" s="225">
        <f>+SUM(DataEx!GB222)</f>
        <v>51634389.126870997</v>
      </c>
      <c r="R108" s="225">
        <f>+SUM(DataEx!GC222)</f>
        <v>55352726.018547297</v>
      </c>
      <c r="S108" s="312">
        <f t="shared" si="19"/>
        <v>615783355.09151995</v>
      </c>
      <c r="T108" s="283">
        <f t="shared" si="20"/>
        <v>13.3653843919762</v>
      </c>
    </row>
    <row r="109" spans="1:21">
      <c r="A109" s="216" t="str">
        <f t="shared" si="16"/>
        <v>7115p</v>
      </c>
      <c r="B109" s="621" t="str">
        <f>+VLOOKUP(LEFT($A109,LEN(A109)-1)*1,Master!$D$30:$G$229,4,FALSE)</f>
        <v>Akcize</v>
      </c>
      <c r="C109" s="622"/>
      <c r="D109" s="622"/>
      <c r="E109" s="622"/>
      <c r="F109" s="622"/>
      <c r="G109" s="225">
        <f>+SUM(DataEx!FR223)</f>
        <v>18070145.100000001</v>
      </c>
      <c r="H109" s="225">
        <f>+SUM(DataEx!FS223)</f>
        <v>14831752.550000001</v>
      </c>
      <c r="I109" s="225">
        <f>+SUM(DataEx!FT223)</f>
        <v>16111610.99</v>
      </c>
      <c r="J109" s="225">
        <f>+SUM(DataEx!FU223)</f>
        <v>14097368.300000001</v>
      </c>
      <c r="K109" s="225">
        <f>+SUM(DataEx!FV223)</f>
        <v>14366315.76</v>
      </c>
      <c r="L109" s="225">
        <f>+SUM(DataEx!FW223)</f>
        <v>17736423.0479693</v>
      </c>
      <c r="M109" s="225">
        <f>+SUM(DataEx!FX223)</f>
        <v>21674329.506149199</v>
      </c>
      <c r="N109" s="225">
        <f>+SUM(DataEx!FY223)</f>
        <v>25493581.742318999</v>
      </c>
      <c r="O109" s="225">
        <f>+SUM(DataEx!FZ223)</f>
        <v>24034334.199540399</v>
      </c>
      <c r="P109" s="225">
        <f>+SUM(DataEx!GA223)</f>
        <v>19896747.919690698</v>
      </c>
      <c r="Q109" s="225">
        <f>+SUM(DataEx!GB223)</f>
        <v>18041848.774918001</v>
      </c>
      <c r="R109" s="225">
        <f>+SUM(DataEx!GC223)</f>
        <v>17033297.4672735</v>
      </c>
      <c r="S109" s="312">
        <f t="shared" si="19"/>
        <v>221387755.35786</v>
      </c>
      <c r="T109" s="283">
        <f t="shared" si="20"/>
        <v>4.8051517235226697</v>
      </c>
    </row>
    <row r="110" spans="1:21">
      <c r="A110" s="216" t="str">
        <f t="shared" si="16"/>
        <v>7116p</v>
      </c>
      <c r="B110" s="621" t="str">
        <f>+VLOOKUP(LEFT($A110,LEN(A110)-1)*1,Master!$D$30:$G$229,4,FALSE)</f>
        <v>Porez na međunarodnu trgovinu i transakcije</v>
      </c>
      <c r="C110" s="622"/>
      <c r="D110" s="622"/>
      <c r="E110" s="622"/>
      <c r="F110" s="622"/>
      <c r="G110" s="225">
        <f>+SUM(DataEx!FR224)</f>
        <v>1537206.63</v>
      </c>
      <c r="H110" s="225">
        <f>+SUM(DataEx!FS224)</f>
        <v>1922810.55</v>
      </c>
      <c r="I110" s="225">
        <f>+SUM(DataEx!FT224)</f>
        <v>2363697.87</v>
      </c>
      <c r="J110" s="225">
        <f>+SUM(DataEx!FU224)</f>
        <v>1725304.75</v>
      </c>
      <c r="K110" s="225">
        <f>+SUM(DataEx!FV224)</f>
        <v>1588906.58</v>
      </c>
      <c r="L110" s="225">
        <f>+SUM(DataEx!FW224)</f>
        <v>2454615.73571502</v>
      </c>
      <c r="M110" s="225">
        <f>+SUM(DataEx!FX224)</f>
        <v>3049614.4672733601</v>
      </c>
      <c r="N110" s="225">
        <f>+SUM(DataEx!FY224)</f>
        <v>2753955.9122244399</v>
      </c>
      <c r="O110" s="225">
        <f>+SUM(DataEx!FZ224)</f>
        <v>2521316.10209523</v>
      </c>
      <c r="P110" s="225">
        <f>+SUM(DataEx!GA224)</f>
        <v>2461642.7901004599</v>
      </c>
      <c r="Q110" s="225">
        <f>+SUM(DataEx!GB224)</f>
        <v>1998547.62997907</v>
      </c>
      <c r="R110" s="225">
        <f>+SUM(DataEx!GC224)</f>
        <v>2408802.7374724299</v>
      </c>
      <c r="S110" s="312">
        <f t="shared" si="19"/>
        <v>26786421.754859999</v>
      </c>
      <c r="T110" s="283">
        <f t="shared" si="20"/>
        <v>0.58139087437023895</v>
      </c>
    </row>
    <row r="111" spans="1:21">
      <c r="A111" s="216" t="str">
        <f t="shared" si="16"/>
        <v>7118p</v>
      </c>
      <c r="B111" s="621" t="str">
        <f>+VLOOKUP(LEFT($A111,LEN(A111)-1)*1,Master!$D$30:$G$229,4,FALSE)</f>
        <v>Ostali državni porezi</v>
      </c>
      <c r="C111" s="622"/>
      <c r="D111" s="622"/>
      <c r="E111" s="622"/>
      <c r="F111" s="622"/>
      <c r="G111" s="225">
        <f>+SUM(DataEx!FR226)</f>
        <v>755142.26</v>
      </c>
      <c r="H111" s="225">
        <f>+SUM(DataEx!FS226)</f>
        <v>745544.56</v>
      </c>
      <c r="I111" s="225">
        <f>+SUM(DataEx!FT226)</f>
        <v>855856.43</v>
      </c>
      <c r="J111" s="225">
        <f>+SUM(DataEx!FU226)</f>
        <v>718572.64</v>
      </c>
      <c r="K111" s="225">
        <f>+SUM(DataEx!FV226)</f>
        <v>656000.56000000006</v>
      </c>
      <c r="L111" s="225">
        <f>+SUM(DataEx!FW226)</f>
        <v>765731.78472662997</v>
      </c>
      <c r="M111" s="225">
        <f>+SUM(DataEx!FX226)</f>
        <v>832360.77771988895</v>
      </c>
      <c r="N111" s="225">
        <f>+SUM(DataEx!FY226)</f>
        <v>854509.13610841904</v>
      </c>
      <c r="O111" s="225">
        <f>+SUM(DataEx!FZ226)</f>
        <v>833524.08466524503</v>
      </c>
      <c r="P111" s="225">
        <f>+SUM(DataEx!GA226)</f>
        <v>765057.49382921204</v>
      </c>
      <c r="Q111" s="225">
        <f>+SUM(DataEx!GB226)</f>
        <v>807604.83573009796</v>
      </c>
      <c r="R111" s="225">
        <f>+SUM(DataEx!GC226)</f>
        <v>730439.40412050905</v>
      </c>
      <c r="S111" s="312">
        <f t="shared" si="19"/>
        <v>9320343.9669000003</v>
      </c>
      <c r="T111" s="283">
        <f t="shared" si="20"/>
        <v>0.20229513960237</v>
      </c>
    </row>
    <row r="112" spans="1:21">
      <c r="A112" s="216" t="str">
        <f t="shared" si="16"/>
        <v>712p</v>
      </c>
      <c r="B112" s="653" t="str">
        <f>+VLOOKUP(LEFT($A112,LEN(A112)-1)*1,Master!$D$30:$G$229,4,FALSE)</f>
        <v>Doprinosi</v>
      </c>
      <c r="C112" s="654"/>
      <c r="D112" s="654"/>
      <c r="E112" s="654"/>
      <c r="F112" s="654"/>
      <c r="G112" s="228">
        <f>+SUM(G113:G116)</f>
        <v>15749286.220000001</v>
      </c>
      <c r="H112" s="228">
        <f t="shared" ref="H112:R112" si="21">+SUM(H113:H116)</f>
        <v>42574769.890000001</v>
      </c>
      <c r="I112" s="228">
        <f t="shared" si="21"/>
        <v>44888756.57</v>
      </c>
      <c r="J112" s="228">
        <f t="shared" si="21"/>
        <v>33882602.5</v>
      </c>
      <c r="K112" s="228">
        <f t="shared" si="21"/>
        <v>40418289.450000003</v>
      </c>
      <c r="L112" s="228">
        <f t="shared" si="21"/>
        <v>39209561.537363499</v>
      </c>
      <c r="M112" s="228">
        <f t="shared" si="21"/>
        <v>39824401.2867027</v>
      </c>
      <c r="N112" s="228">
        <f t="shared" si="21"/>
        <v>37466342.331191897</v>
      </c>
      <c r="O112" s="228">
        <f t="shared" si="21"/>
        <v>35714950.117071599</v>
      </c>
      <c r="P112" s="228">
        <f t="shared" si="21"/>
        <v>56930028.965902403</v>
      </c>
      <c r="Q112" s="228">
        <f t="shared" si="21"/>
        <v>36060885.6890193</v>
      </c>
      <c r="R112" s="229">
        <f t="shared" si="21"/>
        <v>69780505.759044394</v>
      </c>
      <c r="S112" s="313">
        <f t="shared" si="19"/>
        <v>492500380.31629598</v>
      </c>
      <c r="T112" s="285">
        <f t="shared" si="20"/>
        <v>10.6895661301911</v>
      </c>
    </row>
    <row r="113" spans="1:20">
      <c r="A113" s="216" t="str">
        <f t="shared" si="16"/>
        <v>7121p</v>
      </c>
      <c r="B113" s="621" t="str">
        <f>+VLOOKUP(LEFT($A113,LEN(A113)-1)*1,Master!$D$30:$G$229,4,FALSE)</f>
        <v>Doprinosi za penzijsko i invalidsko osiguranje</v>
      </c>
      <c r="C113" s="622"/>
      <c r="D113" s="622"/>
      <c r="E113" s="622"/>
      <c r="F113" s="622"/>
      <c r="G113" s="225">
        <f>+SUM(DataEx!FR228)</f>
        <v>9790363.4800000004</v>
      </c>
      <c r="H113" s="225">
        <f>+SUM(DataEx!FS228)</f>
        <v>26782162.98</v>
      </c>
      <c r="I113" s="225">
        <f>+SUM(DataEx!FT228)</f>
        <v>28314388.120000001</v>
      </c>
      <c r="J113" s="225">
        <f>+SUM(DataEx!FU228)</f>
        <v>21078780.449999999</v>
      </c>
      <c r="K113" s="225">
        <f>+SUM(DataEx!FV228)</f>
        <v>24736473.050000001</v>
      </c>
      <c r="L113" s="225">
        <f>+SUM(DataEx!FW228)</f>
        <v>23760773.5443036</v>
      </c>
      <c r="M113" s="225">
        <f>+SUM(DataEx!FX228)</f>
        <v>23871756.047781002</v>
      </c>
      <c r="N113" s="225">
        <f>+SUM(DataEx!FY228)</f>
        <v>22680826.453800999</v>
      </c>
      <c r="O113" s="225">
        <f>+SUM(DataEx!FZ228)</f>
        <v>22031125.278228998</v>
      </c>
      <c r="P113" s="225">
        <f>+SUM(DataEx!GA228)</f>
        <v>35541512.532779798</v>
      </c>
      <c r="Q113" s="225">
        <f>+SUM(DataEx!GB228)</f>
        <v>22450966.125881799</v>
      </c>
      <c r="R113" s="225">
        <f>+SUM(DataEx!GC228)</f>
        <v>43833950.057554901</v>
      </c>
      <c r="S113" s="312">
        <f t="shared" si="19"/>
        <v>304873078.12033099</v>
      </c>
      <c r="T113" s="283">
        <f t="shared" si="20"/>
        <v>6.61717444317346</v>
      </c>
    </row>
    <row r="114" spans="1:20">
      <c r="A114" s="216" t="str">
        <f t="shared" si="16"/>
        <v>7122p</v>
      </c>
      <c r="B114" s="621" t="str">
        <f>+VLOOKUP(LEFT($A114,LEN(A114)-1)*1,Master!$D$30:$G$229,4,FALSE)</f>
        <v>Doprinosi za zdravstveno osiguranje</v>
      </c>
      <c r="C114" s="622"/>
      <c r="D114" s="622"/>
      <c r="E114" s="622"/>
      <c r="F114" s="622"/>
      <c r="G114" s="225">
        <f>+SUM(DataEx!FR229)</f>
        <v>5160073.6100000003</v>
      </c>
      <c r="H114" s="225">
        <f>+SUM(DataEx!FS229)</f>
        <v>13521231.24</v>
      </c>
      <c r="I114" s="225">
        <f>+SUM(DataEx!FT229)</f>
        <v>14020072.800000001</v>
      </c>
      <c r="J114" s="225">
        <f>+SUM(DataEx!FU229)</f>
        <v>10884138.67</v>
      </c>
      <c r="K114" s="225">
        <f>+SUM(DataEx!FV229)</f>
        <v>13478103.310000001</v>
      </c>
      <c r="L114" s="225">
        <f>+SUM(DataEx!FW229)</f>
        <v>13288147.0296568</v>
      </c>
      <c r="M114" s="225">
        <f>+SUM(DataEx!FX229)</f>
        <v>13813968.4156642</v>
      </c>
      <c r="N114" s="225">
        <f>+SUM(DataEx!FY229)</f>
        <v>12735872.6863873</v>
      </c>
      <c r="O114" s="225">
        <f>+SUM(DataEx!FZ229)</f>
        <v>11644606.2798669</v>
      </c>
      <c r="P114" s="225">
        <f>+SUM(DataEx!GA229)</f>
        <v>18421242.178837799</v>
      </c>
      <c r="Q114" s="225">
        <f>+SUM(DataEx!GB229)</f>
        <v>11548434.743273599</v>
      </c>
      <c r="R114" s="225">
        <f>+SUM(DataEx!GC229)</f>
        <v>21908596.728818402</v>
      </c>
      <c r="S114" s="312">
        <f t="shared" si="19"/>
        <v>160424487.692505</v>
      </c>
      <c r="T114" s="283">
        <f t="shared" si="20"/>
        <v>3.4819631387690202</v>
      </c>
    </row>
    <row r="115" spans="1:20">
      <c r="A115" s="216" t="str">
        <f t="shared" si="16"/>
        <v>7123p</v>
      </c>
      <c r="B115" s="621" t="str">
        <f>+VLOOKUP(LEFT($A115,LEN(A115)-1)*1,Master!$D$30:$G$229,4,FALSE)</f>
        <v>Doprinosi za osiguranje od nezaposlenosti</v>
      </c>
      <c r="C115" s="622"/>
      <c r="D115" s="622"/>
      <c r="E115" s="622"/>
      <c r="F115" s="622"/>
      <c r="G115" s="225">
        <f>+SUM(DataEx!FR230)</f>
        <v>455742.13</v>
      </c>
      <c r="H115" s="225">
        <f>+SUM(DataEx!FS230)</f>
        <v>1236727.53</v>
      </c>
      <c r="I115" s="225">
        <f>+SUM(DataEx!FT230)</f>
        <v>1425690.07</v>
      </c>
      <c r="J115" s="225">
        <f>+SUM(DataEx!FU230)</f>
        <v>1042509.86</v>
      </c>
      <c r="K115" s="225">
        <f>+SUM(DataEx!FV230)</f>
        <v>1190738.6299999999</v>
      </c>
      <c r="L115" s="225">
        <f>+SUM(DataEx!FW230)</f>
        <v>1153093.0495231799</v>
      </c>
      <c r="M115" s="225">
        <f>+SUM(DataEx!FX230)</f>
        <v>1134262.4482684699</v>
      </c>
      <c r="N115" s="225">
        <f>+SUM(DataEx!FY230)</f>
        <v>1082167.71371352</v>
      </c>
      <c r="O115" s="225">
        <f>+SUM(DataEx!FZ230)</f>
        <v>1070252.6081241099</v>
      </c>
      <c r="P115" s="225">
        <f>+SUM(DataEx!GA230)</f>
        <v>1551370.5209708901</v>
      </c>
      <c r="Q115" s="225">
        <f>+SUM(DataEx!GB230)</f>
        <v>1061855.7491216599</v>
      </c>
      <c r="R115" s="225">
        <f>+SUM(DataEx!GC230)</f>
        <v>2050776.7425857501</v>
      </c>
      <c r="S115" s="312">
        <f t="shared" si="19"/>
        <v>14455187.0523076</v>
      </c>
      <c r="T115" s="283">
        <f t="shared" si="20"/>
        <v>0.31374529664461998</v>
      </c>
    </row>
    <row r="116" spans="1:20">
      <c r="A116" s="216" t="str">
        <f t="shared" si="16"/>
        <v>7124p</v>
      </c>
      <c r="B116" s="621" t="str">
        <f>+VLOOKUP(LEFT($A116,LEN(A116)-1)*1,Master!$D$30:$G$229,4,FALSE)</f>
        <v>Ostali doprinosi</v>
      </c>
      <c r="C116" s="622"/>
      <c r="D116" s="622"/>
      <c r="E116" s="622"/>
      <c r="F116" s="622"/>
      <c r="G116" s="225">
        <f>+SUM(DataEx!FR231)</f>
        <v>343107</v>
      </c>
      <c r="H116" s="225">
        <f>+SUM(DataEx!FS231)</f>
        <v>1034648.14</v>
      </c>
      <c r="I116" s="225">
        <f>+SUM(DataEx!FT231)</f>
        <v>1128605.58</v>
      </c>
      <c r="J116" s="225">
        <f>+SUM(DataEx!FU231)</f>
        <v>877173.52</v>
      </c>
      <c r="K116" s="225">
        <f>+SUM(DataEx!FV231)</f>
        <v>1012974.46</v>
      </c>
      <c r="L116" s="225">
        <f>+SUM(DataEx!FW231)</f>
        <v>1007547.91387992</v>
      </c>
      <c r="M116" s="225">
        <f>+SUM(DataEx!FX231)</f>
        <v>1004414.37498905</v>
      </c>
      <c r="N116" s="225">
        <f>+SUM(DataEx!FY231)</f>
        <v>967475.47729010705</v>
      </c>
      <c r="O116" s="225">
        <f>+SUM(DataEx!FZ231)</f>
        <v>968965.95085166604</v>
      </c>
      <c r="P116" s="225">
        <f>+SUM(DataEx!GA231)</f>
        <v>1415903.73331396</v>
      </c>
      <c r="Q116" s="225">
        <f>+SUM(DataEx!GB231)</f>
        <v>999629.07074226905</v>
      </c>
      <c r="R116" s="225">
        <f>+SUM(DataEx!GC231)</f>
        <v>1987182.2300853301</v>
      </c>
      <c r="S116" s="312">
        <f t="shared" si="19"/>
        <v>12747627.4511523</v>
      </c>
      <c r="T116" s="283">
        <f t="shared" si="20"/>
        <v>0.27668325160402601</v>
      </c>
    </row>
    <row r="117" spans="1:20">
      <c r="A117" s="216" t="str">
        <f t="shared" si="16"/>
        <v>713p</v>
      </c>
      <c r="B117" s="623" t="str">
        <f>+VLOOKUP(LEFT($A117,LEN(A117)-1)*1,Master!$D$30:$G$229,4,FALSE)</f>
        <v>Takse</v>
      </c>
      <c r="C117" s="624"/>
      <c r="D117" s="624"/>
      <c r="E117" s="624"/>
      <c r="F117" s="624"/>
      <c r="G117" s="232">
        <f>+SUM(DataEx!FR232)</f>
        <v>669819.01</v>
      </c>
      <c r="H117" s="232">
        <f>+SUM(DataEx!FS232)</f>
        <v>845756.92</v>
      </c>
      <c r="I117" s="232">
        <f>+SUM(DataEx!FT232)</f>
        <v>720374.53</v>
      </c>
      <c r="J117" s="232">
        <f>+SUM(DataEx!FU232)</f>
        <v>316937.24</v>
      </c>
      <c r="K117" s="232">
        <f>+SUM(DataEx!FV232)</f>
        <v>469045.42</v>
      </c>
      <c r="L117" s="232">
        <f>+SUM(DataEx!FW232)</f>
        <v>1161870.85323555</v>
      </c>
      <c r="M117" s="232">
        <f>+SUM(DataEx!FX232)</f>
        <v>1673430.2546007801</v>
      </c>
      <c r="N117" s="232">
        <f>+SUM(DataEx!FY232)</f>
        <v>1388372.93897813</v>
      </c>
      <c r="O117" s="232">
        <f>+SUM(DataEx!FZ232)</f>
        <v>1416214.80348737</v>
      </c>
      <c r="P117" s="232">
        <f>+SUM(DataEx!GA232)</f>
        <v>1276386.10610634</v>
      </c>
      <c r="Q117" s="232">
        <f>+SUM(DataEx!GB232)</f>
        <v>963348.80250703602</v>
      </c>
      <c r="R117" s="232">
        <f>+SUM(DataEx!GC232)</f>
        <v>1285597.5253148</v>
      </c>
      <c r="S117" s="313">
        <f t="shared" si="19"/>
        <v>12187154.40423</v>
      </c>
      <c r="T117" s="285">
        <f t="shared" si="20"/>
        <v>0.26451836008573398</v>
      </c>
    </row>
    <row r="118" spans="1:20">
      <c r="A118" s="216" t="str">
        <f t="shared" si="16"/>
        <v>714p</v>
      </c>
      <c r="B118" s="623" t="str">
        <f>+VLOOKUP(LEFT($A118,LEN(A118)-1)*1,Master!$D$30:$G$229,4,FALSE)</f>
        <v>Naknade</v>
      </c>
      <c r="C118" s="624"/>
      <c r="D118" s="624"/>
      <c r="E118" s="624"/>
      <c r="F118" s="624"/>
      <c r="G118" s="232">
        <f>+SUM(DataEx!FR237)</f>
        <v>2226726.9300000002</v>
      </c>
      <c r="H118" s="232">
        <f>+SUM(DataEx!FS237)</f>
        <v>2200614.79</v>
      </c>
      <c r="I118" s="232">
        <f>+SUM(DataEx!FT237)</f>
        <v>1317967.9099999999</v>
      </c>
      <c r="J118" s="232">
        <f>+SUM(DataEx!FU237)</f>
        <v>1597851.36</v>
      </c>
      <c r="K118" s="232">
        <f>+SUM(DataEx!FV237)</f>
        <v>1673853.74</v>
      </c>
      <c r="L118" s="232">
        <f>+SUM(DataEx!FW237)</f>
        <v>2179490.8743573599</v>
      </c>
      <c r="M118" s="232">
        <f>+SUM(DataEx!FX237)</f>
        <v>2571108.83592257</v>
      </c>
      <c r="N118" s="232">
        <f>+SUM(DataEx!FY237)</f>
        <v>1825380.5890086701</v>
      </c>
      <c r="O118" s="232">
        <f>+SUM(DataEx!FZ237)</f>
        <v>2163813.0387331601</v>
      </c>
      <c r="P118" s="232">
        <f>+SUM(DataEx!GA237)</f>
        <v>1995229.22288673</v>
      </c>
      <c r="Q118" s="232">
        <f>+SUM(DataEx!GB237)</f>
        <v>1517691.04492078</v>
      </c>
      <c r="R118" s="232">
        <f>+SUM(DataEx!GC237)</f>
        <v>3555523.5622207299</v>
      </c>
      <c r="S118" s="313">
        <f t="shared" si="19"/>
        <v>24825251.898049999</v>
      </c>
      <c r="T118" s="285">
        <f t="shared" si="20"/>
        <v>0.53882429835370005</v>
      </c>
    </row>
    <row r="119" spans="1:20">
      <c r="A119" s="216" t="str">
        <f t="shared" si="16"/>
        <v>715p</v>
      </c>
      <c r="B119" s="623" t="str">
        <f>+VLOOKUP(LEFT($A119,LEN(A119)-1)*1,Master!$D$30:$G$229,4,FALSE)</f>
        <v>Ostali prihodi</v>
      </c>
      <c r="C119" s="624"/>
      <c r="D119" s="624"/>
      <c r="E119" s="624"/>
      <c r="F119" s="624"/>
      <c r="G119" s="232">
        <f>+SUM(DataEx!FR244)</f>
        <v>1484714.27</v>
      </c>
      <c r="H119" s="232">
        <f>+SUM(DataEx!FS244)</f>
        <v>2100277.88</v>
      </c>
      <c r="I119" s="232">
        <f>+SUM(DataEx!FT244)</f>
        <v>4248499.3600000003</v>
      </c>
      <c r="J119" s="232">
        <f>+SUM(DataEx!FU244)</f>
        <v>1617752.38</v>
      </c>
      <c r="K119" s="232">
        <f>+SUM(DataEx!FV244)</f>
        <v>1237245.3600000001</v>
      </c>
      <c r="L119" s="232">
        <f>+SUM(DataEx!FW244)</f>
        <v>2257816.0682841102</v>
      </c>
      <c r="M119" s="232">
        <f>+SUM(DataEx!FX244)</f>
        <v>5692253.8149066595</v>
      </c>
      <c r="N119" s="232">
        <f>+SUM(DataEx!FY244)</f>
        <v>4621203.3620386403</v>
      </c>
      <c r="O119" s="232">
        <f>+SUM(DataEx!FZ244)</f>
        <v>17537126.9152207</v>
      </c>
      <c r="P119" s="232">
        <f>+SUM(DataEx!GA244)</f>
        <v>3831817.5735939299</v>
      </c>
      <c r="Q119" s="232">
        <f>+SUM(DataEx!GB244)</f>
        <v>3619302.6260553901</v>
      </c>
      <c r="R119" s="232">
        <f>+SUM(DataEx!GC244)</f>
        <v>4678583.5639540702</v>
      </c>
      <c r="S119" s="313">
        <f t="shared" si="19"/>
        <v>52926593.174053498</v>
      </c>
      <c r="T119" s="285">
        <f t="shared" si="20"/>
        <v>1.14875508810048</v>
      </c>
    </row>
    <row r="120" spans="1:20">
      <c r="A120" s="216" t="str">
        <f t="shared" si="16"/>
        <v>73p</v>
      </c>
      <c r="B120" s="623" t="str">
        <f>+VLOOKUP(LEFT($A120,LEN(A120)-1)*1,Master!$D$30:$G$229,4,FALSE)</f>
        <v>Primici od otplate kredita i sredstva prenesena iz prethodne godine</v>
      </c>
      <c r="C120" s="624"/>
      <c r="D120" s="624"/>
      <c r="E120" s="624"/>
      <c r="F120" s="624"/>
      <c r="G120" s="232">
        <f>+SUM(DataEx!FR252)</f>
        <v>80819.179999999993</v>
      </c>
      <c r="H120" s="232">
        <f>+SUM(DataEx!FS252)</f>
        <v>813727.89</v>
      </c>
      <c r="I120" s="232">
        <f>+SUM(DataEx!FT252)</f>
        <v>794561.22</v>
      </c>
      <c r="J120" s="232">
        <f>+SUM(DataEx!FU252)</f>
        <v>561040.23</v>
      </c>
      <c r="K120" s="232">
        <f>+SUM(DataEx!FV252)</f>
        <v>218800.94</v>
      </c>
      <c r="L120" s="232">
        <f>+SUM(DataEx!FW252)</f>
        <v>172752.84814830599</v>
      </c>
      <c r="M120" s="232">
        <f>+SUM(DataEx!FX252)</f>
        <v>621585.638012385</v>
      </c>
      <c r="N120" s="232">
        <f>+SUM(DataEx!FY252)</f>
        <v>1170088.84910474</v>
      </c>
      <c r="O120" s="232">
        <f>+SUM(DataEx!FZ252)</f>
        <v>665799.08079606504</v>
      </c>
      <c r="P120" s="232">
        <f>+SUM(DataEx!GA252)</f>
        <v>9201611.3215604108</v>
      </c>
      <c r="Q120" s="232">
        <f>+SUM(DataEx!GB252)</f>
        <v>1305018.6190754001</v>
      </c>
      <c r="R120" s="232">
        <f>+SUM(DataEx!GC252)</f>
        <v>1507066.62330269</v>
      </c>
      <c r="S120" s="313">
        <f t="shared" si="19"/>
        <v>17112872.440000001</v>
      </c>
      <c r="T120" s="285">
        <f t="shared" si="20"/>
        <v>0.37142952358214099</v>
      </c>
    </row>
    <row r="121" spans="1:20">
      <c r="A121" s="216" t="str">
        <f t="shared" si="16"/>
        <v>74p</v>
      </c>
      <c r="B121" s="625" t="str">
        <f>+VLOOKUP(LEFT($A121,LEN(A121)-1)*1,Master!$D$30:$G$229,4,FALSE)</f>
        <v>Donacije i transferi</v>
      </c>
      <c r="C121" s="626"/>
      <c r="D121" s="626"/>
      <c r="E121" s="626"/>
      <c r="F121" s="626"/>
      <c r="G121" s="232">
        <f>+SUM(DataEx!FR255)</f>
        <v>754264.83</v>
      </c>
      <c r="H121" s="232">
        <f>+SUM(DataEx!FS255)</f>
        <v>1636489.54</v>
      </c>
      <c r="I121" s="232">
        <f>+SUM(DataEx!FT255)</f>
        <v>3512551.56</v>
      </c>
      <c r="J121" s="232">
        <f>+SUM(DataEx!FU255)</f>
        <v>2957605.59</v>
      </c>
      <c r="K121" s="232">
        <f>+SUM(DataEx!FV255)</f>
        <v>1856477.6183333299</v>
      </c>
      <c r="L121" s="232">
        <f>+SUM(DataEx!FW255)</f>
        <v>2156477.6183333299</v>
      </c>
      <c r="M121" s="232">
        <f>+SUM(DataEx!FX255)</f>
        <v>1856477.6183333299</v>
      </c>
      <c r="N121" s="232">
        <f>+SUM(DataEx!FY255)</f>
        <v>1856477.6183333299</v>
      </c>
      <c r="O121" s="232">
        <f>+SUM(DataEx!FZ255)</f>
        <v>25000000</v>
      </c>
      <c r="P121" s="232">
        <f>+SUM(DataEx!GA255)</f>
        <v>1856477.6183333299</v>
      </c>
      <c r="Q121" s="232">
        <f>+SUM(DataEx!GB255)</f>
        <v>1856477.6183333299</v>
      </c>
      <c r="R121" s="232">
        <f>+SUM(DataEx!GC255)</f>
        <v>4700000</v>
      </c>
      <c r="S121" s="314">
        <f t="shared" si="19"/>
        <v>49999777.229999997</v>
      </c>
      <c r="T121" s="286">
        <f t="shared" si="20"/>
        <v>1.0852294669329099</v>
      </c>
    </row>
    <row r="122" spans="1:20">
      <c r="A122" s="216" t="str">
        <f t="shared" si="16"/>
        <v>4p</v>
      </c>
      <c r="B122" s="617" t="str">
        <f>+VLOOKUP(LEFT($A122,LEN(A122)-1)*1,Master!$D$30:$G$229,4,FALSE)</f>
        <v>Izdaci budžeta</v>
      </c>
      <c r="C122" s="618"/>
      <c r="D122" s="618"/>
      <c r="E122" s="618"/>
      <c r="F122" s="618"/>
      <c r="G122" s="217">
        <f t="shared" ref="G122:R122" si="22">+G123+G133+G139+SUM(G140:G144)</f>
        <v>128402307.02</v>
      </c>
      <c r="H122" s="217">
        <f t="shared" si="22"/>
        <v>145162701.22999999</v>
      </c>
      <c r="I122" s="217">
        <f t="shared" si="22"/>
        <v>178126074.16999999</v>
      </c>
      <c r="J122" s="217">
        <f t="shared" si="22"/>
        <v>171031315.41999999</v>
      </c>
      <c r="K122" s="217">
        <f t="shared" si="22"/>
        <v>159587309.72</v>
      </c>
      <c r="L122" s="217">
        <f t="shared" si="22"/>
        <v>189250396.05857101</v>
      </c>
      <c r="M122" s="217">
        <f t="shared" si="22"/>
        <v>174533238.90023801</v>
      </c>
      <c r="N122" s="217">
        <f t="shared" si="22"/>
        <v>164739952.86571401</v>
      </c>
      <c r="O122" s="217">
        <f t="shared" si="22"/>
        <v>169141198.62023801</v>
      </c>
      <c r="P122" s="217">
        <f t="shared" si="22"/>
        <v>231617338.51690501</v>
      </c>
      <c r="Q122" s="217">
        <f t="shared" si="22"/>
        <v>162602965.026905</v>
      </c>
      <c r="R122" s="217">
        <f t="shared" si="22"/>
        <v>166684409.24733099</v>
      </c>
      <c r="S122" s="315">
        <f t="shared" si="19"/>
        <v>2040879206.7959001</v>
      </c>
      <c r="T122" s="316">
        <f t="shared" si="20"/>
        <v>44.296642432572298</v>
      </c>
    </row>
    <row r="123" spans="1:20">
      <c r="A123" s="216" t="str">
        <f t="shared" si="16"/>
        <v>41p</v>
      </c>
      <c r="B123" s="627" t="str">
        <f>+VLOOKUP(LEFT($A123,LEN(A123)-1)*1,Master!$D$30:$G$229,4,FALSE)</f>
        <v>Tekući izdaci</v>
      </c>
      <c r="C123" s="628"/>
      <c r="D123" s="628"/>
      <c r="E123" s="628"/>
      <c r="F123" s="628"/>
      <c r="G123" s="240">
        <f t="shared" ref="G123:R123" si="23">+SUM(G124:G132)</f>
        <v>53697944.280000001</v>
      </c>
      <c r="H123" s="240">
        <f t="shared" si="23"/>
        <v>62612241.68</v>
      </c>
      <c r="I123" s="240">
        <f t="shared" si="23"/>
        <v>85267124.180000007</v>
      </c>
      <c r="J123" s="240">
        <f t="shared" si="23"/>
        <v>84481793.829999998</v>
      </c>
      <c r="K123" s="240">
        <f t="shared" si="23"/>
        <v>65236484.079999998</v>
      </c>
      <c r="L123" s="240">
        <f t="shared" si="23"/>
        <v>70375979.435714304</v>
      </c>
      <c r="M123" s="240">
        <f t="shared" si="23"/>
        <v>71160488.9440476</v>
      </c>
      <c r="N123" s="240">
        <f t="shared" si="23"/>
        <v>61367202.9095238</v>
      </c>
      <c r="O123" s="240">
        <f t="shared" si="23"/>
        <v>65768448.664047599</v>
      </c>
      <c r="P123" s="240">
        <f t="shared" si="23"/>
        <v>80948940.234047607</v>
      </c>
      <c r="Q123" s="240">
        <f t="shared" si="23"/>
        <v>67548653.6940476</v>
      </c>
      <c r="R123" s="241">
        <f t="shared" si="23"/>
        <v>71630097.914473504</v>
      </c>
      <c r="S123" s="311">
        <f t="shared" si="19"/>
        <v>840095399.84590197</v>
      </c>
      <c r="T123" s="282">
        <f t="shared" si="20"/>
        <v>18.234006898745498</v>
      </c>
    </row>
    <row r="124" spans="1:20">
      <c r="A124" s="216" t="str">
        <f t="shared" si="16"/>
        <v>411p</v>
      </c>
      <c r="B124" s="621" t="str">
        <f>+VLOOKUP(LEFT($A124,LEN(A124)-1)*1,Master!$D$30:$G$229,4,FALSE)</f>
        <v>Bruto zarade i doprinosi na teret poslodavca</v>
      </c>
      <c r="C124" s="622"/>
      <c r="D124" s="622"/>
      <c r="E124" s="622"/>
      <c r="F124" s="622"/>
      <c r="G124" s="225">
        <f>+SUM(DataEx!FR264)</f>
        <v>40884882.280000001</v>
      </c>
      <c r="H124" s="225">
        <f>+SUM(DataEx!FS264)</f>
        <v>41362850.270000003</v>
      </c>
      <c r="I124" s="225">
        <f>+SUM(DataEx!FT264)</f>
        <v>41444412.079999998</v>
      </c>
      <c r="J124" s="225">
        <f>+SUM(DataEx!FU264)</f>
        <v>41745440.189999998</v>
      </c>
      <c r="K124" s="225">
        <f>+SUM(DataEx!FV264)</f>
        <v>40757623.899999999</v>
      </c>
      <c r="L124" s="225">
        <f>+SUM(DataEx!FW264)</f>
        <v>41753797.367142797</v>
      </c>
      <c r="M124" s="225">
        <f>+SUM(DataEx!FX264)</f>
        <v>41753797.367142797</v>
      </c>
      <c r="N124" s="225">
        <f>+SUM(DataEx!FY264)</f>
        <v>41753797.367142797</v>
      </c>
      <c r="O124" s="225">
        <f>+SUM(DataEx!FZ264)</f>
        <v>41753797.367142797</v>
      </c>
      <c r="P124" s="225">
        <f>+SUM(DataEx!GA264)</f>
        <v>41753797.367142797</v>
      </c>
      <c r="Q124" s="225">
        <f>+SUM(DataEx!GB264)</f>
        <v>41753797.367142797</v>
      </c>
      <c r="R124" s="225">
        <f>+SUM(DataEx!GC264)</f>
        <v>41753797.367142797</v>
      </c>
      <c r="S124" s="312">
        <f t="shared" si="19"/>
        <v>498471790.29000002</v>
      </c>
      <c r="T124" s="283">
        <f t="shared" si="20"/>
        <v>10.8191737088968</v>
      </c>
    </row>
    <row r="125" spans="1:20">
      <c r="A125" s="216" t="str">
        <f t="shared" si="16"/>
        <v>412p</v>
      </c>
      <c r="B125" s="621" t="str">
        <f>+VLOOKUP(LEFT($A125,LEN(A125)-1)*1,Master!$D$30:$G$229,4,FALSE)</f>
        <v>Ostala lična primanja</v>
      </c>
      <c r="C125" s="622"/>
      <c r="D125" s="622"/>
      <c r="E125" s="622"/>
      <c r="F125" s="622"/>
      <c r="G125" s="225">
        <f>+SUM(DataEx!FR270)</f>
        <v>476603.42</v>
      </c>
      <c r="H125" s="225">
        <f>+SUM(DataEx!FS270)</f>
        <v>1082169.6499999999</v>
      </c>
      <c r="I125" s="225">
        <f>+SUM(DataEx!FT270)</f>
        <v>1109472.33</v>
      </c>
      <c r="J125" s="225">
        <f>+SUM(DataEx!FU270)</f>
        <v>652598.81999999995</v>
      </c>
      <c r="K125" s="225">
        <f>+SUM(DataEx!FV270)</f>
        <v>376000.24</v>
      </c>
      <c r="L125" s="225">
        <f>+SUM(DataEx!FW270)</f>
        <v>1605574.7457142901</v>
      </c>
      <c r="M125" s="225">
        <f>+SUM(DataEx!FX270)</f>
        <v>1605574.7457142901</v>
      </c>
      <c r="N125" s="225">
        <f>+SUM(DataEx!FY270)</f>
        <v>1605574.7457142901</v>
      </c>
      <c r="O125" s="225">
        <f>+SUM(DataEx!FZ270)</f>
        <v>1605574.7457142901</v>
      </c>
      <c r="P125" s="225">
        <f>+SUM(DataEx!GA270)</f>
        <v>1605574.7457142901</v>
      </c>
      <c r="Q125" s="225">
        <f>+SUM(DataEx!GB270)</f>
        <v>1605574.7457142901</v>
      </c>
      <c r="R125" s="225">
        <f>+SUM(DataEx!GC270)</f>
        <v>1605590.0757142899</v>
      </c>
      <c r="S125" s="312">
        <f t="shared" si="19"/>
        <v>14935883.01</v>
      </c>
      <c r="T125" s="283">
        <f t="shared" si="20"/>
        <v>0.32417865148785602</v>
      </c>
    </row>
    <row r="126" spans="1:20">
      <c r="A126" s="216" t="str">
        <f t="shared" si="16"/>
        <v>413p</v>
      </c>
      <c r="B126" s="621" t="str">
        <f>+VLOOKUP(LEFT($A126,LEN(A126)-1)*1,Master!$D$30:$G$229,4,FALSE)</f>
        <v>Rashodi za materijal</v>
      </c>
      <c r="C126" s="622"/>
      <c r="D126" s="622"/>
      <c r="E126" s="622"/>
      <c r="F126" s="622"/>
      <c r="G126" s="225">
        <f>+SUM(DataEx!FR278)</f>
        <v>845574.4</v>
      </c>
      <c r="H126" s="225">
        <f>+SUM(DataEx!FS278)</f>
        <v>4271561.3099999996</v>
      </c>
      <c r="I126" s="225">
        <f>+SUM(DataEx!FT278)</f>
        <v>2456800.5</v>
      </c>
      <c r="J126" s="225">
        <f>+SUM(DataEx!FU278)</f>
        <v>3001224.56</v>
      </c>
      <c r="K126" s="225">
        <f>+SUM(DataEx!FV278)</f>
        <v>1835726.56</v>
      </c>
      <c r="L126" s="225">
        <f>+SUM(DataEx!FW278)</f>
        <v>3331584.2171428599</v>
      </c>
      <c r="M126" s="225">
        <f>+SUM(DataEx!FX278)</f>
        <v>3331584.2171428599</v>
      </c>
      <c r="N126" s="225">
        <f>+SUM(DataEx!FY278)</f>
        <v>2665267.3737142901</v>
      </c>
      <c r="O126" s="225">
        <f>+SUM(DataEx!FZ278)</f>
        <v>3331584.2171428599</v>
      </c>
      <c r="P126" s="225">
        <f>+SUM(DataEx!GA278)</f>
        <v>3331584.2171428599</v>
      </c>
      <c r="Q126" s="225">
        <f>+SUM(DataEx!GB278)</f>
        <v>3331584.2171428599</v>
      </c>
      <c r="R126" s="225">
        <f>+SUM(DataEx!GC278)</f>
        <v>3997910.8964734701</v>
      </c>
      <c r="S126" s="312">
        <f t="shared" si="19"/>
        <v>35731986.685901999</v>
      </c>
      <c r="T126" s="283">
        <f t="shared" si="20"/>
        <v>0.77555155266429499</v>
      </c>
    </row>
    <row r="127" spans="1:20">
      <c r="A127" s="216" t="str">
        <f t="shared" si="16"/>
        <v>414p</v>
      </c>
      <c r="B127" s="621" t="str">
        <f>+VLOOKUP(LEFT($A127,LEN(A127)-1)*1,Master!$D$30:$G$229,4,FALSE)</f>
        <v>Rashodi za usluge</v>
      </c>
      <c r="C127" s="622"/>
      <c r="D127" s="622"/>
      <c r="E127" s="622"/>
      <c r="F127" s="622"/>
      <c r="G127" s="225">
        <f>+SUM(DataEx!FR285)</f>
        <v>1526609.67</v>
      </c>
      <c r="H127" s="225">
        <f>+SUM(DataEx!FS285)</f>
        <v>5800030.7699999996</v>
      </c>
      <c r="I127" s="225">
        <f>+SUM(DataEx!FT285)</f>
        <v>6227024.2599999998</v>
      </c>
      <c r="J127" s="225">
        <f>+SUM(DataEx!FU285)</f>
        <v>3735755.56</v>
      </c>
      <c r="K127" s="225">
        <f>+SUM(DataEx!FV285)</f>
        <v>13077926.789999999</v>
      </c>
      <c r="L127" s="225">
        <f>+SUM(DataEx!FW285)</f>
        <v>4490161.0014285697</v>
      </c>
      <c r="M127" s="225">
        <f>+SUM(DataEx!FX285)</f>
        <v>4490161.0014285697</v>
      </c>
      <c r="N127" s="225">
        <f>+SUM(DataEx!FY285)</f>
        <v>3592128.8011428602</v>
      </c>
      <c r="O127" s="225">
        <f>+SUM(DataEx!FZ285)</f>
        <v>4490161.0014285697</v>
      </c>
      <c r="P127" s="225">
        <f>+SUM(DataEx!GA285)</f>
        <v>4490161.0014285697</v>
      </c>
      <c r="Q127" s="225">
        <f>+SUM(DataEx!GB285)</f>
        <v>4490161.0014285697</v>
      </c>
      <c r="R127" s="225">
        <f>+SUM(DataEx!GC285)</f>
        <v>5388158.5617142897</v>
      </c>
      <c r="S127" s="312">
        <f t="shared" si="19"/>
        <v>61798439.420000002</v>
      </c>
      <c r="T127" s="283">
        <f t="shared" si="20"/>
        <v>1.3413157254791299</v>
      </c>
    </row>
    <row r="128" spans="1:20">
      <c r="A128" s="216" t="str">
        <f t="shared" si="16"/>
        <v>415p</v>
      </c>
      <c r="B128" s="621" t="str">
        <f>+VLOOKUP(LEFT($A128,LEN(A128)-1)*1,Master!$D$30:$G$229,4,FALSE)</f>
        <v>Rashodi za tekuće održavanje</v>
      </c>
      <c r="C128" s="622"/>
      <c r="D128" s="622"/>
      <c r="E128" s="622"/>
      <c r="F128" s="622"/>
      <c r="G128" s="225">
        <f>+SUM(DataEx!FR295)</f>
        <v>108691.98</v>
      </c>
      <c r="H128" s="225">
        <f>+SUM(DataEx!FS295)</f>
        <v>2265483.7400000002</v>
      </c>
      <c r="I128" s="225">
        <f>+SUM(DataEx!FT295)</f>
        <v>1016574.39</v>
      </c>
      <c r="J128" s="225">
        <f>+SUM(DataEx!FU295)</f>
        <v>2804355.68</v>
      </c>
      <c r="K128" s="225">
        <f>+SUM(DataEx!FV295)</f>
        <v>1877727.17</v>
      </c>
      <c r="L128" s="225">
        <f>+SUM(DataEx!FW295)</f>
        <v>2564587.1557142902</v>
      </c>
      <c r="M128" s="225">
        <f>+SUM(DataEx!FX295)</f>
        <v>2564587.1557142902</v>
      </c>
      <c r="N128" s="225">
        <f>+SUM(DataEx!FY295)</f>
        <v>2051669.7245714299</v>
      </c>
      <c r="O128" s="225">
        <f>+SUM(DataEx!FZ295)</f>
        <v>2564587.1557142902</v>
      </c>
      <c r="P128" s="225">
        <f>+SUM(DataEx!GA295)</f>
        <v>2564587.1557142902</v>
      </c>
      <c r="Q128" s="225">
        <f>+SUM(DataEx!GB295)</f>
        <v>2564587.1557142902</v>
      </c>
      <c r="R128" s="225">
        <f>+SUM(DataEx!GC295)</f>
        <v>3077495.2968571498</v>
      </c>
      <c r="S128" s="312">
        <f t="shared" si="19"/>
        <v>26024933.760000002</v>
      </c>
      <c r="T128" s="283">
        <f t="shared" si="20"/>
        <v>0.564863016517266</v>
      </c>
    </row>
    <row r="129" spans="1:20">
      <c r="A129" s="216" t="str">
        <f t="shared" si="16"/>
        <v>416p</v>
      </c>
      <c r="B129" s="621" t="str">
        <f>+VLOOKUP(LEFT($A129,LEN(A129)-1)*1,Master!$D$30:$G$229,4,FALSE)</f>
        <v>Kamate</v>
      </c>
      <c r="C129" s="622"/>
      <c r="D129" s="622"/>
      <c r="E129" s="622"/>
      <c r="F129" s="622"/>
      <c r="G129" s="225">
        <f>+SUM(DataEx!FR299)</f>
        <v>7654845.3899999997</v>
      </c>
      <c r="H129" s="225">
        <f>+SUM(DataEx!FS299)</f>
        <v>1839801.88</v>
      </c>
      <c r="I129" s="225">
        <f>+SUM(DataEx!FT299)</f>
        <v>27475960.399999999</v>
      </c>
      <c r="J129" s="225">
        <f>+SUM(DataEx!FU299)</f>
        <v>22559197.739999998</v>
      </c>
      <c r="K129" s="225">
        <f>+SUM(DataEx!FV299)</f>
        <v>1656916.58</v>
      </c>
      <c r="L129" s="225">
        <f>+SUM(DataEx!FW299)</f>
        <v>5198232.47</v>
      </c>
      <c r="M129" s="225">
        <f>+SUM(DataEx!FX299)</f>
        <v>7583026.2800000003</v>
      </c>
      <c r="N129" s="225">
        <f>+SUM(DataEx!FY299)</f>
        <v>786949.86</v>
      </c>
      <c r="O129" s="225">
        <f>+SUM(DataEx!FZ299)</f>
        <v>2190986</v>
      </c>
      <c r="P129" s="225">
        <f>+SUM(DataEx!GA299)</f>
        <v>17371477.57</v>
      </c>
      <c r="Q129" s="225">
        <f>+SUM(DataEx!GB299)</f>
        <v>3971191.03</v>
      </c>
      <c r="R129" s="225">
        <f>+SUM(DataEx!GC299)</f>
        <v>5055431.2400000095</v>
      </c>
      <c r="S129" s="312">
        <f t="shared" si="19"/>
        <v>103344016.44</v>
      </c>
      <c r="T129" s="283">
        <f t="shared" si="20"/>
        <v>2.2430494311201801</v>
      </c>
    </row>
    <row r="130" spans="1:20">
      <c r="A130" s="216" t="str">
        <f t="shared" si="16"/>
        <v>417p</v>
      </c>
      <c r="B130" s="621" t="str">
        <f>+VLOOKUP(LEFT($A130,LEN(A130)-1)*1,Master!$D$30:$G$229,4,FALSE)</f>
        <v>Renta</v>
      </c>
      <c r="C130" s="622"/>
      <c r="D130" s="622"/>
      <c r="E130" s="622"/>
      <c r="F130" s="622"/>
      <c r="G130" s="225">
        <f>+SUM(DataEx!FR302)</f>
        <v>616777.93000000005</v>
      </c>
      <c r="H130" s="225">
        <f>+SUM(DataEx!FS302)</f>
        <v>930050.26</v>
      </c>
      <c r="I130" s="225">
        <f>+SUM(DataEx!FT302)</f>
        <v>896586.65</v>
      </c>
      <c r="J130" s="225">
        <f>+SUM(DataEx!FU302)</f>
        <v>972131.72</v>
      </c>
      <c r="K130" s="225">
        <f>+SUM(DataEx!FV302)</f>
        <v>769427.2</v>
      </c>
      <c r="L130" s="225">
        <f>+SUM(DataEx!FW302)</f>
        <v>991607.47714285704</v>
      </c>
      <c r="M130" s="225">
        <f>+SUM(DataEx!FX302)</f>
        <v>991607.47714285704</v>
      </c>
      <c r="N130" s="225">
        <f>+SUM(DataEx!FY302)</f>
        <v>991607.47714285704</v>
      </c>
      <c r="O130" s="225">
        <f>+SUM(DataEx!FZ302)</f>
        <v>991607.47714285704</v>
      </c>
      <c r="P130" s="225">
        <f>+SUM(DataEx!GA302)</f>
        <v>991607.47714285704</v>
      </c>
      <c r="Q130" s="225">
        <f>+SUM(DataEx!GB302)</f>
        <v>991607.47714285704</v>
      </c>
      <c r="R130" s="225">
        <f>+SUM(DataEx!GC302)</f>
        <v>991620.63714285695</v>
      </c>
      <c r="S130" s="312">
        <f t="shared" si="19"/>
        <v>11126239.26</v>
      </c>
      <c r="T130" s="283">
        <f t="shared" si="20"/>
        <v>0.24149152996331899</v>
      </c>
    </row>
    <row r="131" spans="1:20">
      <c r="A131" s="216" t="str">
        <f t="shared" si="16"/>
        <v>418p</v>
      </c>
      <c r="B131" s="621" t="str">
        <f>+VLOOKUP(LEFT($A131,LEN(A131)-1)*1,Master!$D$30:$G$229,4,FALSE)</f>
        <v>Subvencije</v>
      </c>
      <c r="C131" s="622"/>
      <c r="D131" s="622"/>
      <c r="E131" s="622"/>
      <c r="F131" s="622"/>
      <c r="G131" s="225">
        <f>+SUM(DataEx!FR306)</f>
        <v>186907.92</v>
      </c>
      <c r="H131" s="225">
        <f>+SUM(DataEx!FS306)</f>
        <v>1211715.27</v>
      </c>
      <c r="I131" s="225">
        <f>+SUM(DataEx!FT306)</f>
        <v>1425211.49</v>
      </c>
      <c r="J131" s="225">
        <f>+SUM(DataEx!FU306)</f>
        <v>5065576.53</v>
      </c>
      <c r="K131" s="225">
        <f>+SUM(DataEx!FV306)</f>
        <v>1512180.75</v>
      </c>
      <c r="L131" s="225">
        <f>+SUM(DataEx!FW306)</f>
        <v>4240435.0014285697</v>
      </c>
      <c r="M131" s="225">
        <f>+SUM(DataEx!FX306)</f>
        <v>4240435.0014285697</v>
      </c>
      <c r="N131" s="225">
        <f>+SUM(DataEx!FY306)</f>
        <v>4240435.0014285697</v>
      </c>
      <c r="O131" s="225">
        <f>+SUM(DataEx!FZ306)</f>
        <v>4240435.0014285697</v>
      </c>
      <c r="P131" s="225">
        <f>+SUM(DataEx!GA306)</f>
        <v>4240435.0014285697</v>
      </c>
      <c r="Q131" s="225">
        <f>+SUM(DataEx!GB306)</f>
        <v>4240435.0014285697</v>
      </c>
      <c r="R131" s="225">
        <f>+SUM(DataEx!GC306)</f>
        <v>4240435.0014285697</v>
      </c>
      <c r="S131" s="312">
        <f t="shared" si="19"/>
        <v>39084636.969999999</v>
      </c>
      <c r="T131" s="283">
        <f t="shared" si="20"/>
        <v>0.84831977448831197</v>
      </c>
    </row>
    <row r="132" spans="1:20">
      <c r="A132" s="216" t="str">
        <f t="shared" si="16"/>
        <v>419p</v>
      </c>
      <c r="B132" s="621" t="str">
        <f>+VLOOKUP(LEFT($A132,LEN(A132)-1)*1,Master!$D$30:$G$229,4,FALSE)</f>
        <v>Ostali izdaci</v>
      </c>
      <c r="C132" s="622"/>
      <c r="D132" s="622"/>
      <c r="E132" s="622"/>
      <c r="F132" s="622"/>
      <c r="G132" s="225">
        <f>+SUM(DataEx!FR310)</f>
        <v>1397051.29</v>
      </c>
      <c r="H132" s="225">
        <f>+SUM(DataEx!FS310)</f>
        <v>3848578.53</v>
      </c>
      <c r="I132" s="225">
        <f>+SUM(DataEx!FT310)</f>
        <v>3215082.08</v>
      </c>
      <c r="J132" s="225">
        <f>+SUM(DataEx!FU310)</f>
        <v>3945513.03</v>
      </c>
      <c r="K132" s="225">
        <f>+SUM(DataEx!FV310)</f>
        <v>3372954.89</v>
      </c>
      <c r="L132" s="225">
        <f>+SUM(DataEx!FW310)</f>
        <v>6200000</v>
      </c>
      <c r="M132" s="225">
        <f>+SUM(DataEx!FX310)</f>
        <v>4599715.6983333305</v>
      </c>
      <c r="N132" s="225">
        <f>+SUM(DataEx!FY310)</f>
        <v>3679772.5586666702</v>
      </c>
      <c r="O132" s="225">
        <f>+SUM(DataEx!FZ310)</f>
        <v>4599715.6983333305</v>
      </c>
      <c r="P132" s="225">
        <f>+SUM(DataEx!GA310)</f>
        <v>4599715.6983333305</v>
      </c>
      <c r="Q132" s="225">
        <f>+SUM(DataEx!GB310)</f>
        <v>4599715.6983333305</v>
      </c>
      <c r="R132" s="225">
        <f>+SUM(DataEx!GC310)</f>
        <v>5519658.8380000005</v>
      </c>
      <c r="S132" s="312">
        <f t="shared" si="19"/>
        <v>49577474.009999998</v>
      </c>
      <c r="T132" s="283">
        <f t="shared" si="20"/>
        <v>1.0760635081284</v>
      </c>
    </row>
    <row r="133" spans="1:20">
      <c r="A133" s="216" t="str">
        <f t="shared" si="16"/>
        <v>42p</v>
      </c>
      <c r="B133" s="649" t="str">
        <f>+VLOOKUP(LEFT($A133,LEN(A133)-1)*1,Master!$D$30:$G$229,4,FALSE)</f>
        <v>Transferi za socijalnu zaštitu</v>
      </c>
      <c r="C133" s="650"/>
      <c r="D133" s="650"/>
      <c r="E133" s="650"/>
      <c r="F133" s="650"/>
      <c r="G133" s="242">
        <f t="shared" ref="G133:R133" si="24">+SUM(G134:G138)</f>
        <v>43744418.240000002</v>
      </c>
      <c r="H133" s="242">
        <f t="shared" si="24"/>
        <v>46796687.630000003</v>
      </c>
      <c r="I133" s="242">
        <f t="shared" si="24"/>
        <v>46377214.32</v>
      </c>
      <c r="J133" s="242">
        <f t="shared" si="24"/>
        <v>46828214.329999998</v>
      </c>
      <c r="K133" s="242">
        <f t="shared" si="24"/>
        <v>44861859.969999999</v>
      </c>
      <c r="L133" s="242">
        <f t="shared" si="24"/>
        <v>49868571.824285701</v>
      </c>
      <c r="M133" s="242">
        <f t="shared" si="24"/>
        <v>49868571.824285701</v>
      </c>
      <c r="N133" s="242">
        <f t="shared" si="24"/>
        <v>49868571.824285701</v>
      </c>
      <c r="O133" s="242">
        <f t="shared" si="24"/>
        <v>49868571.824285701</v>
      </c>
      <c r="P133" s="242">
        <f t="shared" si="24"/>
        <v>49868571.824285701</v>
      </c>
      <c r="Q133" s="242">
        <f t="shared" si="24"/>
        <v>49868571.824285701</v>
      </c>
      <c r="R133" s="242">
        <f t="shared" si="24"/>
        <v>49868571.824285701</v>
      </c>
      <c r="S133" s="313">
        <f t="shared" si="19"/>
        <v>577688397.25999999</v>
      </c>
      <c r="T133" s="285">
        <f t="shared" si="20"/>
        <v>12.5385452924706</v>
      </c>
    </row>
    <row r="134" spans="1:20">
      <c r="A134" s="216" t="str">
        <f t="shared" si="16"/>
        <v>421p</v>
      </c>
      <c r="B134" s="621" t="str">
        <f>+VLOOKUP(LEFT($A134,LEN(A134)-1)*1,Master!$D$30:$G$229,4,FALSE)</f>
        <v>Prava iz oblasti socijalne zaštite</v>
      </c>
      <c r="C134" s="622"/>
      <c r="D134" s="622"/>
      <c r="E134" s="622"/>
      <c r="F134" s="622"/>
      <c r="G134" s="225">
        <f>SUM(DataEx!FR321)</f>
        <v>6448137.3300000001</v>
      </c>
      <c r="H134" s="225">
        <f>SUM(DataEx!FS321)</f>
        <v>7174722.5199999996</v>
      </c>
      <c r="I134" s="225">
        <f>SUM(DataEx!FT321)</f>
        <v>6752335.3300000001</v>
      </c>
      <c r="J134" s="225">
        <f>SUM(DataEx!FU321)</f>
        <v>6378584.3399999999</v>
      </c>
      <c r="K134" s="225">
        <f>SUM(DataEx!FV321)</f>
        <v>5976072.2199999997</v>
      </c>
      <c r="L134" s="225">
        <f>SUM(DataEx!FW321)</f>
        <v>7400021.1799999997</v>
      </c>
      <c r="M134" s="225">
        <f>SUM(DataEx!FX321)</f>
        <v>7400021.1799999997</v>
      </c>
      <c r="N134" s="225">
        <f>SUM(DataEx!FY321)</f>
        <v>7400021.1799999997</v>
      </c>
      <c r="O134" s="225">
        <f>SUM(DataEx!FZ321)</f>
        <v>7400021.1799999997</v>
      </c>
      <c r="P134" s="225">
        <f>SUM(DataEx!GA321)</f>
        <v>7400021.1799999997</v>
      </c>
      <c r="Q134" s="225">
        <f>SUM(DataEx!GB321)</f>
        <v>7400021.1799999997</v>
      </c>
      <c r="R134" s="225">
        <f>SUM(DataEx!GC321)</f>
        <v>7400021.1799999997</v>
      </c>
      <c r="S134" s="312">
        <f t="shared" si="19"/>
        <v>84530000</v>
      </c>
      <c r="T134" s="283">
        <f t="shared" si="20"/>
        <v>1.83469711110629</v>
      </c>
    </row>
    <row r="135" spans="1:20">
      <c r="A135" s="216" t="str">
        <f t="shared" si="16"/>
        <v>422p</v>
      </c>
      <c r="B135" s="621" t="str">
        <f>+VLOOKUP(LEFT($A135,LEN(A135)-1)*1,Master!$D$30:$G$229,4,FALSE)</f>
        <v>Sredstva za tehnološke viškove</v>
      </c>
      <c r="C135" s="622"/>
      <c r="D135" s="622"/>
      <c r="E135" s="622"/>
      <c r="F135" s="622"/>
      <c r="G135" s="225">
        <f>SUM(DataEx!FR330)</f>
        <v>54255.6</v>
      </c>
      <c r="H135" s="225">
        <f>SUM(DataEx!FS330)</f>
        <v>1607182</v>
      </c>
      <c r="I135" s="225">
        <f>SUM(DataEx!FT330)</f>
        <v>1602703.45</v>
      </c>
      <c r="J135" s="225">
        <f>SUM(DataEx!FU330)</f>
        <v>1448885.74</v>
      </c>
      <c r="K135" s="225">
        <f>SUM(DataEx!FV330)</f>
        <v>1413828.93</v>
      </c>
      <c r="L135" s="225">
        <f>SUM(DataEx!FW330)</f>
        <v>2033020.7142857099</v>
      </c>
      <c r="M135" s="225">
        <f>SUM(DataEx!FX330)</f>
        <v>2033020.7142857099</v>
      </c>
      <c r="N135" s="225">
        <f>SUM(DataEx!FY330)</f>
        <v>2033020.7142857099</v>
      </c>
      <c r="O135" s="225">
        <f>SUM(DataEx!FZ330)</f>
        <v>2033020.7142857099</v>
      </c>
      <c r="P135" s="225">
        <f>SUM(DataEx!GA330)</f>
        <v>2033020.7142857099</v>
      </c>
      <c r="Q135" s="225">
        <f>SUM(DataEx!GB330)</f>
        <v>2033020.7142857099</v>
      </c>
      <c r="R135" s="225">
        <f>SUM(DataEx!GC330)</f>
        <v>2033020.7142857099</v>
      </c>
      <c r="S135" s="312">
        <f t="shared" si="19"/>
        <v>20358000.719999999</v>
      </c>
      <c r="T135" s="283">
        <f t="shared" si="20"/>
        <v>0.44186401406463599</v>
      </c>
    </row>
    <row r="136" spans="1:20">
      <c r="A136" s="216" t="str">
        <f t="shared" si="16"/>
        <v>423p</v>
      </c>
      <c r="B136" s="621" t="str">
        <f>+VLOOKUP(LEFT($A136,LEN(A136)-1)*1,Master!$D$30:$G$229,4,FALSE)</f>
        <v>Prava iz oblasti penzijskog i invalidskog osiguranja</v>
      </c>
      <c r="C136" s="622"/>
      <c r="D136" s="622"/>
      <c r="E136" s="622"/>
      <c r="F136" s="622"/>
      <c r="G136" s="225">
        <f>SUM(DataEx!FR336)</f>
        <v>34875207.159999996</v>
      </c>
      <c r="H136" s="225">
        <f>SUM(DataEx!FS336)</f>
        <v>35344644.090000004</v>
      </c>
      <c r="I136" s="225">
        <f>SUM(DataEx!FT336)</f>
        <v>35520020</v>
      </c>
      <c r="J136" s="225">
        <f>SUM(DataEx!FU336)</f>
        <v>36212765.539999999</v>
      </c>
      <c r="K136" s="225">
        <f>SUM(DataEx!FV336)</f>
        <v>35322836.950000003</v>
      </c>
      <c r="L136" s="225">
        <f>SUM(DataEx!FW336)</f>
        <v>37842845.828571402</v>
      </c>
      <c r="M136" s="225">
        <f>SUM(DataEx!FX336)</f>
        <v>37842845.828571402</v>
      </c>
      <c r="N136" s="225">
        <f>SUM(DataEx!FY336)</f>
        <v>37842845.828571402</v>
      </c>
      <c r="O136" s="225">
        <f>SUM(DataEx!FZ336)</f>
        <v>37842845.828571402</v>
      </c>
      <c r="P136" s="225">
        <f>SUM(DataEx!GA336)</f>
        <v>37842845.828571402</v>
      </c>
      <c r="Q136" s="225">
        <f>SUM(DataEx!GB336)</f>
        <v>37842845.828571402</v>
      </c>
      <c r="R136" s="225">
        <f>SUM(DataEx!GC336)</f>
        <v>37842845.828571402</v>
      </c>
      <c r="S136" s="312">
        <f t="shared" si="19"/>
        <v>442175394.54000002</v>
      </c>
      <c r="T136" s="283">
        <f t="shared" si="20"/>
        <v>9.5972781138627905</v>
      </c>
    </row>
    <row r="137" spans="1:20">
      <c r="A137" s="216" t="str">
        <f t="shared" si="16"/>
        <v>424p</v>
      </c>
      <c r="B137" s="621" t="str">
        <f>+VLOOKUP(LEFT($A137,LEN(A137)-1)*1,Master!$D$30:$G$229,4,FALSE)</f>
        <v>Ostala prava iz oblasti zdravstvene zaštite</v>
      </c>
      <c r="C137" s="622"/>
      <c r="D137" s="622"/>
      <c r="E137" s="622"/>
      <c r="F137" s="622"/>
      <c r="G137" s="225">
        <f>SUM(DataEx!FR344)</f>
        <v>1621388.9</v>
      </c>
      <c r="H137" s="225">
        <f>SUM(DataEx!FS344)</f>
        <v>1831428.58</v>
      </c>
      <c r="I137" s="225">
        <f>SUM(DataEx!FT344)</f>
        <v>1595368.45</v>
      </c>
      <c r="J137" s="225">
        <f>SUM(DataEx!FU344)</f>
        <v>2107330.88</v>
      </c>
      <c r="K137" s="225">
        <f>SUM(DataEx!FV344)</f>
        <v>1443795.73</v>
      </c>
      <c r="L137" s="225">
        <f>SUM(DataEx!FW344)</f>
        <v>1628669.78</v>
      </c>
      <c r="M137" s="225">
        <f>SUM(DataEx!FX344)</f>
        <v>1628669.78</v>
      </c>
      <c r="N137" s="225">
        <f>SUM(DataEx!FY344)</f>
        <v>1628669.78</v>
      </c>
      <c r="O137" s="225">
        <f>SUM(DataEx!FZ344)</f>
        <v>1628669.78</v>
      </c>
      <c r="P137" s="225">
        <f>SUM(DataEx!GA344)</f>
        <v>1628669.78</v>
      </c>
      <c r="Q137" s="225">
        <f>SUM(DataEx!GB344)</f>
        <v>1628669.78</v>
      </c>
      <c r="R137" s="225">
        <f>SUM(DataEx!GC344)</f>
        <v>1628669.78</v>
      </c>
      <c r="S137" s="312">
        <f t="shared" si="19"/>
        <v>20000001</v>
      </c>
      <c r="T137" s="283">
        <f t="shared" si="20"/>
        <v>0.434093742539014</v>
      </c>
    </row>
    <row r="138" spans="1:20">
      <c r="A138" s="216" t="str">
        <f t="shared" si="16"/>
        <v>425p</v>
      </c>
      <c r="B138" s="621" t="str">
        <f>+VLOOKUP(LEFT($A138,LEN(A138)-1)*1,Master!$D$30:$G$229,4,FALSE)</f>
        <v>Ostala prava iz zdravstvenog osiguranja</v>
      </c>
      <c r="C138" s="622"/>
      <c r="D138" s="622"/>
      <c r="E138" s="622"/>
      <c r="F138" s="622"/>
      <c r="G138" s="225">
        <f>SUM(DataEx!FR346)</f>
        <v>745429.25</v>
      </c>
      <c r="H138" s="225">
        <f>SUM(DataEx!FS346)</f>
        <v>838710.44</v>
      </c>
      <c r="I138" s="225">
        <f>SUM(DataEx!FT346)</f>
        <v>906787.09</v>
      </c>
      <c r="J138" s="225">
        <f>SUM(DataEx!FU346)</f>
        <v>680647.83</v>
      </c>
      <c r="K138" s="225">
        <f>SUM(DataEx!FV346)</f>
        <v>705326.14</v>
      </c>
      <c r="L138" s="225">
        <f>SUM(DataEx!FW346)</f>
        <v>964014.32142857101</v>
      </c>
      <c r="M138" s="225">
        <f>SUM(DataEx!FX346)</f>
        <v>964014.32142857101</v>
      </c>
      <c r="N138" s="225">
        <f>SUM(DataEx!FY346)</f>
        <v>964014.32142857101</v>
      </c>
      <c r="O138" s="225">
        <f>SUM(DataEx!FZ346)</f>
        <v>964014.32142857101</v>
      </c>
      <c r="P138" s="225">
        <f>SUM(DataEx!GA346)</f>
        <v>964014.32142857101</v>
      </c>
      <c r="Q138" s="225">
        <f>SUM(DataEx!GB346)</f>
        <v>964014.32142857101</v>
      </c>
      <c r="R138" s="225">
        <f>SUM(DataEx!GC346)</f>
        <v>964014.32142857101</v>
      </c>
      <c r="S138" s="312">
        <f t="shared" si="19"/>
        <v>10625001</v>
      </c>
      <c r="T138" s="283">
        <f t="shared" si="20"/>
        <v>0.230612310897923</v>
      </c>
    </row>
    <row r="139" spans="1:20">
      <c r="A139" s="216" t="str">
        <f t="shared" si="16"/>
        <v>43p</v>
      </c>
      <c r="B139" s="629" t="str">
        <f>+VLOOKUP(LEFT($A139,LEN(A139)-1)*1,Master!$D$30:$G$229,4,FALSE)</f>
        <v>Transferi institucijama, pojedincima, nevladinom i javnom sektoru</v>
      </c>
      <c r="C139" s="630"/>
      <c r="D139" s="630"/>
      <c r="E139" s="630"/>
      <c r="F139" s="630"/>
      <c r="G139" s="232">
        <f>SUM(DataEx!FR350)</f>
        <v>23631566.68</v>
      </c>
      <c r="H139" s="232">
        <f>SUM(DataEx!FS350)</f>
        <v>23914749.120000001</v>
      </c>
      <c r="I139" s="232">
        <f>SUM(DataEx!FT350)</f>
        <v>31910693.890000001</v>
      </c>
      <c r="J139" s="232">
        <f>SUM(DataEx!FU350)</f>
        <v>17331295.199999999</v>
      </c>
      <c r="K139" s="232">
        <f>SUM(DataEx!FV350)</f>
        <v>15552980.33</v>
      </c>
      <c r="L139" s="232">
        <f>SUM(DataEx!FW350)</f>
        <v>23483872.512857199</v>
      </c>
      <c r="M139" s="232">
        <f>SUM(DataEx!FX350)</f>
        <v>19317205.846190501</v>
      </c>
      <c r="N139" s="232">
        <f>SUM(DataEx!FY350)</f>
        <v>19317205.846190501</v>
      </c>
      <c r="O139" s="232">
        <f>SUM(DataEx!FZ350)</f>
        <v>19317205.846190501</v>
      </c>
      <c r="P139" s="232">
        <f>SUM(DataEx!GA350)</f>
        <v>44317205.846190497</v>
      </c>
      <c r="Q139" s="232">
        <f>SUM(DataEx!GB350)</f>
        <v>19317205.846190501</v>
      </c>
      <c r="R139" s="232">
        <f>SUM(DataEx!GC350)</f>
        <v>19317205.846190501</v>
      </c>
      <c r="S139" s="313">
        <f t="shared" si="19"/>
        <v>276728392.81</v>
      </c>
      <c r="T139" s="285">
        <f t="shared" si="20"/>
        <v>6.0063028847698297</v>
      </c>
    </row>
    <row r="140" spans="1:20">
      <c r="A140" s="216" t="str">
        <f t="shared" si="16"/>
        <v>44p</v>
      </c>
      <c r="B140" s="629" t="str">
        <f>+VLOOKUP(LEFT($A140,LEN(A140)-1)*1,Master!$D$30:$G$229,4,FALSE)</f>
        <v>Kapitalni izdaci</v>
      </c>
      <c r="C140" s="630"/>
      <c r="D140" s="630"/>
      <c r="E140" s="630"/>
      <c r="F140" s="630"/>
      <c r="G140" s="232">
        <f>SUM(DataEx!FR368)</f>
        <v>4153095.62</v>
      </c>
      <c r="H140" s="232">
        <f>SUM(DataEx!FS368)</f>
        <v>8919354.2899999991</v>
      </c>
      <c r="I140" s="232">
        <f>SUM(DataEx!FT368)</f>
        <v>13085415.970000001</v>
      </c>
      <c r="J140" s="232">
        <f>SUM(DataEx!FU368)</f>
        <v>17943688.25</v>
      </c>
      <c r="K140" s="232">
        <f>SUM(DataEx!FV368)</f>
        <v>15872563.539999999</v>
      </c>
      <c r="L140" s="232">
        <f>SUM(DataEx!FW368)</f>
        <v>25000000</v>
      </c>
      <c r="M140" s="232">
        <f>SUM(DataEx!FX368)-M151</f>
        <v>19665000</v>
      </c>
      <c r="N140" s="232">
        <f>SUM(DataEx!FY368)-N151</f>
        <v>19665000</v>
      </c>
      <c r="O140" s="232">
        <f>SUM(DataEx!FZ368)-O151</f>
        <v>19665000</v>
      </c>
      <c r="P140" s="232">
        <f>SUM(DataEx!GA368)-P151</f>
        <v>16960648.326666702</v>
      </c>
      <c r="Q140" s="232">
        <f>SUM(DataEx!GB368)-Q151</f>
        <v>16960648.326666702</v>
      </c>
      <c r="R140" s="232">
        <f>SUM(DataEx!GC368)-R151</f>
        <v>16960648.326666702</v>
      </c>
      <c r="S140" s="313">
        <f t="shared" si="19"/>
        <v>194851062.65000001</v>
      </c>
      <c r="T140" s="285">
        <f t="shared" si="20"/>
        <v>4.2291811397130603</v>
      </c>
    </row>
    <row r="141" spans="1:20">
      <c r="A141" s="216" t="str">
        <f t="shared" si="16"/>
        <v>451p</v>
      </c>
      <c r="B141" s="631" t="str">
        <f>+VLOOKUP(LEFT($A141,LEN(A141)-1)*1,Master!$D$30:$G$229,4,FALSE)</f>
        <v>Pozajmice i krediti</v>
      </c>
      <c r="C141" s="632"/>
      <c r="D141" s="632"/>
      <c r="E141" s="632"/>
      <c r="F141" s="632"/>
      <c r="G141" s="225">
        <f>SUM(DataEx!FR378)</f>
        <v>0</v>
      </c>
      <c r="H141" s="225">
        <f>SUM(DataEx!FS378)</f>
        <v>277634</v>
      </c>
      <c r="I141" s="225">
        <f>SUM(DataEx!FT378)</f>
        <v>0</v>
      </c>
      <c r="J141" s="225">
        <f>SUM(DataEx!FU378)</f>
        <v>268014</v>
      </c>
      <c r="K141" s="225">
        <f>SUM(DataEx!FV378)</f>
        <v>5000</v>
      </c>
      <c r="L141" s="225">
        <f>SUM(DataEx!FW378)</f>
        <v>147050.57142857101</v>
      </c>
      <c r="M141" s="225">
        <f>SUM(DataEx!FX378)</f>
        <v>147050.57142857101</v>
      </c>
      <c r="N141" s="225">
        <f>SUM(DataEx!FY378)</f>
        <v>147050.57142857101</v>
      </c>
      <c r="O141" s="225">
        <f>SUM(DataEx!FZ378)</f>
        <v>147050.57142857101</v>
      </c>
      <c r="P141" s="225">
        <f>SUM(DataEx!GA378)</f>
        <v>147050.57142857101</v>
      </c>
      <c r="Q141" s="225">
        <f>SUM(DataEx!GB378)</f>
        <v>147050.57142857101</v>
      </c>
      <c r="R141" s="225">
        <f>SUM(DataEx!GC378)</f>
        <v>147050.57142857101</v>
      </c>
      <c r="S141" s="312">
        <f t="shared" si="19"/>
        <v>1580002</v>
      </c>
      <c r="T141" s="283">
        <f t="shared" si="20"/>
        <v>3.4293447355284001E-2</v>
      </c>
    </row>
    <row r="142" spans="1:20">
      <c r="A142" s="216" t="str">
        <f t="shared" si="16"/>
        <v>47p</v>
      </c>
      <c r="B142" s="631" t="str">
        <f>+VLOOKUP(LEFT($A142,LEN(A142)-1)*1,Master!$D$30:$G$229,4,FALSE)</f>
        <v>Rezerve</v>
      </c>
      <c r="C142" s="632"/>
      <c r="D142" s="632"/>
      <c r="E142" s="632"/>
      <c r="F142" s="632"/>
      <c r="G142" s="225">
        <f>SUM(DataEx!FR393)</f>
        <v>1941194</v>
      </c>
      <c r="H142" s="225">
        <f>SUM(DataEx!FS393)</f>
        <v>720000</v>
      </c>
      <c r="I142" s="225">
        <f>SUM(DataEx!FT393)</f>
        <v>117020</v>
      </c>
      <c r="J142" s="225">
        <f>SUM(DataEx!FU393)</f>
        <v>3138464.05</v>
      </c>
      <c r="K142" s="225">
        <f>SUM(DataEx!FV393)</f>
        <v>16941995.850000001</v>
      </c>
      <c r="L142" s="225">
        <f>SUM(DataEx!FW393)</f>
        <v>19000000</v>
      </c>
      <c r="M142" s="225">
        <f>SUM(DataEx!FX393)</f>
        <v>13000000</v>
      </c>
      <c r="N142" s="225">
        <f>SUM(DataEx!FY393)</f>
        <v>13000000</v>
      </c>
      <c r="O142" s="225">
        <f>SUM(DataEx!FZ393)</f>
        <v>13000000</v>
      </c>
      <c r="P142" s="225">
        <f>SUM(DataEx!GA393)</f>
        <v>38000000</v>
      </c>
      <c r="Q142" s="225">
        <f>SUM(DataEx!GB393)</f>
        <v>7385913.0499999998</v>
      </c>
      <c r="R142" s="225">
        <f>SUM(DataEx!GC393)</f>
        <v>7385913.0499999998</v>
      </c>
      <c r="S142" s="312">
        <f t="shared" si="19"/>
        <v>133630500</v>
      </c>
      <c r="T142" s="283">
        <f t="shared" si="20"/>
        <v>2.9004080480975798</v>
      </c>
    </row>
    <row r="143" spans="1:20">
      <c r="A143" s="216" t="str">
        <f t="shared" si="16"/>
        <v>462p</v>
      </c>
      <c r="B143" s="631" t="str">
        <f>+VLOOKUP(LEFT($A143,LEN(A143)-1)*1,Master!$D$30:$G$229,4,FALSE)</f>
        <v>Otplata garancija</v>
      </c>
      <c r="C143" s="632"/>
      <c r="D143" s="632"/>
      <c r="E143" s="632"/>
      <c r="F143" s="632"/>
      <c r="G143" s="225">
        <f>SUM(DataEx!FR389)</f>
        <v>0</v>
      </c>
      <c r="H143" s="225">
        <f>SUM(DataEx!FS389)</f>
        <v>0</v>
      </c>
      <c r="I143" s="225">
        <f>SUM(DataEx!FT389)</f>
        <v>0</v>
      </c>
      <c r="J143" s="225">
        <f>SUM(DataEx!FU389)</f>
        <v>0</v>
      </c>
      <c r="K143" s="225">
        <f>SUM(DataEx!FV389)</f>
        <v>0</v>
      </c>
      <c r="L143" s="225">
        <f>SUM(DataEx!FW389)</f>
        <v>0</v>
      </c>
      <c r="M143" s="225">
        <f>SUM(DataEx!FX389)</f>
        <v>0</v>
      </c>
      <c r="N143" s="225">
        <f>SUM(DataEx!FY389)</f>
        <v>0</v>
      </c>
      <c r="O143" s="225">
        <f>SUM(DataEx!FZ389)</f>
        <v>0</v>
      </c>
      <c r="P143" s="225">
        <f>SUM(DataEx!GA389)</f>
        <v>0</v>
      </c>
      <c r="Q143" s="225">
        <f>SUM(DataEx!GB389)</f>
        <v>0</v>
      </c>
      <c r="R143" s="225">
        <f>SUM(DataEx!GC389)</f>
        <v>0</v>
      </c>
      <c r="S143" s="312">
        <f t="shared" si="19"/>
        <v>0</v>
      </c>
      <c r="T143" s="283">
        <f t="shared" si="20"/>
        <v>0</v>
      </c>
    </row>
    <row r="144" spans="1:20">
      <c r="A144" s="247" t="str">
        <f t="shared" si="16"/>
        <v>4630p</v>
      </c>
      <c r="B144" s="631" t="str">
        <f>+VLOOKUP(LEFT($A144,LEN(A144)-1)*1,Master!$D$30:$G$229,4,FALSE)</f>
        <v>Otplata obaveza iz prethodnog perioda</v>
      </c>
      <c r="C144" s="632"/>
      <c r="D144" s="632"/>
      <c r="E144" s="632"/>
      <c r="F144" s="632"/>
      <c r="G144" s="253">
        <f>SUM(DataEx!FR392)</f>
        <v>1234088.2</v>
      </c>
      <c r="H144" s="253">
        <f>SUM(DataEx!FS392)</f>
        <v>1922034.51</v>
      </c>
      <c r="I144" s="253">
        <f>SUM(DataEx!FT392)</f>
        <v>1368605.81</v>
      </c>
      <c r="J144" s="253">
        <f>SUM(DataEx!FU392)</f>
        <v>1039845.76</v>
      </c>
      <c r="K144" s="253">
        <f>SUM(DataEx!FV392)</f>
        <v>1116425.95</v>
      </c>
      <c r="L144" s="253">
        <f>SUM(DataEx!FW392)</f>
        <v>1374921.7142857099</v>
      </c>
      <c r="M144" s="253">
        <f>SUM(DataEx!FX392)</f>
        <v>1374921.7142857099</v>
      </c>
      <c r="N144" s="253">
        <f>SUM(DataEx!FY392)</f>
        <v>1374921.7142857099</v>
      </c>
      <c r="O144" s="253">
        <f>SUM(DataEx!FZ392)</f>
        <v>1374921.7142857099</v>
      </c>
      <c r="P144" s="253">
        <f>SUM(DataEx!GA392)</f>
        <v>1374921.7142857099</v>
      </c>
      <c r="Q144" s="253">
        <f>SUM(DataEx!GB392)</f>
        <v>1374921.7142857099</v>
      </c>
      <c r="R144" s="253">
        <f>SUM(DataEx!GC392)</f>
        <v>1374921.7142857099</v>
      </c>
      <c r="S144" s="317">
        <f t="shared" si="19"/>
        <v>16305452.23</v>
      </c>
      <c r="T144" s="299">
        <f t="shared" si="20"/>
        <v>0.35390472142035501</v>
      </c>
    </row>
    <row r="145" spans="1:23">
      <c r="A145" s="216" t="str">
        <f t="shared" ref="A145:A151" si="25">+CONCATENATE(A52,"p")</f>
        <v>1005p</v>
      </c>
      <c r="B145" s="631" t="str">
        <f>+VLOOKUP(LEFT($A145,LEN(A145)-1)*1,Master!$D$30:$G$229,4,FALSE)</f>
        <v>Neto povećanje obaveza</v>
      </c>
      <c r="C145" s="632"/>
      <c r="D145" s="632"/>
      <c r="E145" s="632"/>
      <c r="F145" s="632"/>
      <c r="G145" s="225">
        <f>SUM(DataEx!FR381)</f>
        <v>0</v>
      </c>
      <c r="H145" s="225">
        <f>SUM(DataEx!FS381)</f>
        <v>0</v>
      </c>
      <c r="I145" s="225">
        <f>SUM(DataEx!FT381)</f>
        <v>0</v>
      </c>
      <c r="J145" s="225">
        <f>SUM(DataEx!FU381)</f>
        <v>0</v>
      </c>
      <c r="K145" s="225">
        <f>SUM(DataEx!FV381)</f>
        <v>0</v>
      </c>
      <c r="L145" s="225">
        <f>SUM(DataEx!FW381)</f>
        <v>0</v>
      </c>
      <c r="M145" s="225">
        <f>SUM(DataEx!FX381)</f>
        <v>0</v>
      </c>
      <c r="N145" s="225">
        <f>SUM(DataEx!FY381)</f>
        <v>0</v>
      </c>
      <c r="O145" s="225">
        <f>SUM(DataEx!FZ381)</f>
        <v>0</v>
      </c>
      <c r="P145" s="225">
        <f>SUM(DataEx!GA381)</f>
        <v>0</v>
      </c>
      <c r="Q145" s="225">
        <f>SUM(DataEx!GB381)</f>
        <v>0</v>
      </c>
      <c r="R145" s="225">
        <f>SUM(DataEx!GC381)</f>
        <v>0</v>
      </c>
      <c r="S145" s="292">
        <f>SUM(G145:R145)</f>
        <v>0</v>
      </c>
      <c r="T145" s="293">
        <f t="shared" si="20"/>
        <v>0</v>
      </c>
    </row>
    <row r="146" spans="1:23">
      <c r="A146" s="247" t="str">
        <f t="shared" si="25"/>
        <v>1000p</v>
      </c>
      <c r="B146" s="645" t="str">
        <f>+VLOOKUP(LEFT($A146,LEN(A146)-1)*1,Master!$D$30:$G$226,4,FALSE)</f>
        <v>Suficit / deficit</v>
      </c>
      <c r="C146" s="646"/>
      <c r="D146" s="646"/>
      <c r="E146" s="646"/>
      <c r="F146" s="646"/>
      <c r="G146" s="217">
        <f t="shared" ref="G146:R146" si="26">+G103-G122</f>
        <v>-34116471.369999997</v>
      </c>
      <c r="H146" s="217">
        <f t="shared" si="26"/>
        <v>-25307976.920000002</v>
      </c>
      <c r="I146" s="217">
        <f t="shared" si="26"/>
        <v>-17029626.359999999</v>
      </c>
      <c r="J146" s="217">
        <f t="shared" si="26"/>
        <v>-46575551.200000003</v>
      </c>
      <c r="K146" s="217">
        <f t="shared" si="26"/>
        <v>-43960839.071666703</v>
      </c>
      <c r="L146" s="217">
        <f t="shared" si="26"/>
        <v>-59986953.585942097</v>
      </c>
      <c r="M146" s="217">
        <f t="shared" si="26"/>
        <v>-24853453.4588085</v>
      </c>
      <c r="N146" s="217">
        <f t="shared" si="26"/>
        <v>-13576104.9988357</v>
      </c>
      <c r="O146" s="217">
        <f t="shared" si="26"/>
        <v>13218603.908708001</v>
      </c>
      <c r="P146" s="217">
        <f t="shared" si="26"/>
        <v>-60427293.408757798</v>
      </c>
      <c r="Q146" s="217">
        <f t="shared" si="26"/>
        <v>-35730818.1606953</v>
      </c>
      <c r="R146" s="217">
        <f t="shared" si="26"/>
        <v>12456666.987869799</v>
      </c>
      <c r="S146" s="318">
        <f t="shared" si="19"/>
        <v>-335889817.63812798</v>
      </c>
      <c r="T146" s="295">
        <f t="shared" si="20"/>
        <v>-7.2903830364449496</v>
      </c>
      <c r="W146" s="172"/>
    </row>
    <row r="147" spans="1:23">
      <c r="A147" s="247" t="str">
        <f t="shared" si="25"/>
        <v>1001p</v>
      </c>
      <c r="B147" s="647" t="str">
        <f>+VLOOKUP(LEFT($A147,LEN(A147)-1)*1,Master!$D$30:$G$226,4,FALSE)</f>
        <v>Primarni suficit/deficit</v>
      </c>
      <c r="C147" s="648"/>
      <c r="D147" s="648"/>
      <c r="E147" s="648"/>
      <c r="F147" s="648"/>
      <c r="G147" s="250">
        <f t="shared" ref="G147:R147" si="27">+G146+G129</f>
        <v>-26461625.98</v>
      </c>
      <c r="H147" s="250">
        <f t="shared" si="27"/>
        <v>-23468175.039999999</v>
      </c>
      <c r="I147" s="250">
        <f t="shared" si="27"/>
        <v>10446334.039999999</v>
      </c>
      <c r="J147" s="250">
        <f t="shared" si="27"/>
        <v>-24016353.460000001</v>
      </c>
      <c r="K147" s="250">
        <f t="shared" si="27"/>
        <v>-42303922.491666697</v>
      </c>
      <c r="L147" s="250">
        <f t="shared" si="27"/>
        <v>-54788721.115942098</v>
      </c>
      <c r="M147" s="250">
        <f t="shared" si="27"/>
        <v>-17270427.178808499</v>
      </c>
      <c r="N147" s="250">
        <f t="shared" si="27"/>
        <v>-12789155.1388357</v>
      </c>
      <c r="O147" s="250">
        <f t="shared" si="27"/>
        <v>15409589.908708001</v>
      </c>
      <c r="P147" s="250">
        <f t="shared" si="27"/>
        <v>-43055815.838757798</v>
      </c>
      <c r="Q147" s="250">
        <f t="shared" si="27"/>
        <v>-31759627.130695298</v>
      </c>
      <c r="R147" s="250">
        <f t="shared" si="27"/>
        <v>17512098.227869801</v>
      </c>
      <c r="S147" s="318">
        <f t="shared" si="19"/>
        <v>-232545801.19812801</v>
      </c>
      <c r="T147" s="295">
        <f t="shared" si="20"/>
        <v>-5.0473336053247699</v>
      </c>
    </row>
    <row r="148" spans="1:23">
      <c r="A148" s="247" t="str">
        <f t="shared" si="25"/>
        <v>46p</v>
      </c>
      <c r="B148" s="649" t="str">
        <f>+VLOOKUP(LEFT($A148,LEN(A148)-1)*1,Master!$D$30:$G$226,4,FALSE)</f>
        <v>Otplata dugova</v>
      </c>
      <c r="C148" s="650"/>
      <c r="D148" s="650"/>
      <c r="E148" s="650"/>
      <c r="F148" s="650"/>
      <c r="G148" s="242">
        <f t="shared" ref="G148:R148" si="28">+SUM(G149:G150)</f>
        <v>1725839.1</v>
      </c>
      <c r="H148" s="242">
        <f t="shared" si="28"/>
        <v>3305317.26</v>
      </c>
      <c r="I148" s="242">
        <f t="shared" si="28"/>
        <v>339468444.25999999</v>
      </c>
      <c r="J148" s="242">
        <f t="shared" si="28"/>
        <v>17477408.559999999</v>
      </c>
      <c r="K148" s="242">
        <f t="shared" si="28"/>
        <v>15441444.539999999</v>
      </c>
      <c r="L148" s="242">
        <f t="shared" si="28"/>
        <v>12046825.949999999</v>
      </c>
      <c r="M148" s="242">
        <f t="shared" si="28"/>
        <v>11726652.869999999</v>
      </c>
      <c r="N148" s="242">
        <f t="shared" si="28"/>
        <v>8624889.1799999997</v>
      </c>
      <c r="O148" s="242">
        <f t="shared" si="28"/>
        <v>18011093.800000001</v>
      </c>
      <c r="P148" s="242">
        <f t="shared" si="28"/>
        <v>9855652.5999999996</v>
      </c>
      <c r="Q148" s="242">
        <f t="shared" si="28"/>
        <v>89792355.439999998</v>
      </c>
      <c r="R148" s="242">
        <f t="shared" si="28"/>
        <v>12114076.439999999</v>
      </c>
      <c r="S148" s="319">
        <f t="shared" si="19"/>
        <v>539590000</v>
      </c>
      <c r="T148" s="297">
        <f t="shared" si="20"/>
        <v>11.711631541249799</v>
      </c>
    </row>
    <row r="149" spans="1:23">
      <c r="A149" s="247" t="str">
        <f t="shared" si="25"/>
        <v>4611p</v>
      </c>
      <c r="B149" s="635" t="str">
        <f>+VLOOKUP(LEFT($A149,LEN(A149)-1)*1,Master!$D$30:$G$226,4,FALSE)</f>
        <v>Otplata hartija od vrijednosti i kredita rezidentima</v>
      </c>
      <c r="C149" s="636"/>
      <c r="D149" s="636"/>
      <c r="E149" s="636"/>
      <c r="F149" s="636"/>
      <c r="G149" s="253">
        <f>SUM(DataEx!FR387)</f>
        <v>91120.67</v>
      </c>
      <c r="H149" s="253">
        <f>SUM(DataEx!FS387)</f>
        <v>840866.05</v>
      </c>
      <c r="I149" s="253">
        <f>SUM(DataEx!FT387)</f>
        <v>1854795.8</v>
      </c>
      <c r="J149" s="253">
        <f>SUM(DataEx!FU387)</f>
        <v>1603894.94</v>
      </c>
      <c r="K149" s="253">
        <f>SUM(DataEx!FV387)</f>
        <v>5842278.7800000003</v>
      </c>
      <c r="L149" s="253">
        <f>SUM(DataEx!FW387)</f>
        <v>2108294.2799999998</v>
      </c>
      <c r="M149" s="253">
        <f>SUM(DataEx!FX387)</f>
        <v>10093234.060000001</v>
      </c>
      <c r="N149" s="253">
        <f>SUM(DataEx!FY387)</f>
        <v>5750000</v>
      </c>
      <c r="O149" s="253">
        <f>SUM(DataEx!FZ387)</f>
        <v>1782460.98</v>
      </c>
      <c r="P149" s="253">
        <f>SUM(DataEx!GA387)</f>
        <v>6541765.7599999998</v>
      </c>
      <c r="Q149" s="253">
        <f>SUM(DataEx!GB387)</f>
        <v>81160000</v>
      </c>
      <c r="R149" s="253">
        <f>SUM(DataEx!GC387)</f>
        <v>2041288.68</v>
      </c>
      <c r="S149" s="317">
        <f t="shared" si="19"/>
        <v>119710000</v>
      </c>
      <c r="T149" s="299">
        <f t="shared" si="20"/>
        <v>2.5982679660538701</v>
      </c>
    </row>
    <row r="150" spans="1:23">
      <c r="A150" s="247" t="str">
        <f t="shared" si="25"/>
        <v>4612p</v>
      </c>
      <c r="B150" s="631" t="str">
        <f>+VLOOKUP(LEFT($A150,LEN(A150)-1)*1,Master!$D$30:$G$226,4,FALSE)</f>
        <v>Otplata hartija od vrijednosti i kredita nerezidentima</v>
      </c>
      <c r="C150" s="632"/>
      <c r="D150" s="632"/>
      <c r="E150" s="632"/>
      <c r="F150" s="632"/>
      <c r="G150" s="253">
        <f>SUM(DataEx!FR388)</f>
        <v>1634718.43</v>
      </c>
      <c r="H150" s="253">
        <f>SUM(DataEx!FS388)</f>
        <v>2464451.21</v>
      </c>
      <c r="I150" s="253">
        <f>SUM(DataEx!FT388)</f>
        <v>337613648.45999998</v>
      </c>
      <c r="J150" s="253">
        <f>SUM(DataEx!FU388)</f>
        <v>15873513.619999999</v>
      </c>
      <c r="K150" s="253">
        <f>SUM(DataEx!FV388)</f>
        <v>9599165.7599999998</v>
      </c>
      <c r="L150" s="253">
        <f>SUM(DataEx!FW388)</f>
        <v>9938531.6699999999</v>
      </c>
      <c r="M150" s="253">
        <f>SUM(DataEx!FX388)</f>
        <v>1633418.81</v>
      </c>
      <c r="N150" s="253">
        <f>SUM(DataEx!FY388)</f>
        <v>2874889.18</v>
      </c>
      <c r="O150" s="253">
        <f>SUM(DataEx!FZ388)</f>
        <v>16228632.82</v>
      </c>
      <c r="P150" s="253">
        <f>SUM(DataEx!GA388)</f>
        <v>3313886.84</v>
      </c>
      <c r="Q150" s="253">
        <f>SUM(DataEx!GB388)</f>
        <v>8632355.4399999995</v>
      </c>
      <c r="R150" s="253">
        <f>SUM(DataEx!GC388)</f>
        <v>10072787.76</v>
      </c>
      <c r="S150" s="317">
        <f t="shared" si="19"/>
        <v>419880000</v>
      </c>
      <c r="T150" s="299">
        <f t="shared" si="20"/>
        <v>9.1133635751958799</v>
      </c>
    </row>
    <row r="151" spans="1:23">
      <c r="A151" s="247" t="str">
        <f t="shared" si="25"/>
        <v>4418p</v>
      </c>
      <c r="B151" s="617" t="str">
        <f>+VLOOKUP(LEFT($A151,LEN(A151)-1)*1,Master!$D$30:$G$226,4,FALSE)</f>
        <v>Izdaci za kupovinu hartija od vrijednosti</v>
      </c>
      <c r="C151" s="618"/>
      <c r="D151" s="618"/>
      <c r="E151" s="618"/>
      <c r="F151" s="618"/>
      <c r="G151" s="217">
        <f>+DataEx!FR376</f>
        <v>0</v>
      </c>
      <c r="H151" s="217">
        <f>+DataEx!FS376</f>
        <v>0</v>
      </c>
      <c r="I151" s="217">
        <f>+DataEx!FT376</f>
        <v>0</v>
      </c>
      <c r="J151" s="217">
        <f>+DataEx!FU376</f>
        <v>0</v>
      </c>
      <c r="K151" s="217">
        <f>+DataEx!FV376</f>
        <v>0</v>
      </c>
      <c r="L151" s="217">
        <f>+DataEx!FW376</f>
        <v>0</v>
      </c>
      <c r="M151" s="217">
        <f>+DataEx!FX376</f>
        <v>335000</v>
      </c>
      <c r="N151" s="217">
        <f>+DataEx!FY376</f>
        <v>335000</v>
      </c>
      <c r="O151" s="217">
        <f>+DataEx!FZ376</f>
        <v>335000</v>
      </c>
      <c r="P151" s="217">
        <f>+DataEx!GA376</f>
        <v>335000</v>
      </c>
      <c r="Q151" s="217">
        <f>+DataEx!GB376</f>
        <v>335000</v>
      </c>
      <c r="R151" s="217">
        <f>+DataEx!GC376</f>
        <v>335000</v>
      </c>
      <c r="S151" s="320">
        <f t="shared" si="19"/>
        <v>2010000</v>
      </c>
      <c r="T151" s="321">
        <f t="shared" si="20"/>
        <v>4.3626418943849998E-2</v>
      </c>
    </row>
    <row r="152" spans="1:23">
      <c r="A152" s="247" t="str">
        <f t="shared" ref="A152:A157" si="29">+CONCATENATE(A59,"p")</f>
        <v>1002p</v>
      </c>
      <c r="B152" s="633" t="str">
        <f>+VLOOKUP(LEFT($A152,LEN(A152)-1)*1,Master!$D$30:$G$226,4,FALSE)</f>
        <v>Nedostajuća sredstva</v>
      </c>
      <c r="C152" s="634"/>
      <c r="D152" s="634"/>
      <c r="E152" s="634"/>
      <c r="F152" s="634"/>
      <c r="G152" s="257">
        <f t="shared" ref="G152:R152" si="30">+G146-G148-G151</f>
        <v>-35842310.469999999</v>
      </c>
      <c r="H152" s="257">
        <f t="shared" si="30"/>
        <v>-28613294.18</v>
      </c>
      <c r="I152" s="257">
        <f t="shared" si="30"/>
        <v>-356498070.62</v>
      </c>
      <c r="J152" s="257">
        <f t="shared" si="30"/>
        <v>-64052959.759999998</v>
      </c>
      <c r="K152" s="257">
        <f t="shared" si="30"/>
        <v>-59402283.611666702</v>
      </c>
      <c r="L152" s="257">
        <f t="shared" si="30"/>
        <v>-72033779.535942107</v>
      </c>
      <c r="M152" s="257">
        <f t="shared" si="30"/>
        <v>-36915106.328808501</v>
      </c>
      <c r="N152" s="257">
        <f t="shared" si="30"/>
        <v>-22535994.178835701</v>
      </c>
      <c r="O152" s="257">
        <f t="shared" si="30"/>
        <v>-5127489.8912919601</v>
      </c>
      <c r="P152" s="257">
        <f t="shared" si="30"/>
        <v>-70617946.0087578</v>
      </c>
      <c r="Q152" s="257">
        <f t="shared" si="30"/>
        <v>-125858173.600695</v>
      </c>
      <c r="R152" s="257">
        <f t="shared" si="30"/>
        <v>7590.5478698294601</v>
      </c>
      <c r="S152" s="322">
        <f t="shared" si="19"/>
        <v>-877489817.63812804</v>
      </c>
      <c r="T152" s="304">
        <f t="shared" si="20"/>
        <v>-19.0456409966386</v>
      </c>
    </row>
    <row r="153" spans="1:23">
      <c r="A153" s="247" t="str">
        <f t="shared" si="29"/>
        <v>1003p</v>
      </c>
      <c r="B153" s="617" t="str">
        <f>+VLOOKUP(LEFT($A153,LEN(A153)-1)*1,Master!$D$30:$G$226,4,FALSE)</f>
        <v>Finansiranje</v>
      </c>
      <c r="C153" s="618"/>
      <c r="D153" s="618"/>
      <c r="E153" s="618"/>
      <c r="F153" s="618"/>
      <c r="G153" s="217">
        <f t="shared" ref="G153:R153" si="31">+SUM(G154:G157)</f>
        <v>35842310.469999999</v>
      </c>
      <c r="H153" s="217">
        <f t="shared" si="31"/>
        <v>28613294.18</v>
      </c>
      <c r="I153" s="217">
        <f t="shared" si="31"/>
        <v>356498070.62</v>
      </c>
      <c r="J153" s="217">
        <f t="shared" si="31"/>
        <v>64052959.759999998</v>
      </c>
      <c r="K153" s="217">
        <f t="shared" si="31"/>
        <v>59402283.611666702</v>
      </c>
      <c r="L153" s="217">
        <f t="shared" si="31"/>
        <v>72033779.535942107</v>
      </c>
      <c r="M153" s="217">
        <f t="shared" si="31"/>
        <v>36915106.328808501</v>
      </c>
      <c r="N153" s="217">
        <f t="shared" si="31"/>
        <v>22535994.178835701</v>
      </c>
      <c r="O153" s="217">
        <f t="shared" si="31"/>
        <v>5127489.8912919601</v>
      </c>
      <c r="P153" s="217">
        <f t="shared" si="31"/>
        <v>70617946.0087578</v>
      </c>
      <c r="Q153" s="217">
        <f t="shared" si="31"/>
        <v>125858173.600695</v>
      </c>
      <c r="R153" s="217">
        <f t="shared" si="31"/>
        <v>-7590.5478698294601</v>
      </c>
      <c r="S153" s="323">
        <f t="shared" si="19"/>
        <v>877489817.63812804</v>
      </c>
      <c r="T153" s="306">
        <f t="shared" si="20"/>
        <v>19.0456409966386</v>
      </c>
    </row>
    <row r="154" spans="1:23">
      <c r="A154" s="247" t="str">
        <f t="shared" si="29"/>
        <v>7511p</v>
      </c>
      <c r="B154" s="635" t="str">
        <f>+VLOOKUP(LEFT($A154,LEN(A154)-1)*1,Master!$D$30:$G$226,4,FALSE)</f>
        <v>Pozajmice i krediti od domaćih izvora</v>
      </c>
      <c r="C154" s="636"/>
      <c r="D154" s="636"/>
      <c r="E154" s="636"/>
      <c r="F154" s="636"/>
      <c r="G154" s="253">
        <f>+DataEx!FR260</f>
        <v>0</v>
      </c>
      <c r="H154" s="253">
        <f>+DataEx!FS260</f>
        <v>0</v>
      </c>
      <c r="I154" s="253">
        <f>+DataEx!FT260</f>
        <v>0</v>
      </c>
      <c r="J154" s="253">
        <f>+DataEx!FU260</f>
        <v>0</v>
      </c>
      <c r="K154" s="253">
        <f>+DataEx!FV260</f>
        <v>0</v>
      </c>
      <c r="L154" s="253">
        <f>+DataEx!FW260</f>
        <v>0</v>
      </c>
      <c r="M154" s="253">
        <f>+DataEx!FX260</f>
        <v>0</v>
      </c>
      <c r="N154" s="253">
        <f>+DataEx!FY260</f>
        <v>0</v>
      </c>
      <c r="O154" s="253">
        <f>+DataEx!FZ260</f>
        <v>0</v>
      </c>
      <c r="P154" s="253">
        <f>+DataEx!GA260</f>
        <v>0</v>
      </c>
      <c r="Q154" s="253">
        <f>+DataEx!GB260</f>
        <v>0</v>
      </c>
      <c r="R154" s="253">
        <f>+DataEx!GC260</f>
        <v>0</v>
      </c>
      <c r="S154" s="317">
        <f t="shared" si="19"/>
        <v>0</v>
      </c>
      <c r="T154" s="299">
        <f t="shared" si="20"/>
        <v>0</v>
      </c>
    </row>
    <row r="155" spans="1:23">
      <c r="A155" s="247" t="str">
        <f t="shared" si="29"/>
        <v>7512p</v>
      </c>
      <c r="B155" s="631" t="str">
        <f>+VLOOKUP(LEFT($A155,LEN(A155)-1)*1,Master!$D$30:$G$226,4,FALSE)</f>
        <v>Pozajmice i krediti od inostranih izvora</v>
      </c>
      <c r="C155" s="632"/>
      <c r="D155" s="632"/>
      <c r="E155" s="632"/>
      <c r="F155" s="632"/>
      <c r="G155" s="253">
        <f>+DataEx!FR261</f>
        <v>316564.84000000003</v>
      </c>
      <c r="H155" s="253">
        <f>+DataEx!FS261</f>
        <v>1511136.76</v>
      </c>
      <c r="I155" s="253">
        <f>+DataEx!FT261</f>
        <v>3834054.75</v>
      </c>
      <c r="J155" s="253">
        <f>+DataEx!FU261</f>
        <v>4493810.3600000003</v>
      </c>
      <c r="K155" s="253">
        <f>+DataEx!FV261</f>
        <v>250307576.15000001</v>
      </c>
      <c r="L155" s="253">
        <f>+DataEx!FW261</f>
        <v>10146635.9985714</v>
      </c>
      <c r="M155" s="253">
        <f>+DataEx!FX261</f>
        <v>10146635.9985714</v>
      </c>
      <c r="N155" s="253">
        <f>+DataEx!FY261</f>
        <v>10146635.9985714</v>
      </c>
      <c r="O155" s="253">
        <f>+DataEx!FZ261</f>
        <v>10146635.9985714</v>
      </c>
      <c r="P155" s="253">
        <f>+DataEx!GA261</f>
        <v>10146635.9985714</v>
      </c>
      <c r="Q155" s="253">
        <f>+DataEx!GB261</f>
        <v>10146635.9985714</v>
      </c>
      <c r="R155" s="253">
        <f>+DataEx!GC261</f>
        <v>10146635.9985714</v>
      </c>
      <c r="S155" s="317">
        <f t="shared" si="19"/>
        <v>331489594.85000002</v>
      </c>
      <c r="T155" s="299">
        <f t="shared" si="20"/>
        <v>7.1948775823150299</v>
      </c>
    </row>
    <row r="156" spans="1:23">
      <c r="A156" s="247" t="str">
        <f t="shared" si="29"/>
        <v>72p</v>
      </c>
      <c r="B156" s="631" t="str">
        <f>+VLOOKUP(LEFT($A156,LEN(A156)-1)*1,Master!$D$30:$G$226,4,FALSE)</f>
        <v>Primici od prodaje imovine</v>
      </c>
      <c r="C156" s="632"/>
      <c r="D156" s="632"/>
      <c r="E156" s="632"/>
      <c r="F156" s="632"/>
      <c r="G156" s="253">
        <f>+DataEx!FR249</f>
        <v>62782.51</v>
      </c>
      <c r="H156" s="253">
        <f>+DataEx!FS249</f>
        <v>437988.22</v>
      </c>
      <c r="I156" s="253">
        <f>+DataEx!FT249</f>
        <v>603218.21</v>
      </c>
      <c r="J156" s="253">
        <f>+DataEx!FU249</f>
        <v>198578.39</v>
      </c>
      <c r="K156" s="253">
        <f>+DataEx!FV249</f>
        <v>270349.07</v>
      </c>
      <c r="L156" s="253">
        <f>+DataEx!FW249</f>
        <v>632440.5</v>
      </c>
      <c r="M156" s="253">
        <f>+DataEx!FX249</f>
        <v>632440.5</v>
      </c>
      <c r="N156" s="253">
        <f>+DataEx!FY249</f>
        <v>632440.5</v>
      </c>
      <c r="O156" s="253">
        <f>+DataEx!FZ249</f>
        <v>632440.5</v>
      </c>
      <c r="P156" s="253">
        <f>+DataEx!GA249</f>
        <v>632440.5</v>
      </c>
      <c r="Q156" s="253">
        <f>+DataEx!GB249</f>
        <v>632440.5</v>
      </c>
      <c r="R156" s="253">
        <f>+DataEx!GC249</f>
        <v>632440.6</v>
      </c>
      <c r="S156" s="317">
        <f t="shared" si="19"/>
        <v>6000000</v>
      </c>
      <c r="T156" s="299">
        <f t="shared" si="20"/>
        <v>0.13022811625029801</v>
      </c>
    </row>
    <row r="157" spans="1:23">
      <c r="A157" s="247" t="str">
        <f t="shared" si="29"/>
        <v>1004p</v>
      </c>
      <c r="B157" s="262" t="str">
        <f>+VLOOKUP(LEFT($A157,LEN(A157)-1)*1,Master!$D$30:$G$226,4,FALSE)</f>
        <v>Povećanje / smanjenje depozita</v>
      </c>
      <c r="C157" s="263"/>
      <c r="D157" s="263"/>
      <c r="E157" s="263"/>
      <c r="F157" s="263"/>
      <c r="G157" s="264">
        <f t="shared" ref="G157:R157" si="32">-G152-SUM(G154:G156)</f>
        <v>35462963.119999997</v>
      </c>
      <c r="H157" s="264">
        <f t="shared" si="32"/>
        <v>26664169.199999999</v>
      </c>
      <c r="I157" s="264">
        <f t="shared" si="32"/>
        <v>352060797.66000003</v>
      </c>
      <c r="J157" s="264">
        <f t="shared" si="32"/>
        <v>59360571.009999998</v>
      </c>
      <c r="K157" s="264">
        <f t="shared" si="32"/>
        <v>-191175641.60833299</v>
      </c>
      <c r="L157" s="264">
        <f t="shared" si="32"/>
        <v>61254703.0373706</v>
      </c>
      <c r="M157" s="264">
        <f t="shared" si="32"/>
        <v>26136029.830237102</v>
      </c>
      <c r="N157" s="264">
        <f t="shared" si="32"/>
        <v>11756917.6802643</v>
      </c>
      <c r="O157" s="264">
        <f t="shared" si="32"/>
        <v>-5651586.6072794599</v>
      </c>
      <c r="P157" s="264">
        <f t="shared" si="32"/>
        <v>59838869.510186397</v>
      </c>
      <c r="Q157" s="264">
        <f t="shared" si="32"/>
        <v>115079097.10212401</v>
      </c>
      <c r="R157" s="264">
        <f t="shared" si="32"/>
        <v>-10786667.146441299</v>
      </c>
      <c r="S157" s="324">
        <f t="shared" si="19"/>
        <v>540000222.78812802</v>
      </c>
      <c r="T157" s="308">
        <f t="shared" si="20"/>
        <v>11.7205352980732</v>
      </c>
    </row>
  </sheetData>
  <mergeCells count="114">
    <mergeCell ref="B153:F153"/>
    <mergeCell ref="B154:F154"/>
    <mergeCell ref="B155:F155"/>
    <mergeCell ref="B156:F156"/>
    <mergeCell ref="B100:F102"/>
    <mergeCell ref="B7:F9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62:F62"/>
    <mergeCell ref="B63:F63"/>
    <mergeCell ref="G100:R100"/>
    <mergeCell ref="S101:T101"/>
    <mergeCell ref="B103:F103"/>
    <mergeCell ref="B104:F104"/>
    <mergeCell ref="B105:F105"/>
    <mergeCell ref="B106:F106"/>
    <mergeCell ref="B107:F107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75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W159"/>
  <sheetViews>
    <sheetView workbookViewId="0">
      <pane ySplit="1" topLeftCell="A3" activePane="bottomLeft" state="frozen"/>
      <selection pane="bottomLeft" activeCell="S10" sqref="S10"/>
    </sheetView>
  </sheetViews>
  <sheetFormatPr defaultColWidth="9.140625" defaultRowHeight="12.75"/>
  <cols>
    <col min="1" max="1" width="5.42578125" style="128" customWidth="1"/>
    <col min="2" max="4" width="9.140625" style="129"/>
    <col min="5" max="5" width="23.42578125" style="129" customWidth="1"/>
    <col min="6" max="6" width="0.42578125" style="129" customWidth="1"/>
    <col min="7" max="9" width="10.7109375" style="129" customWidth="1"/>
    <col min="10" max="10" width="14.42578125" style="129" customWidth="1"/>
    <col min="11" max="18" width="10.7109375" style="129" customWidth="1"/>
    <col min="19" max="19" width="13.28515625" style="129" customWidth="1"/>
    <col min="20" max="20" width="10.7109375" style="129" customWidth="1"/>
    <col min="21" max="21" width="20.28515625" style="129" customWidth="1"/>
    <col min="22" max="22" width="11" style="129" customWidth="1"/>
    <col min="23" max="23" width="13.85546875" style="129" customWidth="1"/>
    <col min="24" max="16384" width="9.140625" style="129"/>
  </cols>
  <sheetData>
    <row r="1" spans="1:20" s="127" customFormat="1" ht="3" customHeight="1">
      <c r="A1" s="130"/>
    </row>
    <row r="2" spans="1:20" s="127" customFormat="1" ht="15">
      <c r="A2" s="131"/>
      <c r="B2" s="132"/>
      <c r="C2" s="133"/>
      <c r="D2" s="132"/>
      <c r="E2" s="132" t="s">
        <v>96</v>
      </c>
      <c r="F2" s="132"/>
      <c r="G2" s="132"/>
      <c r="H2" s="132"/>
      <c r="I2" s="134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127" customFormat="1" ht="15">
      <c r="A3" s="131"/>
      <c r="B3" s="132"/>
      <c r="C3" s="132"/>
      <c r="D3" s="132"/>
      <c r="E3" s="134" t="s">
        <v>97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127" customFormat="1" ht="15">
      <c r="A4" s="131"/>
      <c r="B4" s="132"/>
      <c r="C4" s="132"/>
      <c r="D4" s="132"/>
      <c r="E4" s="134" t="s">
        <v>98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268"/>
    </row>
    <row r="5" spans="1:20" s="127" customFormat="1" ht="26.25" customHeight="1">
      <c r="A5" s="131"/>
      <c r="B5" s="132"/>
      <c r="C5" s="132"/>
      <c r="D5" s="132"/>
      <c r="E5" s="269">
        <f>+SUM(G10:N10)</f>
        <v>1172192949.71</v>
      </c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</row>
    <row r="6" spans="1:20">
      <c r="A6" s="136"/>
      <c r="B6" s="137"/>
      <c r="C6" s="137"/>
      <c r="D6" s="137"/>
      <c r="E6" s="137"/>
      <c r="F6" s="137"/>
      <c r="G6" s="138" t="s">
        <v>99</v>
      </c>
      <c r="H6" s="138" t="s">
        <v>100</v>
      </c>
      <c r="I6" s="138" t="s">
        <v>101</v>
      </c>
      <c r="J6" s="138" t="s">
        <v>102</v>
      </c>
      <c r="K6" s="138" t="s">
        <v>103</v>
      </c>
      <c r="L6" s="138" t="s">
        <v>104</v>
      </c>
      <c r="M6" s="138" t="s">
        <v>105</v>
      </c>
      <c r="N6" s="138" t="s">
        <v>106</v>
      </c>
      <c r="O6" s="138" t="s">
        <v>107</v>
      </c>
      <c r="P6" s="138" t="s">
        <v>108</v>
      </c>
      <c r="Q6" s="138" t="s">
        <v>109</v>
      </c>
      <c r="R6" s="138" t="s">
        <v>110</v>
      </c>
      <c r="S6" s="137"/>
      <c r="T6" s="137"/>
    </row>
    <row r="7" spans="1:20" ht="15" customHeight="1">
      <c r="A7" s="136"/>
      <c r="B7" s="584" t="s">
        <v>111</v>
      </c>
      <c r="C7" s="585"/>
      <c r="D7" s="585"/>
      <c r="E7" s="585"/>
      <c r="F7" s="585"/>
      <c r="G7" s="550">
        <v>2019</v>
      </c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4"/>
      <c r="S7" s="139" t="s">
        <v>112</v>
      </c>
      <c r="T7" s="140">
        <v>4951000000</v>
      </c>
    </row>
    <row r="8" spans="1:20" ht="16.5" customHeight="1">
      <c r="A8" s="136"/>
      <c r="B8" s="586"/>
      <c r="C8" s="587"/>
      <c r="D8" s="587"/>
      <c r="E8" s="587"/>
      <c r="F8" s="588"/>
      <c r="G8" s="141" t="s">
        <v>113</v>
      </c>
      <c r="H8" s="141" t="s">
        <v>114</v>
      </c>
      <c r="I8" s="141" t="s">
        <v>115</v>
      </c>
      <c r="J8" s="141" t="s">
        <v>116</v>
      </c>
      <c r="K8" s="141" t="s">
        <v>117</v>
      </c>
      <c r="L8" s="141" t="s">
        <v>118</v>
      </c>
      <c r="M8" s="141" t="s">
        <v>119</v>
      </c>
      <c r="N8" s="141" t="s">
        <v>120</v>
      </c>
      <c r="O8" s="141" t="s">
        <v>121</v>
      </c>
      <c r="P8" s="141" t="s">
        <v>122</v>
      </c>
      <c r="Q8" s="141" t="s">
        <v>123</v>
      </c>
      <c r="R8" s="141" t="s">
        <v>124</v>
      </c>
      <c r="S8" s="550" t="s">
        <v>125</v>
      </c>
      <c r="T8" s="554"/>
    </row>
    <row r="9" spans="1:20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">
        <v>5</v>
      </c>
    </row>
    <row r="10" spans="1:20">
      <c r="A10" s="145">
        <v>7</v>
      </c>
      <c r="B10" s="570" t="s">
        <v>126</v>
      </c>
      <c r="C10" s="571"/>
      <c r="D10" s="571"/>
      <c r="E10" s="571"/>
      <c r="F10" s="571"/>
      <c r="G10" s="146">
        <f t="shared" ref="G10:R10" si="1">+G11+G19+SUM(G24:G28)</f>
        <v>107257200.93000001</v>
      </c>
      <c r="H10" s="146">
        <f t="shared" si="1"/>
        <v>116523983.53</v>
      </c>
      <c r="I10" s="146">
        <f t="shared" si="1"/>
        <v>147544399.37</v>
      </c>
      <c r="J10" s="146">
        <f t="shared" si="1"/>
        <v>165041554.06999999</v>
      </c>
      <c r="K10" s="146">
        <f t="shared" si="1"/>
        <v>144226472.27000001</v>
      </c>
      <c r="L10" s="146">
        <f t="shared" si="1"/>
        <v>143393460.84999999</v>
      </c>
      <c r="M10" s="146">
        <f t="shared" si="1"/>
        <v>174124444.44</v>
      </c>
      <c r="N10" s="146">
        <f t="shared" si="1"/>
        <v>174081434.25</v>
      </c>
      <c r="O10" s="146">
        <f t="shared" si="1"/>
        <v>165958766.61000001</v>
      </c>
      <c r="P10" s="146">
        <f t="shared" si="1"/>
        <v>156600856.53</v>
      </c>
      <c r="Q10" s="146">
        <f t="shared" si="1"/>
        <v>147278580.38</v>
      </c>
      <c r="R10" s="146">
        <f t="shared" si="1"/>
        <v>243181464.93000001</v>
      </c>
      <c r="S10" s="147">
        <f>+SUM(G10:O10)</f>
        <v>1338151716.3199999</v>
      </c>
      <c r="T10" s="148">
        <f>+S10/$T$7</f>
        <v>0.27027907823066</v>
      </c>
    </row>
    <row r="11" spans="1:20">
      <c r="A11" s="145">
        <v>711</v>
      </c>
      <c r="B11" s="560" t="s">
        <v>127</v>
      </c>
      <c r="C11" s="561"/>
      <c r="D11" s="561"/>
      <c r="E11" s="561"/>
      <c r="F11" s="561"/>
      <c r="G11" s="149">
        <f t="shared" ref="G11:R11" si="2">+SUM(G12:G18)</f>
        <v>72429730.420000002</v>
      </c>
      <c r="H11" s="149">
        <f t="shared" si="2"/>
        <v>68470908.439999998</v>
      </c>
      <c r="I11" s="149">
        <f t="shared" si="2"/>
        <v>98709545.510000005</v>
      </c>
      <c r="J11" s="149">
        <f t="shared" si="2"/>
        <v>106791818.52</v>
      </c>
      <c r="K11" s="149">
        <f t="shared" si="2"/>
        <v>94372185.030000001</v>
      </c>
      <c r="L11" s="149">
        <f t="shared" si="2"/>
        <v>89389439.689999998</v>
      </c>
      <c r="M11" s="149">
        <f t="shared" si="2"/>
        <v>115363471.45</v>
      </c>
      <c r="N11" s="149">
        <f t="shared" si="2"/>
        <v>118817091.44</v>
      </c>
      <c r="O11" s="149">
        <f t="shared" si="2"/>
        <v>114500270.97</v>
      </c>
      <c r="P11" s="149">
        <f t="shared" si="2"/>
        <v>101600991.11</v>
      </c>
      <c r="Q11" s="149">
        <f t="shared" si="2"/>
        <v>87468589.950000003</v>
      </c>
      <c r="R11" s="150">
        <f t="shared" si="2"/>
        <v>104834610.59</v>
      </c>
      <c r="S11" s="147">
        <f t="shared" ref="S11:S28" si="3">+SUM(G11:O11)</f>
        <v>878844461.47000003</v>
      </c>
      <c r="T11" s="152">
        <f t="shared" ref="T11:T64" si="4">+S11/$T$7</f>
        <v>0.17750847535245401</v>
      </c>
    </row>
    <row r="12" spans="1:20">
      <c r="A12" s="145">
        <v>7111</v>
      </c>
      <c r="B12" s="562" t="s">
        <v>128</v>
      </c>
      <c r="C12" s="563"/>
      <c r="D12" s="563"/>
      <c r="E12" s="563"/>
      <c r="F12" s="563"/>
      <c r="G12" s="153">
        <f>DataEx!FF11</f>
        <v>4240913.8099999996</v>
      </c>
      <c r="H12" s="153">
        <f>DataEx!FG11</f>
        <v>9361661.1500000004</v>
      </c>
      <c r="I12" s="153">
        <f>DataEx!FH11</f>
        <v>9044961.5800000001</v>
      </c>
      <c r="J12" s="153">
        <f>DataEx!FI11</f>
        <v>10767101.800000001</v>
      </c>
      <c r="K12" s="153">
        <f>DataEx!FJ11</f>
        <v>10210712.41</v>
      </c>
      <c r="L12" s="153">
        <f>DataEx!FK11</f>
        <v>10125793.029999999</v>
      </c>
      <c r="M12" s="153">
        <f>DataEx!FL11</f>
        <v>10986746.67</v>
      </c>
      <c r="N12" s="153">
        <f>DataEx!FM11</f>
        <v>10477204.85</v>
      </c>
      <c r="O12" s="153">
        <f>DataEx!FN11</f>
        <v>10332018.109999999</v>
      </c>
      <c r="P12" s="153">
        <f>DataEx!FO11</f>
        <v>10824900.91</v>
      </c>
      <c r="Q12" s="153">
        <f>DataEx!FP11</f>
        <v>9987863.9000000004</v>
      </c>
      <c r="R12" s="153">
        <f>DataEx!FQ11</f>
        <v>18641048.940000001</v>
      </c>
      <c r="S12" s="147">
        <f t="shared" si="3"/>
        <v>85547113.409999996</v>
      </c>
      <c r="T12" s="155">
        <f t="shared" si="4"/>
        <v>1.7278754475863502E-2</v>
      </c>
    </row>
    <row r="13" spans="1:20">
      <c r="A13" s="145">
        <v>7112</v>
      </c>
      <c r="B13" s="562" t="s">
        <v>129</v>
      </c>
      <c r="C13" s="563"/>
      <c r="D13" s="563"/>
      <c r="E13" s="563"/>
      <c r="F13" s="563"/>
      <c r="G13" s="153">
        <f>DataEx!FF12</f>
        <v>936843.13</v>
      </c>
      <c r="H13" s="153">
        <f>DataEx!FG12</f>
        <v>1962550.32</v>
      </c>
      <c r="I13" s="153">
        <f>DataEx!FH12</f>
        <v>22465664.23</v>
      </c>
      <c r="J13" s="153">
        <f>DataEx!FI12</f>
        <v>20408432.98</v>
      </c>
      <c r="K13" s="153">
        <f>DataEx!FJ12</f>
        <v>4781744.7</v>
      </c>
      <c r="L13" s="153">
        <f>DataEx!FK12</f>
        <v>3678815</v>
      </c>
      <c r="M13" s="153">
        <f>DataEx!FL12</f>
        <v>3890710.55</v>
      </c>
      <c r="N13" s="153">
        <f>DataEx!FM12</f>
        <v>3092994.24</v>
      </c>
      <c r="O13" s="153">
        <f>DataEx!FN12</f>
        <v>2242778.35</v>
      </c>
      <c r="P13" s="153">
        <f>DataEx!FO12</f>
        <v>690017.25</v>
      </c>
      <c r="Q13" s="153">
        <f>DataEx!FP12</f>
        <v>879657.72</v>
      </c>
      <c r="R13" s="153">
        <f>DataEx!FQ12</f>
        <v>7785764.6100000003</v>
      </c>
      <c r="S13" s="147">
        <f t="shared" si="3"/>
        <v>63460533.5</v>
      </c>
      <c r="T13" s="155">
        <f t="shared" si="4"/>
        <v>1.2817720359523299E-2</v>
      </c>
    </row>
    <row r="14" spans="1:20">
      <c r="A14" s="145">
        <v>7113</v>
      </c>
      <c r="B14" s="562" t="s">
        <v>130</v>
      </c>
      <c r="C14" s="563"/>
      <c r="D14" s="563"/>
      <c r="E14" s="563"/>
      <c r="F14" s="563"/>
      <c r="G14" s="153">
        <f>DataEx!FF13</f>
        <v>118243.45</v>
      </c>
      <c r="H14" s="153">
        <f>DataEx!FG13</f>
        <v>169568.16</v>
      </c>
      <c r="I14" s="153">
        <f>DataEx!FH13</f>
        <v>146352.49</v>
      </c>
      <c r="J14" s="153">
        <f>DataEx!FI13</f>
        <v>204359.36</v>
      </c>
      <c r="K14" s="153">
        <f>DataEx!FJ13</f>
        <v>147510.5</v>
      </c>
      <c r="L14" s="153">
        <f>DataEx!FK13</f>
        <v>158253.64000000001</v>
      </c>
      <c r="M14" s="153">
        <f>DataEx!FL13</f>
        <v>152687.82</v>
      </c>
      <c r="N14" s="153">
        <f>DataEx!FM13</f>
        <v>172408.19</v>
      </c>
      <c r="O14" s="153">
        <f>DataEx!FN13</f>
        <v>131658.57</v>
      </c>
      <c r="P14" s="153">
        <f>DataEx!FO13</f>
        <v>174049.01</v>
      </c>
      <c r="Q14" s="153">
        <f>DataEx!FP13</f>
        <v>172799.49</v>
      </c>
      <c r="R14" s="153">
        <f>DataEx!FQ13</f>
        <v>289363.09000000003</v>
      </c>
      <c r="S14" s="147">
        <f t="shared" si="3"/>
        <v>1401042.18</v>
      </c>
      <c r="T14" s="155">
        <f t="shared" si="4"/>
        <v>2.8298165623106398E-4</v>
      </c>
    </row>
    <row r="15" spans="1:20">
      <c r="A15" s="145">
        <v>7114</v>
      </c>
      <c r="B15" s="562" t="s">
        <v>131</v>
      </c>
      <c r="C15" s="563"/>
      <c r="D15" s="563"/>
      <c r="E15" s="563"/>
      <c r="F15" s="563"/>
      <c r="G15" s="153">
        <f>DataEx!FF14</f>
        <v>49847223.18</v>
      </c>
      <c r="H15" s="153">
        <f>DataEx!FG14</f>
        <v>38958365.399999999</v>
      </c>
      <c r="I15" s="153">
        <f>DataEx!FH14</f>
        <v>50498218.18</v>
      </c>
      <c r="J15" s="153">
        <f>DataEx!FI14</f>
        <v>55142838.460000001</v>
      </c>
      <c r="K15" s="153">
        <f>DataEx!FJ14</f>
        <v>56428341.859999999</v>
      </c>
      <c r="L15" s="153">
        <f>DataEx!FK14</f>
        <v>52810087.229999997</v>
      </c>
      <c r="M15" s="153">
        <f>DataEx!FL14</f>
        <v>71626480.939999998</v>
      </c>
      <c r="N15" s="153">
        <f>DataEx!FM14</f>
        <v>71690318.180000007</v>
      </c>
      <c r="O15" s="153">
        <f>DataEx!FN14</f>
        <v>70816309.909999996</v>
      </c>
      <c r="P15" s="153">
        <f>DataEx!FO14</f>
        <v>65908952.759999998</v>
      </c>
      <c r="Q15" s="153">
        <f>DataEx!FP14</f>
        <v>54764641.939999998</v>
      </c>
      <c r="R15" s="153">
        <f>DataEx!FQ14</f>
        <v>57237175.490000002</v>
      </c>
      <c r="S15" s="147">
        <f t="shared" si="3"/>
        <v>517818183.33999997</v>
      </c>
      <c r="T15" s="155">
        <f t="shared" si="4"/>
        <v>0.10458860499696999</v>
      </c>
    </row>
    <row r="16" spans="1:20">
      <c r="A16" s="145">
        <v>7115</v>
      </c>
      <c r="B16" s="562" t="s">
        <v>132</v>
      </c>
      <c r="C16" s="563"/>
      <c r="D16" s="563"/>
      <c r="E16" s="563"/>
      <c r="F16" s="563"/>
      <c r="G16" s="153">
        <f>DataEx!FF15</f>
        <v>15141217.210000001</v>
      </c>
      <c r="H16" s="153">
        <f>DataEx!FG15</f>
        <v>13186126.23</v>
      </c>
      <c r="I16" s="153">
        <f>DataEx!FH15</f>
        <v>13315087.640000001</v>
      </c>
      <c r="J16" s="153">
        <f>DataEx!FI15</f>
        <v>16826313.73</v>
      </c>
      <c r="K16" s="153">
        <f>DataEx!FJ15</f>
        <v>19442485.359999999</v>
      </c>
      <c r="L16" s="153">
        <f>DataEx!FK15</f>
        <v>19205497.870000001</v>
      </c>
      <c r="M16" s="153">
        <f>DataEx!FL15</f>
        <v>24612824.059999999</v>
      </c>
      <c r="N16" s="153">
        <f>DataEx!FM15</f>
        <v>29562766.32</v>
      </c>
      <c r="O16" s="153">
        <f>DataEx!FN15</f>
        <v>27417042.280000001</v>
      </c>
      <c r="P16" s="153">
        <f>DataEx!FO15</f>
        <v>20585777.449999999</v>
      </c>
      <c r="Q16" s="153">
        <f>DataEx!FP15</f>
        <v>18663851.199999999</v>
      </c>
      <c r="R16" s="153">
        <f>DataEx!FQ15</f>
        <v>17559308.390000001</v>
      </c>
      <c r="S16" s="147">
        <f t="shared" si="3"/>
        <v>178709360.69999999</v>
      </c>
      <c r="T16" s="155">
        <f t="shared" si="4"/>
        <v>3.6095609109270899E-2</v>
      </c>
    </row>
    <row r="17" spans="1:23">
      <c r="A17" s="145">
        <v>7116</v>
      </c>
      <c r="B17" s="562" t="s">
        <v>133</v>
      </c>
      <c r="C17" s="563"/>
      <c r="D17" s="563"/>
      <c r="E17" s="563"/>
      <c r="F17" s="563"/>
      <c r="G17" s="153">
        <f>DataEx!FF16</f>
        <v>1424968.68</v>
      </c>
      <c r="H17" s="153">
        <f>DataEx!FG16</f>
        <v>1733788.33</v>
      </c>
      <c r="I17" s="153">
        <f>DataEx!FH16</f>
        <v>2462209.73</v>
      </c>
      <c r="J17" s="153">
        <f>DataEx!FI16</f>
        <v>2531899.16</v>
      </c>
      <c r="K17" s="153">
        <f>DataEx!FJ16</f>
        <v>2502520.2799999998</v>
      </c>
      <c r="L17" s="153">
        <f>DataEx!FK16</f>
        <v>2485583.9700000002</v>
      </c>
      <c r="M17" s="153">
        <f>DataEx!FL16</f>
        <v>3088089.4</v>
      </c>
      <c r="N17" s="153">
        <f>DataEx!FM16</f>
        <v>2788700.72</v>
      </c>
      <c r="O17" s="153">
        <f>DataEx!FN16</f>
        <v>2553125.85</v>
      </c>
      <c r="P17" s="153">
        <f>DataEx!FO16</f>
        <v>2492699.6800000002</v>
      </c>
      <c r="Q17" s="153">
        <f>DataEx!FP16</f>
        <v>2023761.96</v>
      </c>
      <c r="R17" s="153">
        <f>DataEx!FQ16</f>
        <v>2439192.98</v>
      </c>
      <c r="S17" s="147">
        <f t="shared" si="3"/>
        <v>21570886.120000001</v>
      </c>
      <c r="T17" s="155">
        <f t="shared" si="4"/>
        <v>4.35687459503131E-3</v>
      </c>
    </row>
    <row r="18" spans="1:23">
      <c r="A18" s="145">
        <v>7118</v>
      </c>
      <c r="B18" s="562" t="s">
        <v>134</v>
      </c>
      <c r="C18" s="563"/>
      <c r="D18" s="563"/>
      <c r="E18" s="563"/>
      <c r="F18" s="563"/>
      <c r="G18" s="153">
        <f>DataEx!FF17</f>
        <v>720320.96</v>
      </c>
      <c r="H18" s="153">
        <f>DataEx!FG17</f>
        <v>3098848.85</v>
      </c>
      <c r="I18" s="153">
        <f>DataEx!FH17</f>
        <v>777051.66</v>
      </c>
      <c r="J18" s="153">
        <f>DataEx!FI17</f>
        <v>910873.03</v>
      </c>
      <c r="K18" s="153">
        <f>DataEx!FJ17</f>
        <v>858869.92</v>
      </c>
      <c r="L18" s="153">
        <f>DataEx!FK17</f>
        <v>925408.95</v>
      </c>
      <c r="M18" s="153">
        <f>DataEx!FL17</f>
        <v>1005932.01</v>
      </c>
      <c r="N18" s="153">
        <f>DataEx!FM17</f>
        <v>1032698.94</v>
      </c>
      <c r="O18" s="153">
        <f>DataEx!FN17</f>
        <v>1007337.9</v>
      </c>
      <c r="P18" s="153">
        <f>DataEx!FO17</f>
        <v>924594.05</v>
      </c>
      <c r="Q18" s="153">
        <f>DataEx!FP17</f>
        <v>976013.74</v>
      </c>
      <c r="R18" s="153">
        <f>DataEx!FQ17</f>
        <v>882757.09</v>
      </c>
      <c r="S18" s="147">
        <f t="shared" si="3"/>
        <v>10337342.220000001</v>
      </c>
      <c r="T18" s="155">
        <f t="shared" si="4"/>
        <v>2.0879301595637199E-3</v>
      </c>
    </row>
    <row r="19" spans="1:23">
      <c r="A19" s="145">
        <v>712</v>
      </c>
      <c r="B19" s="564" t="s">
        <v>135</v>
      </c>
      <c r="C19" s="565"/>
      <c r="D19" s="565"/>
      <c r="E19" s="565"/>
      <c r="F19" s="565"/>
      <c r="G19" s="156">
        <v>16498881.48</v>
      </c>
      <c r="H19" s="156">
        <v>41912269.380000003</v>
      </c>
      <c r="I19" s="156">
        <v>41047599.18</v>
      </c>
      <c r="J19" s="156">
        <v>50290988.939999998</v>
      </c>
      <c r="K19" s="156">
        <v>37496285.130000003</v>
      </c>
      <c r="L19" s="156">
        <v>45280786.509999998</v>
      </c>
      <c r="M19" s="156">
        <v>48662139.439999998</v>
      </c>
      <c r="N19" s="156">
        <v>45770745.840000004</v>
      </c>
      <c r="O19" s="156">
        <v>43611346.450000003</v>
      </c>
      <c r="P19" s="156">
        <v>46487647.670000002</v>
      </c>
      <c r="Q19" s="156">
        <v>44027184.359999999</v>
      </c>
      <c r="R19" s="156">
        <v>85179894.560000002</v>
      </c>
      <c r="S19" s="147">
        <f t="shared" si="3"/>
        <v>370571042.35000002</v>
      </c>
      <c r="T19" s="158">
        <f t="shared" si="4"/>
        <v>7.4847716087659097E-2</v>
      </c>
    </row>
    <row r="20" spans="1:23">
      <c r="A20" s="145">
        <v>7121</v>
      </c>
      <c r="B20" s="562" t="s">
        <v>136</v>
      </c>
      <c r="C20" s="563"/>
      <c r="D20" s="563"/>
      <c r="E20" s="563"/>
      <c r="F20" s="563"/>
      <c r="G20" s="153">
        <f>DataEx!FF19</f>
        <v>9695765.5800000001</v>
      </c>
      <c r="H20" s="153">
        <f>DataEx!FG19</f>
        <v>24593790.260000002</v>
      </c>
      <c r="I20" s="153">
        <f>DataEx!FH19</f>
        <v>23923752.719999999</v>
      </c>
      <c r="J20" s="153">
        <f>DataEx!FI19</f>
        <v>29650595.870000001</v>
      </c>
      <c r="K20" s="153">
        <f>DataEx!FJ19</f>
        <v>22104934.850000001</v>
      </c>
      <c r="L20" s="153">
        <f>DataEx!FK19</f>
        <v>27009559.609999999</v>
      </c>
      <c r="M20" s="153">
        <f>DataEx!FL19</f>
        <v>28964205.43</v>
      </c>
      <c r="N20" s="153">
        <f>DataEx!FM19</f>
        <v>27519220.43</v>
      </c>
      <c r="O20" s="153">
        <f>DataEx!FN19</f>
        <v>26730921.559999999</v>
      </c>
      <c r="P20" s="153">
        <f>DataEx!FO19</f>
        <v>28563512.620000001</v>
      </c>
      <c r="Q20" s="153">
        <f>DataEx!FP19</f>
        <v>27240325.079999998</v>
      </c>
      <c r="R20" s="153">
        <f>DataEx!FQ19</f>
        <v>53184840.350000001</v>
      </c>
      <c r="S20" s="147">
        <f t="shared" si="3"/>
        <v>220192746.31</v>
      </c>
      <c r="T20" s="155">
        <f t="shared" si="4"/>
        <v>4.4474398365986698E-2</v>
      </c>
    </row>
    <row r="21" spans="1:23">
      <c r="A21" s="145">
        <v>7122</v>
      </c>
      <c r="B21" s="562" t="s">
        <v>137</v>
      </c>
      <c r="C21" s="563"/>
      <c r="D21" s="563"/>
      <c r="E21" s="563"/>
      <c r="F21" s="563"/>
      <c r="G21" s="153">
        <f>DataEx!FF20</f>
        <v>5963049.2000000002</v>
      </c>
      <c r="H21" s="153">
        <f>DataEx!FG20</f>
        <v>15122476.890000001</v>
      </c>
      <c r="I21" s="153">
        <f>DataEx!FH20</f>
        <v>14777265.789999999</v>
      </c>
      <c r="J21" s="153">
        <f>DataEx!FI20</f>
        <v>17925167.550000001</v>
      </c>
      <c r="K21" s="153">
        <f>DataEx!FJ20</f>
        <v>13458982.5</v>
      </c>
      <c r="L21" s="153">
        <f>DataEx!FK20</f>
        <v>15925774.34</v>
      </c>
      <c r="M21" s="153">
        <f>DataEx!FL20</f>
        <v>17203285.449999999</v>
      </c>
      <c r="N21" s="153">
        <f>DataEx!FM20</f>
        <v>15860674.26</v>
      </c>
      <c r="O21" s="153">
        <f>DataEx!FN20</f>
        <v>14501660.91</v>
      </c>
      <c r="P21" s="153">
        <f>DataEx!FO20</f>
        <v>15344312.359999999</v>
      </c>
      <c r="Q21" s="153">
        <f>DataEx!FP20</f>
        <v>14381893.27</v>
      </c>
      <c r="R21" s="153">
        <f>DataEx!FQ20</f>
        <v>27283965.91</v>
      </c>
      <c r="S21" s="147">
        <f t="shared" si="3"/>
        <v>130738336.89</v>
      </c>
      <c r="T21" s="155">
        <f t="shared" si="4"/>
        <v>2.6406450593819401E-2</v>
      </c>
    </row>
    <row r="22" spans="1:23">
      <c r="A22" s="145">
        <v>7123</v>
      </c>
      <c r="B22" s="562" t="s">
        <v>138</v>
      </c>
      <c r="C22" s="563"/>
      <c r="D22" s="563"/>
      <c r="E22" s="563"/>
      <c r="F22" s="563"/>
      <c r="G22" s="153">
        <f>DataEx!FF21</f>
        <v>459881.42</v>
      </c>
      <c r="H22" s="153">
        <f>DataEx!FG21</f>
        <v>1160315.8500000001</v>
      </c>
      <c r="I22" s="153">
        <f>DataEx!FH21</f>
        <v>1135767.8899999999</v>
      </c>
      <c r="J22" s="153">
        <f>DataEx!FI21</f>
        <v>1375720.59</v>
      </c>
      <c r="K22" s="153">
        <f>DataEx!FJ21</f>
        <v>1026106.03</v>
      </c>
      <c r="L22" s="153">
        <f>DataEx!FK21</f>
        <v>1222753.49</v>
      </c>
      <c r="M22" s="153">
        <f>DataEx!FL21</f>
        <v>1316999.83</v>
      </c>
      <c r="N22" s="153">
        <f>DataEx!FM21</f>
        <v>1256512.28</v>
      </c>
      <c r="O22" s="153">
        <f>DataEx!FN21</f>
        <v>1242677.57</v>
      </c>
      <c r="P22" s="153">
        <f>DataEx!FO21</f>
        <v>1311319.78</v>
      </c>
      <c r="Q22" s="153">
        <f>DataEx!FP21</f>
        <v>1232927.92</v>
      </c>
      <c r="R22" s="153">
        <f>DataEx!FQ21</f>
        <v>2381170.7999999998</v>
      </c>
      <c r="S22" s="147">
        <f t="shared" si="3"/>
        <v>10196734.949999999</v>
      </c>
      <c r="T22" s="155">
        <f t="shared" si="4"/>
        <v>2.0595303878004402E-3</v>
      </c>
    </row>
    <row r="23" spans="1:23">
      <c r="A23" s="145">
        <v>7124</v>
      </c>
      <c r="B23" s="562" t="s">
        <v>139</v>
      </c>
      <c r="C23" s="563"/>
      <c r="D23" s="563"/>
      <c r="E23" s="563"/>
      <c r="F23" s="563"/>
      <c r="G23" s="153">
        <f>DataEx!FF22</f>
        <v>380185.28</v>
      </c>
      <c r="H23" s="153">
        <f>DataEx!FG22</f>
        <v>1035686.38</v>
      </c>
      <c r="I23" s="153">
        <f>DataEx!FH22</f>
        <v>1210812.78</v>
      </c>
      <c r="J23" s="153">
        <f>DataEx!FI22</f>
        <v>1339504.93</v>
      </c>
      <c r="K23" s="153">
        <f>DataEx!FJ22</f>
        <v>906261.75</v>
      </c>
      <c r="L23" s="153">
        <f>DataEx!FK22</f>
        <v>1122699.07</v>
      </c>
      <c r="M23" s="153">
        <f>DataEx!FL22</f>
        <v>1177648.73</v>
      </c>
      <c r="N23" s="153">
        <f>DataEx!FM22</f>
        <v>1134338.8700000001</v>
      </c>
      <c r="O23" s="153">
        <f>DataEx!FN22</f>
        <v>1136086.4099999999</v>
      </c>
      <c r="P23" s="153">
        <f>DataEx!FO22</f>
        <v>1268502.9099999999</v>
      </c>
      <c r="Q23" s="153">
        <f>DataEx!FP22</f>
        <v>1172038.0900000001</v>
      </c>
      <c r="R23" s="153">
        <f>DataEx!FQ22</f>
        <v>2329917.5</v>
      </c>
      <c r="S23" s="147">
        <f t="shared" si="3"/>
        <v>9443224.1999999993</v>
      </c>
      <c r="T23" s="155">
        <f t="shared" si="4"/>
        <v>1.9073367400525101E-3</v>
      </c>
    </row>
    <row r="24" spans="1:23">
      <c r="A24" s="145">
        <v>713</v>
      </c>
      <c r="B24" s="566" t="s">
        <v>140</v>
      </c>
      <c r="C24" s="567"/>
      <c r="D24" s="567"/>
      <c r="E24" s="567"/>
      <c r="F24" s="567"/>
      <c r="G24" s="159">
        <f>DataEx!FF23</f>
        <v>851162.27</v>
      </c>
      <c r="H24" s="159">
        <f>DataEx!FG23</f>
        <v>1041125.39</v>
      </c>
      <c r="I24" s="159">
        <f>DataEx!FH23</f>
        <v>1066481.8799999999</v>
      </c>
      <c r="J24" s="159">
        <f>DataEx!FI23</f>
        <v>1290371.49</v>
      </c>
      <c r="K24" s="159">
        <f>DataEx!FJ23</f>
        <v>1208813.17</v>
      </c>
      <c r="L24" s="159">
        <f>DataEx!FK23</f>
        <v>1252534.6599999999</v>
      </c>
      <c r="M24" s="159">
        <f>DataEx!FL23</f>
        <v>1880947.59</v>
      </c>
      <c r="N24" s="159">
        <f>DataEx!FM23</f>
        <v>1630940.38</v>
      </c>
      <c r="O24" s="159">
        <f>DataEx!FN23</f>
        <v>1570845.07</v>
      </c>
      <c r="P24" s="159">
        <f>DataEx!FO23</f>
        <v>1362143.29</v>
      </c>
      <c r="Q24" s="159">
        <f>DataEx!FP23</f>
        <v>1005591.42</v>
      </c>
      <c r="R24" s="159">
        <f>DataEx!FQ23</f>
        <v>1500631.83</v>
      </c>
      <c r="S24" s="147">
        <f t="shared" si="3"/>
        <v>11793221.9</v>
      </c>
      <c r="T24" s="158">
        <f t="shared" si="4"/>
        <v>2.3819878610381699E-3</v>
      </c>
    </row>
    <row r="25" spans="1:23">
      <c r="A25" s="145">
        <v>714</v>
      </c>
      <c r="B25" s="566" t="s">
        <v>141</v>
      </c>
      <c r="C25" s="567"/>
      <c r="D25" s="567"/>
      <c r="E25" s="567"/>
      <c r="F25" s="567"/>
      <c r="G25" s="159">
        <f>DataEx!FF28</f>
        <v>2315003.25</v>
      </c>
      <c r="H25" s="159">
        <f>DataEx!FG28</f>
        <v>1541397.86</v>
      </c>
      <c r="I25" s="159">
        <f>DataEx!FH28</f>
        <v>2408517.5</v>
      </c>
      <c r="J25" s="159">
        <f>DataEx!FI28</f>
        <v>3310133.38</v>
      </c>
      <c r="K25" s="159">
        <f>DataEx!FJ28</f>
        <v>1792591.2</v>
      </c>
      <c r="L25" s="159">
        <f>DataEx!FK28</f>
        <v>2081141.31</v>
      </c>
      <c r="M25" s="159">
        <f>DataEx!FL28</f>
        <v>2697450.35</v>
      </c>
      <c r="N25" s="159">
        <f>DataEx!FM28</f>
        <v>1985377.11</v>
      </c>
      <c r="O25" s="159">
        <f>DataEx!FN28</f>
        <v>2352827.11</v>
      </c>
      <c r="P25" s="159">
        <f>DataEx!FO28</f>
        <v>2477150.35</v>
      </c>
      <c r="Q25" s="159">
        <f>DataEx!FP28</f>
        <v>1582634.86</v>
      </c>
      <c r="R25" s="159">
        <f>DataEx!FQ28</f>
        <v>3693530.67</v>
      </c>
      <c r="S25" s="147">
        <f t="shared" si="3"/>
        <v>20484439.07</v>
      </c>
      <c r="T25" s="158">
        <f t="shared" si="4"/>
        <v>4.1374346738032699E-3</v>
      </c>
      <c r="W25" s="161"/>
    </row>
    <row r="26" spans="1:23">
      <c r="A26" s="145">
        <v>715</v>
      </c>
      <c r="B26" s="566" t="s">
        <v>142</v>
      </c>
      <c r="C26" s="567"/>
      <c r="D26" s="567"/>
      <c r="E26" s="567"/>
      <c r="F26" s="567"/>
      <c r="G26" s="159">
        <f>DataEx!FF35</f>
        <v>1567147.41</v>
      </c>
      <c r="H26" s="159">
        <f>DataEx!FG35</f>
        <v>2179531.1</v>
      </c>
      <c r="I26" s="159">
        <f>DataEx!FH35</f>
        <v>3193816.55</v>
      </c>
      <c r="J26" s="159">
        <f>DataEx!FI35</f>
        <v>2381848.89</v>
      </c>
      <c r="K26" s="159">
        <f>DataEx!FJ35</f>
        <v>7159071.0099999998</v>
      </c>
      <c r="L26" s="159">
        <f>DataEx!FK35</f>
        <v>3262994.81</v>
      </c>
      <c r="M26" s="159">
        <f>DataEx!FL35</f>
        <v>3734626.12</v>
      </c>
      <c r="N26" s="159">
        <f>DataEx!FM35</f>
        <v>2985463.57</v>
      </c>
      <c r="O26" s="159">
        <f>DataEx!FN35</f>
        <v>2231628.86</v>
      </c>
      <c r="P26" s="159">
        <f>DataEx!FO35</f>
        <v>2504909.62</v>
      </c>
      <c r="Q26" s="159">
        <f>DataEx!FP35</f>
        <v>2278280.5299999998</v>
      </c>
      <c r="R26" s="159">
        <f>DataEx!FQ35</f>
        <v>42341645.060000002</v>
      </c>
      <c r="S26" s="147">
        <f t="shared" si="3"/>
        <v>28696128.32</v>
      </c>
      <c r="T26" s="158">
        <f t="shared" si="4"/>
        <v>5.7960267259139601E-3</v>
      </c>
      <c r="W26" s="172"/>
    </row>
    <row r="27" spans="1:23">
      <c r="A27" s="145">
        <v>73</v>
      </c>
      <c r="B27" s="566" t="s">
        <v>143</v>
      </c>
      <c r="C27" s="567"/>
      <c r="D27" s="567"/>
      <c r="E27" s="567"/>
      <c r="F27" s="567"/>
      <c r="G27" s="159">
        <f>DataEx!FF43</f>
        <v>69158.880000000005</v>
      </c>
      <c r="H27" s="159">
        <f>DataEx!FG43</f>
        <v>378338.04</v>
      </c>
      <c r="I27" s="159">
        <f>DataEx!FH43</f>
        <v>257172.98</v>
      </c>
      <c r="J27" s="159">
        <f>DataEx!FI43</f>
        <v>349238.34</v>
      </c>
      <c r="K27" s="159">
        <f>DataEx!FJ43</f>
        <v>808656.23</v>
      </c>
      <c r="L27" s="159">
        <f>DataEx!FK43</f>
        <v>1298753.81</v>
      </c>
      <c r="M27" s="159">
        <f>DataEx!FL43</f>
        <v>134648.84</v>
      </c>
      <c r="N27" s="159">
        <f>DataEx!FM43</f>
        <v>1295803.5900000001</v>
      </c>
      <c r="O27" s="159">
        <f>DataEx!FN43</f>
        <v>183612.59</v>
      </c>
      <c r="P27" s="159">
        <f>DataEx!FO43</f>
        <v>223272.51</v>
      </c>
      <c r="Q27" s="159">
        <f>DataEx!FP43</f>
        <v>1445230.26</v>
      </c>
      <c r="R27" s="159">
        <f>DataEx!FQ43</f>
        <v>1825677.24</v>
      </c>
      <c r="S27" s="147">
        <f t="shared" si="3"/>
        <v>4775383.3</v>
      </c>
      <c r="T27" s="158">
        <f t="shared" si="4"/>
        <v>9.6452904463744705E-4</v>
      </c>
    </row>
    <row r="28" spans="1:23">
      <c r="A28" s="145">
        <v>74</v>
      </c>
      <c r="B28" s="568" t="s">
        <v>144</v>
      </c>
      <c r="C28" s="569"/>
      <c r="D28" s="569"/>
      <c r="E28" s="569"/>
      <c r="F28" s="569"/>
      <c r="G28" s="159">
        <f>DataEx!FF46</f>
        <v>13526117.220000001</v>
      </c>
      <c r="H28" s="159">
        <f>DataEx!FG46</f>
        <v>1000413.32</v>
      </c>
      <c r="I28" s="159">
        <f>DataEx!FH46</f>
        <v>861265.77</v>
      </c>
      <c r="J28" s="159">
        <f>DataEx!FI46</f>
        <v>627154.51</v>
      </c>
      <c r="K28" s="159">
        <f>DataEx!FJ46</f>
        <v>1388870.5</v>
      </c>
      <c r="L28" s="159">
        <f>DataEx!FK46</f>
        <v>827810.06</v>
      </c>
      <c r="M28" s="159">
        <f>DataEx!FL46</f>
        <v>1651160.65</v>
      </c>
      <c r="N28" s="159">
        <f>DataEx!FM46</f>
        <v>1596012.32</v>
      </c>
      <c r="O28" s="159">
        <f>DataEx!FN46</f>
        <v>1508235.56</v>
      </c>
      <c r="P28" s="159">
        <f>DataEx!FO46</f>
        <v>1944741.98</v>
      </c>
      <c r="Q28" s="159">
        <f>DataEx!FP46</f>
        <v>9471069</v>
      </c>
      <c r="R28" s="159">
        <f>DataEx!FQ46</f>
        <v>3805474.98</v>
      </c>
      <c r="S28" s="147">
        <f t="shared" si="3"/>
        <v>22987039.91</v>
      </c>
      <c r="T28" s="162">
        <f t="shared" si="4"/>
        <v>4.6429084851545097E-3</v>
      </c>
    </row>
    <row r="29" spans="1:23">
      <c r="A29" s="145">
        <v>4</v>
      </c>
      <c r="B29" s="570" t="s">
        <v>145</v>
      </c>
      <c r="C29" s="571"/>
      <c r="D29" s="571"/>
      <c r="E29" s="571"/>
      <c r="F29" s="571"/>
      <c r="G29" s="146">
        <f>+G30+G40+G46+SUM(G47:G51)</f>
        <v>139551095.00999999</v>
      </c>
      <c r="H29" s="146">
        <f t="shared" ref="H29:R29" si="5">+H30+H40+H46+SUM(H47:H51)</f>
        <v>130924620.98</v>
      </c>
      <c r="I29" s="146">
        <f t="shared" si="5"/>
        <v>172149658.81999999</v>
      </c>
      <c r="J29" s="146">
        <f t="shared" si="5"/>
        <v>154884048.86000001</v>
      </c>
      <c r="K29" s="146">
        <f t="shared" si="5"/>
        <v>146196583.44999999</v>
      </c>
      <c r="L29" s="146">
        <f t="shared" si="5"/>
        <v>144229774.56</v>
      </c>
      <c r="M29" s="146">
        <f t="shared" si="5"/>
        <v>179378598.52000001</v>
      </c>
      <c r="N29" s="146">
        <f t="shared" si="5"/>
        <v>159632518.13</v>
      </c>
      <c r="O29" s="146">
        <f t="shared" si="5"/>
        <v>149398322.86000001</v>
      </c>
      <c r="P29" s="146">
        <f t="shared" si="5"/>
        <v>179163452.16999999</v>
      </c>
      <c r="Q29" s="146">
        <f t="shared" si="5"/>
        <v>197173444.13</v>
      </c>
      <c r="R29" s="146">
        <f t="shared" si="5"/>
        <v>275814224</v>
      </c>
      <c r="S29" s="163">
        <f t="shared" ref="S29:S64" si="6">+SUM(G29:R29)</f>
        <v>2028496341.49</v>
      </c>
      <c r="T29" s="164">
        <f t="shared" si="4"/>
        <v>0.40971447010502898</v>
      </c>
    </row>
    <row r="30" spans="1:23">
      <c r="A30" s="145">
        <v>40</v>
      </c>
      <c r="B30" s="572" t="s">
        <v>146</v>
      </c>
      <c r="C30" s="573"/>
      <c r="D30" s="573"/>
      <c r="E30" s="573"/>
      <c r="F30" s="573"/>
      <c r="G30" s="165">
        <f>SUM(G31:G39)</f>
        <v>50239320.530000001</v>
      </c>
      <c r="H30" s="165">
        <f t="shared" ref="H30:R30" si="7">SUM(H31:H39)</f>
        <v>54920566.579999998</v>
      </c>
      <c r="I30" s="165">
        <f t="shared" si="7"/>
        <v>84090251.579999998</v>
      </c>
      <c r="J30" s="165">
        <f t="shared" si="7"/>
        <v>75185736.689999998</v>
      </c>
      <c r="K30" s="165">
        <f t="shared" si="7"/>
        <v>67102865.32</v>
      </c>
      <c r="L30" s="165">
        <f t="shared" si="7"/>
        <v>65490081.909999996</v>
      </c>
      <c r="M30" s="165">
        <f t="shared" si="7"/>
        <v>70554460.75</v>
      </c>
      <c r="N30" s="165">
        <f t="shared" si="7"/>
        <v>51929647.079999998</v>
      </c>
      <c r="O30" s="165">
        <f t="shared" si="7"/>
        <v>61431440.439999998</v>
      </c>
      <c r="P30" s="165">
        <f t="shared" si="7"/>
        <v>75122823.510000005</v>
      </c>
      <c r="Q30" s="165">
        <f t="shared" si="7"/>
        <v>64847443.090000004</v>
      </c>
      <c r="R30" s="165">
        <f t="shared" si="7"/>
        <v>101858132.54000001</v>
      </c>
      <c r="S30" s="166">
        <f t="shared" si="6"/>
        <v>822772770.01999998</v>
      </c>
      <c r="T30" s="167">
        <f t="shared" si="4"/>
        <v>0.16618314886285601</v>
      </c>
      <c r="U30" s="270"/>
    </row>
    <row r="31" spans="1:23">
      <c r="A31" s="145">
        <v>411</v>
      </c>
      <c r="B31" s="562" t="s">
        <v>147</v>
      </c>
      <c r="C31" s="563"/>
      <c r="D31" s="563"/>
      <c r="E31" s="563"/>
      <c r="F31" s="563"/>
      <c r="G31" s="153">
        <f>+DataEx!FF55</f>
        <v>38898745.609999999</v>
      </c>
      <c r="H31" s="153">
        <f>+DataEx!FG55</f>
        <v>38603036.109999999</v>
      </c>
      <c r="I31" s="153">
        <f>+DataEx!FH55</f>
        <v>39176968.049999997</v>
      </c>
      <c r="J31" s="153">
        <f>+DataEx!FI55</f>
        <v>38923552.049999997</v>
      </c>
      <c r="K31" s="153">
        <f>+DataEx!FJ55</f>
        <v>39904782.170000002</v>
      </c>
      <c r="L31" s="153">
        <f>+DataEx!FK55</f>
        <v>41565368.68</v>
      </c>
      <c r="M31" s="153">
        <f>+DataEx!FL55</f>
        <v>38100886.07</v>
      </c>
      <c r="N31" s="153">
        <f>+DataEx!FM55</f>
        <v>37237058.799999997</v>
      </c>
      <c r="O31" s="153">
        <f>+DataEx!FN55</f>
        <v>38571466.869999997</v>
      </c>
      <c r="P31" s="153">
        <f>+DataEx!FO55</f>
        <v>38895006.189999998</v>
      </c>
      <c r="Q31" s="153">
        <f>+DataEx!FP55</f>
        <v>39570495.68</v>
      </c>
      <c r="R31" s="153">
        <f>+DataEx!FQ55</f>
        <v>43406510.43</v>
      </c>
      <c r="S31" s="154">
        <f t="shared" si="6"/>
        <v>472853876.70999998</v>
      </c>
      <c r="T31" s="155">
        <f t="shared" si="4"/>
        <v>9.55067414077964E-2</v>
      </c>
      <c r="U31" s="271"/>
      <c r="W31" s="224"/>
    </row>
    <row r="32" spans="1:23">
      <c r="A32" s="145">
        <v>412</v>
      </c>
      <c r="B32" s="562" t="s">
        <v>148</v>
      </c>
      <c r="C32" s="563"/>
      <c r="D32" s="563"/>
      <c r="E32" s="563"/>
      <c r="F32" s="563"/>
      <c r="G32" s="153">
        <f>DataEx!FF61</f>
        <v>432711.77</v>
      </c>
      <c r="H32" s="153">
        <f>DataEx!FG61</f>
        <v>1037317.51</v>
      </c>
      <c r="I32" s="153">
        <f>DataEx!FH61</f>
        <v>739399.21</v>
      </c>
      <c r="J32" s="153">
        <f>DataEx!FI61</f>
        <v>1606178.02</v>
      </c>
      <c r="K32" s="153">
        <f>DataEx!FJ61</f>
        <v>1045130.65</v>
      </c>
      <c r="L32" s="153">
        <f>DataEx!FK61</f>
        <v>649835.03</v>
      </c>
      <c r="M32" s="153">
        <f>DataEx!FL61</f>
        <v>1612312.96</v>
      </c>
      <c r="N32" s="153">
        <f>DataEx!FM61</f>
        <v>863508.85</v>
      </c>
      <c r="O32" s="153">
        <f>DataEx!FN61</f>
        <v>1072543.83</v>
      </c>
      <c r="P32" s="153">
        <f>DataEx!FO61</f>
        <v>1121921.44</v>
      </c>
      <c r="Q32" s="153">
        <f>DataEx!FP61</f>
        <v>1060149.58</v>
      </c>
      <c r="R32" s="153">
        <f>DataEx!FQ61</f>
        <v>3987318.08</v>
      </c>
      <c r="S32" s="154">
        <f t="shared" si="6"/>
        <v>15228326.93</v>
      </c>
      <c r="T32" s="155">
        <f t="shared" si="4"/>
        <v>3.0758083074126398E-3</v>
      </c>
    </row>
    <row r="33" spans="1:23">
      <c r="A33" s="145">
        <v>413</v>
      </c>
      <c r="B33" s="562" t="s">
        <v>149</v>
      </c>
      <c r="C33" s="563"/>
      <c r="D33" s="563"/>
      <c r="E33" s="563"/>
      <c r="F33" s="563"/>
      <c r="G33" s="153">
        <f>DataEx!FF69</f>
        <v>848613.78</v>
      </c>
      <c r="H33" s="153">
        <f>DataEx!FG69</f>
        <v>2487107.15</v>
      </c>
      <c r="I33" s="153">
        <f>DataEx!FH69</f>
        <v>2594267.44</v>
      </c>
      <c r="J33" s="153">
        <f>DataEx!FI69</f>
        <v>2477703.5699999998</v>
      </c>
      <c r="K33" s="153">
        <f>DataEx!FJ69</f>
        <v>2258388.9500000002</v>
      </c>
      <c r="L33" s="153">
        <f>DataEx!FK69</f>
        <v>3135640.97</v>
      </c>
      <c r="M33" s="153">
        <f>DataEx!FL69</f>
        <v>2237139.04</v>
      </c>
      <c r="N33" s="153">
        <f>DataEx!FM69</f>
        <v>2457548.14</v>
      </c>
      <c r="O33" s="153">
        <f>DataEx!FN69</f>
        <v>2765031.05</v>
      </c>
      <c r="P33" s="153">
        <f>DataEx!FO69</f>
        <v>3186923.23</v>
      </c>
      <c r="Q33" s="153">
        <f>DataEx!FP69</f>
        <v>3619899.57</v>
      </c>
      <c r="R33" s="153">
        <f>DataEx!FQ69</f>
        <v>5163463.0999999996</v>
      </c>
      <c r="S33" s="154">
        <f t="shared" si="6"/>
        <v>33231725.989999998</v>
      </c>
      <c r="T33" s="155">
        <f t="shared" si="4"/>
        <v>6.7121240133306403E-3</v>
      </c>
      <c r="U33" s="171"/>
    </row>
    <row r="34" spans="1:23">
      <c r="A34" s="272">
        <v>414</v>
      </c>
      <c r="B34" s="562" t="s">
        <v>150</v>
      </c>
      <c r="C34" s="563"/>
      <c r="D34" s="563"/>
      <c r="E34" s="563"/>
      <c r="F34" s="563"/>
      <c r="G34" s="153">
        <f>DataEx!FF76</f>
        <v>2787286.8</v>
      </c>
      <c r="H34" s="153">
        <f>DataEx!FG76</f>
        <v>4311687.28</v>
      </c>
      <c r="I34" s="153">
        <f>DataEx!FH76</f>
        <v>4684442.99</v>
      </c>
      <c r="J34" s="153">
        <f>DataEx!FI76</f>
        <v>4347499.75</v>
      </c>
      <c r="K34" s="153">
        <f>DataEx!FJ76</f>
        <v>6601635.2999999998</v>
      </c>
      <c r="L34" s="153">
        <f>DataEx!FK76</f>
        <v>6798405.21</v>
      </c>
      <c r="M34" s="153">
        <f>DataEx!FL76</f>
        <v>8566117.3599999994</v>
      </c>
      <c r="N34" s="153">
        <f>DataEx!FM76</f>
        <v>3294436.46</v>
      </c>
      <c r="O34" s="153">
        <f>DataEx!FN76</f>
        <v>5819051.2000000002</v>
      </c>
      <c r="P34" s="153">
        <f>DataEx!FO76</f>
        <v>7942946.5700000003</v>
      </c>
      <c r="Q34" s="153">
        <f>DataEx!FP76</f>
        <v>7175507.5999999996</v>
      </c>
      <c r="R34" s="153">
        <f>DataEx!FQ76</f>
        <v>15335629.369999999</v>
      </c>
      <c r="S34" s="154">
        <f t="shared" si="6"/>
        <v>77664645.890000001</v>
      </c>
      <c r="T34" s="155">
        <f t="shared" si="4"/>
        <v>1.5686658430620101E-2</v>
      </c>
      <c r="U34" s="172"/>
      <c r="V34" s="173"/>
    </row>
    <row r="35" spans="1:23" s="267" customFormat="1">
      <c r="A35" s="145">
        <v>415</v>
      </c>
      <c r="B35" s="600" t="s">
        <v>151</v>
      </c>
      <c r="C35" s="601"/>
      <c r="D35" s="601"/>
      <c r="E35" s="601"/>
      <c r="F35" s="601"/>
      <c r="G35" s="153">
        <f>DataEx!FF86</f>
        <v>106399.74</v>
      </c>
      <c r="H35" s="153">
        <f>DataEx!FG86</f>
        <v>1531025.06</v>
      </c>
      <c r="I35" s="153">
        <f>DataEx!FH86</f>
        <v>1550264.35</v>
      </c>
      <c r="J35" s="153">
        <f>DataEx!FI86</f>
        <v>1599282.1</v>
      </c>
      <c r="K35" s="153">
        <f>DataEx!FJ86</f>
        <v>1713146.13</v>
      </c>
      <c r="L35" s="153">
        <f>DataEx!FK86</f>
        <v>1354703</v>
      </c>
      <c r="M35" s="153">
        <f>DataEx!FL86</f>
        <v>2071180.13</v>
      </c>
      <c r="N35" s="153">
        <f>DataEx!FM86</f>
        <v>1118342.44</v>
      </c>
      <c r="O35" s="153">
        <f>DataEx!FN86</f>
        <v>1708282.91</v>
      </c>
      <c r="P35" s="153">
        <f>DataEx!FO86</f>
        <v>2758305.97</v>
      </c>
      <c r="Q35" s="153">
        <f>DataEx!FP86</f>
        <v>2123662.0099999998</v>
      </c>
      <c r="R35" s="153">
        <f>DataEx!FQ86</f>
        <v>4877112.1900000004</v>
      </c>
      <c r="S35" s="154">
        <f t="shared" si="6"/>
        <v>22511706.030000001</v>
      </c>
      <c r="T35" s="155">
        <f t="shared" si="4"/>
        <v>4.5469008341749101E-3</v>
      </c>
      <c r="U35" s="172"/>
    </row>
    <row r="36" spans="1:23">
      <c r="A36" s="145">
        <v>416</v>
      </c>
      <c r="B36" s="562" t="s">
        <v>152</v>
      </c>
      <c r="C36" s="563"/>
      <c r="D36" s="563"/>
      <c r="E36" s="563"/>
      <c r="F36" s="563"/>
      <c r="G36" s="153">
        <f>DataEx!FF90</f>
        <v>6154852.9000000004</v>
      </c>
      <c r="H36" s="153">
        <f>DataEx!FG90</f>
        <v>999341.54</v>
      </c>
      <c r="I36" s="153">
        <f>DataEx!FH90</f>
        <v>28695513.649999999</v>
      </c>
      <c r="J36" s="153">
        <f>DataEx!FI90</f>
        <v>18435271.789999999</v>
      </c>
      <c r="K36" s="153">
        <f>DataEx!FJ90</f>
        <v>10258844.07</v>
      </c>
      <c r="L36" s="153">
        <f>DataEx!FK90</f>
        <v>5411766.9400000004</v>
      </c>
      <c r="M36" s="153">
        <f>DataEx!FL90</f>
        <v>9047333.1999999993</v>
      </c>
      <c r="N36" s="153">
        <f>DataEx!FM90</f>
        <v>1051267.33</v>
      </c>
      <c r="O36" s="153">
        <f>DataEx!FN90</f>
        <v>2999385.93</v>
      </c>
      <c r="P36" s="153">
        <f>DataEx!FO90</f>
        <v>12529193.49</v>
      </c>
      <c r="Q36" s="153">
        <f>DataEx!FP90</f>
        <v>4455810.1900000004</v>
      </c>
      <c r="R36" s="153">
        <f>DataEx!FQ90</f>
        <v>5764759.8200000003</v>
      </c>
      <c r="S36" s="154">
        <f t="shared" si="6"/>
        <v>105803340.84999999</v>
      </c>
      <c r="T36" s="155">
        <f t="shared" si="4"/>
        <v>2.1370095101999598E-2</v>
      </c>
      <c r="U36" s="172"/>
    </row>
    <row r="37" spans="1:23">
      <c r="A37" s="145">
        <v>417</v>
      </c>
      <c r="B37" s="562" t="s">
        <v>153</v>
      </c>
      <c r="C37" s="563"/>
      <c r="D37" s="563"/>
      <c r="E37" s="563"/>
      <c r="F37" s="563"/>
      <c r="G37" s="153">
        <f>DataEx!FF93</f>
        <v>218026.46</v>
      </c>
      <c r="H37" s="153">
        <f>DataEx!FG93</f>
        <v>777233.65</v>
      </c>
      <c r="I37" s="153">
        <f>DataEx!FH93</f>
        <v>800870.53</v>
      </c>
      <c r="J37" s="153">
        <f>DataEx!FI93</f>
        <v>1119902.21</v>
      </c>
      <c r="K37" s="153">
        <f>DataEx!FJ93</f>
        <v>986505.29</v>
      </c>
      <c r="L37" s="153">
        <f>DataEx!FK93</f>
        <v>606326.98</v>
      </c>
      <c r="M37" s="153">
        <f>DataEx!FL93</f>
        <v>1397044.86</v>
      </c>
      <c r="N37" s="153">
        <f>DataEx!FM93</f>
        <v>824993.89</v>
      </c>
      <c r="O37" s="153">
        <f>DataEx!FN93</f>
        <v>653814.94999999995</v>
      </c>
      <c r="P37" s="153">
        <f>DataEx!FO93</f>
        <v>804750.67</v>
      </c>
      <c r="Q37" s="153">
        <f>DataEx!FP93</f>
        <v>559052.02</v>
      </c>
      <c r="R37" s="153">
        <f>DataEx!FQ93</f>
        <v>2205140.14</v>
      </c>
      <c r="S37" s="154">
        <f t="shared" si="6"/>
        <v>10953661.65</v>
      </c>
      <c r="T37" s="155">
        <f t="shared" si="4"/>
        <v>2.2124139870733201E-3</v>
      </c>
      <c r="U37" s="172"/>
    </row>
    <row r="38" spans="1:23">
      <c r="A38" s="145">
        <v>418</v>
      </c>
      <c r="B38" s="562" t="s">
        <v>154</v>
      </c>
      <c r="C38" s="563"/>
      <c r="D38" s="563"/>
      <c r="E38" s="563"/>
      <c r="F38" s="563"/>
      <c r="G38" s="153">
        <f>DataEx!FF97</f>
        <v>99006.6</v>
      </c>
      <c r="H38" s="153">
        <f>DataEx!FG97</f>
        <v>1819632.21</v>
      </c>
      <c r="I38" s="153">
        <f>DataEx!FH97</f>
        <v>3556257.45</v>
      </c>
      <c r="J38" s="153">
        <f>DataEx!FI97</f>
        <v>1298353.71</v>
      </c>
      <c r="K38" s="153">
        <f>DataEx!FJ97</f>
        <v>2220638.35</v>
      </c>
      <c r="L38" s="153">
        <f>DataEx!FK97</f>
        <v>1487101.06</v>
      </c>
      <c r="M38" s="153">
        <f>DataEx!FL97</f>
        <v>3695060.6</v>
      </c>
      <c r="N38" s="153">
        <f>DataEx!FM97</f>
        <v>1069449</v>
      </c>
      <c r="O38" s="153">
        <f>DataEx!FN97</f>
        <v>3742161.66</v>
      </c>
      <c r="P38" s="153">
        <f>DataEx!FO97</f>
        <v>4843530.18</v>
      </c>
      <c r="Q38" s="153">
        <f>DataEx!FP97</f>
        <v>3109078.63</v>
      </c>
      <c r="R38" s="153">
        <f>DataEx!FQ97</f>
        <v>7625878.5099999998</v>
      </c>
      <c r="S38" s="154">
        <f t="shared" si="6"/>
        <v>34566147.960000001</v>
      </c>
      <c r="T38" s="155">
        <f t="shared" si="4"/>
        <v>6.9816497596445204E-3</v>
      </c>
      <c r="U38" s="172"/>
    </row>
    <row r="39" spans="1:23">
      <c r="A39" s="272">
        <v>419</v>
      </c>
      <c r="B39" s="562" t="s">
        <v>155</v>
      </c>
      <c r="C39" s="563"/>
      <c r="D39" s="563"/>
      <c r="E39" s="563"/>
      <c r="F39" s="563"/>
      <c r="G39" s="153">
        <f>DataEx!FF101</f>
        <v>693676.87</v>
      </c>
      <c r="H39" s="153">
        <f>DataEx!FG101</f>
        <v>3354186.07</v>
      </c>
      <c r="I39" s="153">
        <f>DataEx!FH101</f>
        <v>2292267.91</v>
      </c>
      <c r="J39" s="153">
        <f>DataEx!FI101</f>
        <v>5377993.4900000002</v>
      </c>
      <c r="K39" s="153">
        <f>DataEx!FJ101</f>
        <v>2113794.41</v>
      </c>
      <c r="L39" s="153">
        <f>DataEx!FK101</f>
        <v>4480934.04</v>
      </c>
      <c r="M39" s="153">
        <f>DataEx!FL101</f>
        <v>3827386.53</v>
      </c>
      <c r="N39" s="153">
        <f>DataEx!FM101</f>
        <v>4013042.17</v>
      </c>
      <c r="O39" s="153">
        <f>DataEx!FN101</f>
        <v>4099702.04</v>
      </c>
      <c r="P39" s="153">
        <f>DataEx!FO101</f>
        <v>3040245.77</v>
      </c>
      <c r="Q39" s="153">
        <f>DataEx!FP101</f>
        <v>3173787.81</v>
      </c>
      <c r="R39" s="153">
        <f>DataEx!FQ101</f>
        <v>13492320.9</v>
      </c>
      <c r="S39" s="154">
        <f t="shared" si="6"/>
        <v>49959338.009999998</v>
      </c>
      <c r="T39" s="155">
        <f t="shared" si="4"/>
        <v>1.0090757020803901E-2</v>
      </c>
      <c r="U39" s="172"/>
    </row>
    <row r="40" spans="1:23" s="267" customFormat="1">
      <c r="A40" s="145">
        <v>42</v>
      </c>
      <c r="B40" s="576" t="s">
        <v>156</v>
      </c>
      <c r="C40" s="577"/>
      <c r="D40" s="577"/>
      <c r="E40" s="577"/>
      <c r="F40" s="577"/>
      <c r="G40" s="174">
        <f>SUM(G41:G45)</f>
        <v>42563180.950000003</v>
      </c>
      <c r="H40" s="174">
        <f t="shared" ref="H40:R40" si="8">SUM(H41:H45)</f>
        <v>46593450.350000001</v>
      </c>
      <c r="I40" s="174">
        <f t="shared" si="8"/>
        <v>45430932.770000003</v>
      </c>
      <c r="J40" s="174">
        <f t="shared" si="8"/>
        <v>45452256.159999996</v>
      </c>
      <c r="K40" s="174">
        <f t="shared" si="8"/>
        <v>45374524.75</v>
      </c>
      <c r="L40" s="174">
        <f t="shared" si="8"/>
        <v>45747596.939999998</v>
      </c>
      <c r="M40" s="174">
        <f t="shared" si="8"/>
        <v>46131052.630000003</v>
      </c>
      <c r="N40" s="174">
        <f t="shared" si="8"/>
        <v>45700495.5</v>
      </c>
      <c r="O40" s="174">
        <f t="shared" si="8"/>
        <v>45932966.689999998</v>
      </c>
      <c r="P40" s="174">
        <f t="shared" si="8"/>
        <v>46756374.82</v>
      </c>
      <c r="Q40" s="174">
        <f t="shared" si="8"/>
        <v>45188893.659999996</v>
      </c>
      <c r="R40" s="174">
        <f t="shared" si="8"/>
        <v>53477174.68</v>
      </c>
      <c r="S40" s="157">
        <f t="shared" si="6"/>
        <v>554348899.89999998</v>
      </c>
      <c r="T40" s="158">
        <f t="shared" si="4"/>
        <v>0.111967057139972</v>
      </c>
      <c r="U40" s="172"/>
    </row>
    <row r="41" spans="1:23">
      <c r="A41" s="145">
        <v>421</v>
      </c>
      <c r="B41" s="562" t="s">
        <v>157</v>
      </c>
      <c r="C41" s="563"/>
      <c r="D41" s="563"/>
      <c r="E41" s="563"/>
      <c r="F41" s="563"/>
      <c r="G41" s="153">
        <f>DataEx!FF112</f>
        <v>5984394.8399999999</v>
      </c>
      <c r="H41" s="153">
        <f>DataEx!FG112</f>
        <v>6928715.1699999999</v>
      </c>
      <c r="I41" s="153">
        <f>DataEx!FH112</f>
        <v>6534675.6500000004</v>
      </c>
      <c r="J41" s="153">
        <f>DataEx!FI112</f>
        <v>6641554.0999999996</v>
      </c>
      <c r="K41" s="153">
        <f>DataEx!FJ112</f>
        <v>6429375.4699999997</v>
      </c>
      <c r="L41" s="153">
        <f>DataEx!FK112</f>
        <v>6536921.0899999999</v>
      </c>
      <c r="M41" s="153">
        <f>DataEx!FL112</f>
        <v>6753142.7800000003</v>
      </c>
      <c r="N41" s="153">
        <f>DataEx!FM112</f>
        <v>6916329.6100000003</v>
      </c>
      <c r="O41" s="153">
        <f>DataEx!FN112</f>
        <v>6430517.1200000001</v>
      </c>
      <c r="P41" s="153">
        <f>DataEx!FO112</f>
        <v>6933312.3200000003</v>
      </c>
      <c r="Q41" s="153">
        <f>DataEx!FP112</f>
        <v>6920586.0499999998</v>
      </c>
      <c r="R41" s="153">
        <f>DataEx!FQ112</f>
        <v>6847594.7000000002</v>
      </c>
      <c r="S41" s="154">
        <f t="shared" si="6"/>
        <v>79857118.900000006</v>
      </c>
      <c r="T41" s="155">
        <f t="shared" si="4"/>
        <v>1.6129492809533401E-2</v>
      </c>
      <c r="W41" s="193"/>
    </row>
    <row r="42" spans="1:23">
      <c r="A42" s="145">
        <v>422</v>
      </c>
      <c r="B42" s="562" t="s">
        <v>158</v>
      </c>
      <c r="C42" s="563"/>
      <c r="D42" s="563"/>
      <c r="E42" s="563"/>
      <c r="F42" s="563"/>
      <c r="G42" s="153">
        <f>DataEx!FF121</f>
        <v>43800</v>
      </c>
      <c r="H42" s="153">
        <f>DataEx!FG121</f>
        <v>1198874.72</v>
      </c>
      <c r="I42" s="153">
        <f>DataEx!FH121</f>
        <v>1110784.77</v>
      </c>
      <c r="J42" s="153">
        <f>DataEx!FI121</f>
        <v>1095242.3400000001</v>
      </c>
      <c r="K42" s="153">
        <f>DataEx!FJ121</f>
        <v>1341095.6299999999</v>
      </c>
      <c r="L42" s="153">
        <f>DataEx!FK121</f>
        <v>1381621.25</v>
      </c>
      <c r="M42" s="153">
        <f>DataEx!FL121</f>
        <v>1512829.9</v>
      </c>
      <c r="N42" s="153">
        <f>DataEx!FM121</f>
        <v>1577705.79</v>
      </c>
      <c r="O42" s="153">
        <f>DataEx!FN121</f>
        <v>1701766.69</v>
      </c>
      <c r="P42" s="153">
        <f>DataEx!FO121</f>
        <v>1710317.34</v>
      </c>
      <c r="Q42" s="153">
        <f>DataEx!FP121</f>
        <v>1521408.63</v>
      </c>
      <c r="R42" s="153">
        <f>DataEx!FQ121</f>
        <v>6202705.0499999998</v>
      </c>
      <c r="S42" s="154">
        <f t="shared" si="6"/>
        <v>20398152.109999999</v>
      </c>
      <c r="T42" s="155">
        <f t="shared" si="4"/>
        <v>4.12000648555847E-3</v>
      </c>
    </row>
    <row r="43" spans="1:23">
      <c r="A43" s="145">
        <v>423</v>
      </c>
      <c r="B43" s="562" t="s">
        <v>159</v>
      </c>
      <c r="C43" s="563"/>
      <c r="D43" s="563"/>
      <c r="E43" s="563"/>
      <c r="F43" s="563"/>
      <c r="G43" s="153">
        <f>DataEx!FF127</f>
        <v>34463250.560000002</v>
      </c>
      <c r="H43" s="153">
        <f>DataEx!FG127</f>
        <v>35528909.420000002</v>
      </c>
      <c r="I43" s="153">
        <f>DataEx!FH127</f>
        <v>35282837.93</v>
      </c>
      <c r="J43" s="153">
        <f>DataEx!FI127</f>
        <v>35245524.810000002</v>
      </c>
      <c r="K43" s="153">
        <f>DataEx!FJ127</f>
        <v>34783971.590000004</v>
      </c>
      <c r="L43" s="153">
        <f>DataEx!FK127</f>
        <v>35186355.590000004</v>
      </c>
      <c r="M43" s="153">
        <f>DataEx!FL127</f>
        <v>35079083.840000004</v>
      </c>
      <c r="N43" s="153">
        <f>DataEx!FM127</f>
        <v>35016603.259999998</v>
      </c>
      <c r="O43" s="153">
        <f>DataEx!FN127</f>
        <v>35024027.030000001</v>
      </c>
      <c r="P43" s="153">
        <f>DataEx!FO127</f>
        <v>34922457.960000001</v>
      </c>
      <c r="Q43" s="153">
        <f>DataEx!FP127</f>
        <v>35000414.549999997</v>
      </c>
      <c r="R43" s="153">
        <f>DataEx!FQ127</f>
        <v>35337465.140000001</v>
      </c>
      <c r="S43" s="154">
        <f t="shared" si="6"/>
        <v>420870901.68000001</v>
      </c>
      <c r="T43" s="155">
        <f t="shared" si="4"/>
        <v>8.5007251399717196E-2</v>
      </c>
      <c r="V43" s="173"/>
    </row>
    <row r="44" spans="1:23">
      <c r="A44" s="145">
        <v>424</v>
      </c>
      <c r="B44" s="562" t="s">
        <v>160</v>
      </c>
      <c r="C44" s="563"/>
      <c r="D44" s="563"/>
      <c r="E44" s="563"/>
      <c r="F44" s="563"/>
      <c r="G44" s="153">
        <f>DataEx!FF135</f>
        <v>1579079.63</v>
      </c>
      <c r="H44" s="153">
        <f>DataEx!FG135</f>
        <v>1855950.15</v>
      </c>
      <c r="I44" s="153">
        <f>DataEx!FH135</f>
        <v>1427147.65</v>
      </c>
      <c r="J44" s="153">
        <f>DataEx!FI135</f>
        <v>1689956.36</v>
      </c>
      <c r="K44" s="153">
        <f>DataEx!FJ135</f>
        <v>1914804.54</v>
      </c>
      <c r="L44" s="153">
        <f>DataEx!FK135</f>
        <v>1732967.4</v>
      </c>
      <c r="M44" s="153">
        <f>DataEx!FL135</f>
        <v>1746404.92</v>
      </c>
      <c r="N44" s="153">
        <f>DataEx!FM135</f>
        <v>1448048.69</v>
      </c>
      <c r="O44" s="153">
        <f>DataEx!FN135</f>
        <v>1671066.3</v>
      </c>
      <c r="P44" s="153">
        <f>DataEx!FO135</f>
        <v>2220320.35</v>
      </c>
      <c r="Q44" s="153">
        <f>DataEx!FP135</f>
        <v>992005.1</v>
      </c>
      <c r="R44" s="153">
        <f>DataEx!FQ135</f>
        <v>3421539.53</v>
      </c>
      <c r="S44" s="154">
        <f t="shared" si="6"/>
        <v>21699290.620000001</v>
      </c>
      <c r="T44" s="155">
        <f t="shared" si="4"/>
        <v>4.3828096586548196E-3</v>
      </c>
    </row>
    <row r="45" spans="1:23">
      <c r="A45" s="272">
        <v>425</v>
      </c>
      <c r="B45" s="562" t="s">
        <v>161</v>
      </c>
      <c r="C45" s="563"/>
      <c r="D45" s="563"/>
      <c r="E45" s="563"/>
      <c r="F45" s="563"/>
      <c r="G45" s="153">
        <f>DataEx!FF137</f>
        <v>492655.92</v>
      </c>
      <c r="H45" s="153">
        <f>DataEx!FG137</f>
        <v>1081000.8899999999</v>
      </c>
      <c r="I45" s="153">
        <f>DataEx!FH137</f>
        <v>1075486.77</v>
      </c>
      <c r="J45" s="153">
        <f>DataEx!FI137</f>
        <v>779978.55</v>
      </c>
      <c r="K45" s="153">
        <f>DataEx!FJ137</f>
        <v>905277.52</v>
      </c>
      <c r="L45" s="153">
        <f>DataEx!FK137</f>
        <v>909731.61</v>
      </c>
      <c r="M45" s="153">
        <f>DataEx!FL137</f>
        <v>1039591.19</v>
      </c>
      <c r="N45" s="153">
        <f>DataEx!FM137</f>
        <v>741808.15</v>
      </c>
      <c r="O45" s="153">
        <f>DataEx!FN137</f>
        <v>1105589.55</v>
      </c>
      <c r="P45" s="153">
        <f>DataEx!FO137</f>
        <v>969966.85</v>
      </c>
      <c r="Q45" s="153">
        <f>DataEx!FP137</f>
        <v>754479.33</v>
      </c>
      <c r="R45" s="153">
        <f>DataEx!FQ137</f>
        <v>1667870.26</v>
      </c>
      <c r="S45" s="154">
        <f t="shared" si="6"/>
        <v>11523436.59</v>
      </c>
      <c r="T45" s="155">
        <f t="shared" si="4"/>
        <v>2.32749678650778E-3</v>
      </c>
      <c r="U45" s="179"/>
    </row>
    <row r="46" spans="1:23" s="267" customFormat="1">
      <c r="A46" s="145">
        <v>43</v>
      </c>
      <c r="B46" s="580" t="s">
        <v>162</v>
      </c>
      <c r="C46" s="581"/>
      <c r="D46" s="581"/>
      <c r="E46" s="581"/>
      <c r="F46" s="581"/>
      <c r="G46" s="159">
        <f>DataEx!FF141</f>
        <v>15740550.810000001</v>
      </c>
      <c r="H46" s="159">
        <f>DataEx!FG141</f>
        <v>18630588.73</v>
      </c>
      <c r="I46" s="159">
        <f>DataEx!FH141</f>
        <v>16694917.779999999</v>
      </c>
      <c r="J46" s="159">
        <f>DataEx!FI141</f>
        <v>16108536.07</v>
      </c>
      <c r="K46" s="159">
        <f>DataEx!FJ141</f>
        <v>17254969.68</v>
      </c>
      <c r="L46" s="159">
        <f>DataEx!FK141</f>
        <v>13582344.5</v>
      </c>
      <c r="M46" s="159">
        <f>DataEx!FL141</f>
        <v>25674739.879999999</v>
      </c>
      <c r="N46" s="159">
        <f>DataEx!FM141</f>
        <v>14807253.59</v>
      </c>
      <c r="O46" s="159">
        <f>DataEx!FN141</f>
        <v>22891347.969999999</v>
      </c>
      <c r="P46" s="159">
        <f>DataEx!FO141</f>
        <v>17069504.329999998</v>
      </c>
      <c r="Q46" s="159">
        <f>DataEx!FP141</f>
        <v>17615895</v>
      </c>
      <c r="R46" s="159">
        <f>DataEx!FQ141</f>
        <v>23619301.27</v>
      </c>
      <c r="S46" s="157">
        <f t="shared" si="6"/>
        <v>219689949.61000001</v>
      </c>
      <c r="T46" s="158">
        <f t="shared" si="4"/>
        <v>4.4372843791153298E-2</v>
      </c>
    </row>
    <row r="47" spans="1:23">
      <c r="A47" s="145">
        <v>44</v>
      </c>
      <c r="B47" s="580" t="s">
        <v>163</v>
      </c>
      <c r="C47" s="581"/>
      <c r="D47" s="581"/>
      <c r="E47" s="581"/>
      <c r="F47" s="581"/>
      <c r="G47" s="159">
        <f>DataEx!FF159</f>
        <v>27549269.34</v>
      </c>
      <c r="H47" s="159">
        <f>DataEx!FG159</f>
        <v>7152587.8700000001</v>
      </c>
      <c r="I47" s="159">
        <f>DataEx!FH159</f>
        <v>16703145.970000001</v>
      </c>
      <c r="J47" s="159">
        <f>DataEx!FI159</f>
        <v>14162401.84</v>
      </c>
      <c r="K47" s="159">
        <f>DataEx!FJ159</f>
        <v>13326416.060000001</v>
      </c>
      <c r="L47" s="159">
        <f>DataEx!FK159</f>
        <v>15925931.16</v>
      </c>
      <c r="M47" s="159">
        <f>DataEx!FL159</f>
        <v>25747912.550000001</v>
      </c>
      <c r="N47" s="159">
        <f>DataEx!FM159</f>
        <v>45712758.009999998</v>
      </c>
      <c r="O47" s="159">
        <f>DataEx!FN159</f>
        <v>16518029.949999999</v>
      </c>
      <c r="P47" s="159">
        <f>DataEx!FO159</f>
        <v>38556251.049999997</v>
      </c>
      <c r="Q47" s="159">
        <f>DataEx!FP159</f>
        <v>62850369</v>
      </c>
      <c r="R47" s="159">
        <f>DataEx!FQ159</f>
        <v>60680548.899999999</v>
      </c>
      <c r="S47" s="157">
        <f t="shared" si="6"/>
        <v>344885621.69999999</v>
      </c>
      <c r="T47" s="158">
        <f t="shared" si="4"/>
        <v>6.9659790284790898E-2</v>
      </c>
      <c r="U47" s="173"/>
    </row>
    <row r="48" spans="1:23">
      <c r="A48" s="145">
        <v>451</v>
      </c>
      <c r="B48" s="604" t="s">
        <v>22</v>
      </c>
      <c r="C48" s="605"/>
      <c r="D48" s="605"/>
      <c r="E48" s="605"/>
      <c r="F48" s="605"/>
      <c r="G48" s="153">
        <f>DataEx!FF170</f>
        <v>0</v>
      </c>
      <c r="H48" s="153">
        <f>DataEx!FG170</f>
        <v>272323.98</v>
      </c>
      <c r="I48" s="153">
        <f>DataEx!FH170</f>
        <v>30000</v>
      </c>
      <c r="J48" s="153">
        <f>DataEx!FI170</f>
        <v>384534</v>
      </c>
      <c r="K48" s="153">
        <f>DataEx!FJ170</f>
        <v>260000</v>
      </c>
      <c r="L48" s="153">
        <f>DataEx!FK170</f>
        <v>358750</v>
      </c>
      <c r="M48" s="153">
        <f>DataEx!FL170</f>
        <v>335000</v>
      </c>
      <c r="N48" s="153">
        <f>DataEx!FM170</f>
        <v>145000</v>
      </c>
      <c r="O48" s="153">
        <f>DataEx!FN170</f>
        <v>298894</v>
      </c>
      <c r="P48" s="153">
        <f>DataEx!FO170</f>
        <v>10000</v>
      </c>
      <c r="Q48" s="153">
        <f>DataEx!FP170</f>
        <v>200000</v>
      </c>
      <c r="R48" s="153">
        <f>DataEx!FQ170</f>
        <v>882434</v>
      </c>
      <c r="S48" s="154">
        <f t="shared" si="6"/>
        <v>3176935.98</v>
      </c>
      <c r="T48" s="155">
        <f t="shared" si="4"/>
        <v>6.4167561704706099E-4</v>
      </c>
    </row>
    <row r="49" spans="1:22" s="267" customFormat="1">
      <c r="A49" s="272">
        <v>47</v>
      </c>
      <c r="B49" s="606" t="s">
        <v>164</v>
      </c>
      <c r="C49" s="607"/>
      <c r="D49" s="607"/>
      <c r="E49" s="607"/>
      <c r="F49" s="607"/>
      <c r="G49" s="153">
        <f>DataEx!FF184</f>
        <v>0</v>
      </c>
      <c r="H49" s="153">
        <f>DataEx!FG184</f>
        <v>1952871.71</v>
      </c>
      <c r="I49" s="153">
        <f>DataEx!FH184</f>
        <v>278787.49</v>
      </c>
      <c r="J49" s="153">
        <f>DataEx!FI184</f>
        <v>1806704.1</v>
      </c>
      <c r="K49" s="153">
        <f>DataEx!FJ184</f>
        <v>1407800</v>
      </c>
      <c r="L49" s="153">
        <f>DataEx!FK184</f>
        <v>1291723.94</v>
      </c>
      <c r="M49" s="153">
        <f>DataEx!FL184</f>
        <v>6488928.9000000004</v>
      </c>
      <c r="N49" s="153">
        <f>DataEx!FM184</f>
        <v>433973.31</v>
      </c>
      <c r="O49" s="153">
        <f>DataEx!FN184</f>
        <v>745665.27</v>
      </c>
      <c r="P49" s="153">
        <f>DataEx!FO184</f>
        <v>424125.36</v>
      </c>
      <c r="Q49" s="153">
        <f>DataEx!FP184</f>
        <v>5226150</v>
      </c>
      <c r="R49" s="153">
        <f>DataEx!FQ184</f>
        <v>4239725.51</v>
      </c>
      <c r="S49" s="154">
        <f t="shared" si="6"/>
        <v>24296455.59</v>
      </c>
      <c r="T49" s="155">
        <f t="shared" si="4"/>
        <v>4.9073834760654401E-3</v>
      </c>
    </row>
    <row r="50" spans="1:22">
      <c r="A50" s="145">
        <v>462</v>
      </c>
      <c r="B50" s="578" t="s">
        <v>165</v>
      </c>
      <c r="C50" s="579"/>
      <c r="D50" s="579"/>
      <c r="E50" s="579"/>
      <c r="F50" s="579"/>
      <c r="G50" s="180">
        <f>DataEx!FF180</f>
        <v>2253720.0299999998</v>
      </c>
      <c r="H50" s="180">
        <f>DataEx!FG180</f>
        <v>494.04</v>
      </c>
      <c r="I50" s="180">
        <f>DataEx!FH180</f>
        <v>7180485.3399999999</v>
      </c>
      <c r="J50" s="180">
        <f>DataEx!FI180</f>
        <v>0</v>
      </c>
      <c r="K50" s="180">
        <f>DataEx!FJ180</f>
        <v>0</v>
      </c>
      <c r="L50" s="180">
        <f>DataEx!FK180</f>
        <v>0</v>
      </c>
      <c r="M50" s="180">
        <f>DataEx!FL180</f>
        <v>0</v>
      </c>
      <c r="N50" s="180">
        <f>DataEx!FM180</f>
        <v>0</v>
      </c>
      <c r="O50" s="180">
        <f>DataEx!FN180</f>
        <v>0</v>
      </c>
      <c r="P50" s="180">
        <f>DataEx!FO180</f>
        <v>0</v>
      </c>
      <c r="Q50" s="180">
        <f>DataEx!FP180</f>
        <v>0</v>
      </c>
      <c r="R50" s="180">
        <f>DataEx!FQ180</f>
        <v>29250000</v>
      </c>
      <c r="S50" s="154">
        <f t="shared" si="6"/>
        <v>38684699.409999996</v>
      </c>
      <c r="T50" s="181">
        <f t="shared" si="4"/>
        <v>7.8135123025651395E-3</v>
      </c>
      <c r="U50" s="161"/>
      <c r="V50" s="171"/>
    </row>
    <row r="51" spans="1:22">
      <c r="A51" s="136">
        <v>4630</v>
      </c>
      <c r="B51" s="608" t="s">
        <v>166</v>
      </c>
      <c r="C51" s="609"/>
      <c r="D51" s="609"/>
      <c r="E51" s="609"/>
      <c r="F51" s="609"/>
      <c r="G51" s="180">
        <f>DataEx!FF183</f>
        <v>1205053.3500000001</v>
      </c>
      <c r="H51" s="180">
        <f>DataEx!FG183</f>
        <v>1401737.72</v>
      </c>
      <c r="I51" s="180">
        <f>DataEx!FH183</f>
        <v>1741137.89</v>
      </c>
      <c r="J51" s="180">
        <f>DataEx!FI183</f>
        <v>1783880</v>
      </c>
      <c r="K51" s="180">
        <f>DataEx!FJ183</f>
        <v>1470007.64</v>
      </c>
      <c r="L51" s="180">
        <f>DataEx!FK183</f>
        <v>1833346.11</v>
      </c>
      <c r="M51" s="180">
        <f>DataEx!FL183</f>
        <v>4446503.8099999996</v>
      </c>
      <c r="N51" s="180">
        <f>DataEx!FM183</f>
        <v>903390.64</v>
      </c>
      <c r="O51" s="180">
        <f>DataEx!FN183</f>
        <v>1579978.54</v>
      </c>
      <c r="P51" s="180">
        <f>DataEx!FO183</f>
        <v>1224373.1000000001</v>
      </c>
      <c r="Q51" s="180">
        <f>DataEx!FP183</f>
        <v>1244693.3799999999</v>
      </c>
      <c r="R51" s="180">
        <f>DataEx!FQ183</f>
        <v>1806907.1</v>
      </c>
      <c r="S51" s="182">
        <f t="shared" si="6"/>
        <v>20641009.280000001</v>
      </c>
      <c r="T51" s="181">
        <f t="shared" si="4"/>
        <v>4.1690586305796803E-3</v>
      </c>
    </row>
    <row r="52" spans="1:22">
      <c r="A52" s="128">
        <v>1005</v>
      </c>
      <c r="B52" s="610" t="s">
        <v>167</v>
      </c>
      <c r="C52" s="611"/>
      <c r="D52" s="611"/>
      <c r="E52" s="611"/>
      <c r="F52" s="611"/>
      <c r="G52" s="183">
        <v>0</v>
      </c>
      <c r="H52" s="183">
        <v>0</v>
      </c>
      <c r="I52" s="183">
        <v>0</v>
      </c>
      <c r="J52" s="176">
        <v>0</v>
      </c>
      <c r="K52" s="183">
        <v>0</v>
      </c>
      <c r="L52" s="183">
        <v>0</v>
      </c>
      <c r="M52" s="183">
        <v>0</v>
      </c>
      <c r="N52" s="183">
        <v>0</v>
      </c>
      <c r="O52" s="183">
        <v>0</v>
      </c>
      <c r="P52" s="183">
        <v>0</v>
      </c>
      <c r="Q52" s="183">
        <v>0</v>
      </c>
      <c r="R52" s="183">
        <v>0</v>
      </c>
      <c r="S52" s="184">
        <f t="shared" si="6"/>
        <v>0</v>
      </c>
      <c r="T52" s="185">
        <f t="shared" si="4"/>
        <v>0</v>
      </c>
    </row>
    <row r="53" spans="1:22">
      <c r="A53" s="136">
        <v>1000</v>
      </c>
      <c r="B53" s="596" t="s">
        <v>168</v>
      </c>
      <c r="C53" s="597"/>
      <c r="D53" s="597"/>
      <c r="E53" s="597"/>
      <c r="F53" s="597"/>
      <c r="G53" s="146">
        <f t="shared" ref="G53:R53" si="9">+G10-G29</f>
        <v>-32293894.079999998</v>
      </c>
      <c r="H53" s="146">
        <f t="shared" si="9"/>
        <v>-14400637.449999999</v>
      </c>
      <c r="I53" s="146">
        <f t="shared" si="9"/>
        <v>-24605259.449999999</v>
      </c>
      <c r="J53" s="146">
        <f t="shared" si="9"/>
        <v>10157505.210000001</v>
      </c>
      <c r="K53" s="146">
        <f t="shared" si="9"/>
        <v>-1970111.18000004</v>
      </c>
      <c r="L53" s="146">
        <f t="shared" si="9"/>
        <v>-836313.710000008</v>
      </c>
      <c r="M53" s="146">
        <f t="shared" si="9"/>
        <v>-5254154.0799999796</v>
      </c>
      <c r="N53" s="146">
        <f t="shared" si="9"/>
        <v>14448916.119999999</v>
      </c>
      <c r="O53" s="146">
        <f t="shared" si="9"/>
        <v>16560443.75</v>
      </c>
      <c r="P53" s="146">
        <f t="shared" si="9"/>
        <v>-22562595.640000001</v>
      </c>
      <c r="Q53" s="146">
        <f t="shared" si="9"/>
        <v>-49894863.75</v>
      </c>
      <c r="R53" s="146">
        <f t="shared" si="9"/>
        <v>-32632759.07</v>
      </c>
      <c r="S53" s="188">
        <f t="shared" si="6"/>
        <v>-143283723.33000001</v>
      </c>
      <c r="T53" s="189">
        <f t="shared" si="4"/>
        <v>-2.8940360195920001E-2</v>
      </c>
    </row>
    <row r="54" spans="1:22">
      <c r="A54" s="136">
        <v>1001</v>
      </c>
      <c r="B54" s="598" t="s">
        <v>169</v>
      </c>
      <c r="C54" s="599"/>
      <c r="D54" s="599"/>
      <c r="E54" s="599"/>
      <c r="F54" s="599"/>
      <c r="G54" s="190">
        <f>+G53+G36</f>
        <v>-26139041.18</v>
      </c>
      <c r="H54" s="190">
        <f t="shared" ref="H54:R54" si="10">+H53+H36</f>
        <v>-13401295.91</v>
      </c>
      <c r="I54" s="190">
        <f t="shared" si="10"/>
        <v>4090254.20000001</v>
      </c>
      <c r="J54" s="190">
        <f t="shared" si="10"/>
        <v>28592777</v>
      </c>
      <c r="K54" s="190">
        <f t="shared" si="10"/>
        <v>8288732.8899999596</v>
      </c>
      <c r="L54" s="190">
        <f t="shared" si="10"/>
        <v>4575453.2299999902</v>
      </c>
      <c r="M54" s="190">
        <f t="shared" si="10"/>
        <v>3793179.1200000201</v>
      </c>
      <c r="N54" s="190">
        <f t="shared" si="10"/>
        <v>15500183.449999999</v>
      </c>
      <c r="O54" s="190">
        <f t="shared" si="10"/>
        <v>19559829.68</v>
      </c>
      <c r="P54" s="190">
        <f t="shared" si="10"/>
        <v>-10033402.15</v>
      </c>
      <c r="Q54" s="190">
        <f t="shared" si="10"/>
        <v>-45439053.560000002</v>
      </c>
      <c r="R54" s="190">
        <f t="shared" si="10"/>
        <v>-26867999.25</v>
      </c>
      <c r="S54" s="188">
        <f t="shared" si="6"/>
        <v>-37480382.4799999</v>
      </c>
      <c r="T54" s="189">
        <f t="shared" si="4"/>
        <v>-7.5702650939204101E-3</v>
      </c>
    </row>
    <row r="55" spans="1:22">
      <c r="A55" s="136">
        <v>46</v>
      </c>
      <c r="B55" s="612" t="s">
        <v>170</v>
      </c>
      <c r="C55" s="613"/>
      <c r="D55" s="613"/>
      <c r="E55" s="613"/>
      <c r="F55" s="613"/>
      <c r="G55" s="174">
        <f t="shared" ref="G55:R55" si="11">+SUM(G56:G57)</f>
        <v>19518367.399999999</v>
      </c>
      <c r="H55" s="174">
        <f t="shared" si="11"/>
        <v>67365423.120000005</v>
      </c>
      <c r="I55" s="174">
        <f t="shared" si="11"/>
        <v>17786584.469999999</v>
      </c>
      <c r="J55" s="174">
        <f t="shared" si="11"/>
        <v>18302050.879999999</v>
      </c>
      <c r="K55" s="174">
        <f t="shared" si="11"/>
        <v>183682731.81999999</v>
      </c>
      <c r="L55" s="174">
        <f t="shared" si="11"/>
        <v>11094774.199999999</v>
      </c>
      <c r="M55" s="174">
        <f t="shared" si="11"/>
        <v>80471032.019999996</v>
      </c>
      <c r="N55" s="174">
        <f t="shared" si="11"/>
        <v>57755617.170000002</v>
      </c>
      <c r="O55" s="174">
        <f t="shared" si="11"/>
        <v>17889318.350000001</v>
      </c>
      <c r="P55" s="174">
        <f t="shared" si="11"/>
        <v>11092379.140000001</v>
      </c>
      <c r="Q55" s="174">
        <f t="shared" si="11"/>
        <v>10162494.119999999</v>
      </c>
      <c r="R55" s="174">
        <f t="shared" si="11"/>
        <v>12220480.4</v>
      </c>
      <c r="S55" s="191">
        <f t="shared" si="6"/>
        <v>507341253.08999997</v>
      </c>
      <c r="T55" s="192">
        <f t="shared" si="4"/>
        <v>0.102472480931125</v>
      </c>
      <c r="V55" s="193"/>
    </row>
    <row r="56" spans="1:22">
      <c r="A56" s="136">
        <v>4611</v>
      </c>
      <c r="B56" s="594" t="s">
        <v>171</v>
      </c>
      <c r="C56" s="595"/>
      <c r="D56" s="595"/>
      <c r="E56" s="595"/>
      <c r="F56" s="595"/>
      <c r="G56" s="176">
        <f>DataEx!FF178</f>
        <v>18084948.579999998</v>
      </c>
      <c r="H56" s="176">
        <f>DataEx!FG178</f>
        <v>64835364.859999999</v>
      </c>
      <c r="I56" s="176">
        <f>DataEx!FH178</f>
        <v>1062241.2</v>
      </c>
      <c r="J56" s="176">
        <f>DataEx!FI178</f>
        <v>2291816.1800000002</v>
      </c>
      <c r="K56" s="176">
        <f>DataEx!FJ178</f>
        <v>5836708.6600000001</v>
      </c>
      <c r="L56" s="176">
        <f>DataEx!FK178</f>
        <v>1304074.52</v>
      </c>
      <c r="M56" s="176">
        <f>DataEx!FL178</f>
        <v>18837613.199999999</v>
      </c>
      <c r="N56" s="176">
        <f>DataEx!FM178</f>
        <v>54838105.140000001</v>
      </c>
      <c r="O56" s="176">
        <f>DataEx!FN178</f>
        <v>1831381.37</v>
      </c>
      <c r="P56" s="176">
        <f>DataEx!FO178</f>
        <v>6571880.8899999997</v>
      </c>
      <c r="Q56" s="176">
        <f>DataEx!FP178</f>
        <v>839474.95</v>
      </c>
      <c r="R56" s="176">
        <f>DataEx!FQ178</f>
        <v>2081948.73</v>
      </c>
      <c r="S56" s="194">
        <f t="shared" si="6"/>
        <v>178415558.28</v>
      </c>
      <c r="T56" s="195">
        <f t="shared" si="4"/>
        <v>3.6036267073318501E-2</v>
      </c>
      <c r="V56" s="179"/>
    </row>
    <row r="57" spans="1:22">
      <c r="A57" s="136">
        <v>4612</v>
      </c>
      <c r="B57" s="582" t="s">
        <v>172</v>
      </c>
      <c r="C57" s="583"/>
      <c r="D57" s="583"/>
      <c r="E57" s="583"/>
      <c r="F57" s="583"/>
      <c r="G57" s="176">
        <f>DataEx!FF179</f>
        <v>1433418.82</v>
      </c>
      <c r="H57" s="176">
        <f>DataEx!FG179</f>
        <v>2530058.2599999998</v>
      </c>
      <c r="I57" s="176">
        <f>DataEx!FH179</f>
        <v>16724343.27</v>
      </c>
      <c r="J57" s="176">
        <f>DataEx!FI179</f>
        <v>16010234.699999999</v>
      </c>
      <c r="K57" s="176">
        <f>DataEx!FJ179</f>
        <v>177846023.16</v>
      </c>
      <c r="L57" s="176">
        <f>DataEx!FK179</f>
        <v>9790699.6799999997</v>
      </c>
      <c r="M57" s="176">
        <f>DataEx!FL179</f>
        <v>61633418.82</v>
      </c>
      <c r="N57" s="176">
        <f>DataEx!FM179</f>
        <v>2917512.03</v>
      </c>
      <c r="O57" s="176">
        <f>DataEx!FN179</f>
        <v>16057936.98</v>
      </c>
      <c r="P57" s="176">
        <f>DataEx!FO179</f>
        <v>4520498.25</v>
      </c>
      <c r="Q57" s="176">
        <f>DataEx!FP179</f>
        <v>9323019.1699999999</v>
      </c>
      <c r="R57" s="176">
        <f>DataEx!FQ179</f>
        <v>10138531.67</v>
      </c>
      <c r="S57" s="194">
        <f t="shared" si="6"/>
        <v>328925694.81</v>
      </c>
      <c r="T57" s="195">
        <f t="shared" si="4"/>
        <v>6.64362138578065E-2</v>
      </c>
      <c r="V57" s="196"/>
    </row>
    <row r="58" spans="1:22">
      <c r="A58" s="136">
        <v>4418</v>
      </c>
      <c r="B58" s="655" t="s">
        <v>173</v>
      </c>
      <c r="C58" s="656"/>
      <c r="D58" s="656"/>
      <c r="E58" s="656"/>
      <c r="F58" s="656"/>
      <c r="G58" s="273">
        <f>DataEx!FF167</f>
        <v>0</v>
      </c>
      <c r="H58" s="273">
        <f>DataEx!FG167</f>
        <v>35272.089999999997</v>
      </c>
      <c r="I58" s="273">
        <f>DataEx!FH167</f>
        <v>0</v>
      </c>
      <c r="J58" s="273">
        <f>DataEx!FI167</f>
        <v>39948396.369999997</v>
      </c>
      <c r="K58" s="273">
        <f>DataEx!FJ167</f>
        <v>0</v>
      </c>
      <c r="L58" s="273">
        <f>DataEx!FK167</f>
        <v>0</v>
      </c>
      <c r="M58" s="273">
        <f>DataEx!FL167</f>
        <v>0</v>
      </c>
      <c r="N58" s="273">
        <f>DataEx!FM167</f>
        <v>0</v>
      </c>
      <c r="O58" s="273">
        <f>DataEx!FN167</f>
        <v>0</v>
      </c>
      <c r="P58" s="273">
        <f>DataEx!FO167</f>
        <v>0</v>
      </c>
      <c r="Q58" s="273">
        <f>DataEx!FP167</f>
        <v>14495201.140000001</v>
      </c>
      <c r="R58" s="273">
        <f>DataEx!FQ167</f>
        <v>2849828.78</v>
      </c>
      <c r="S58" s="274">
        <f>SUM(G58:R58)</f>
        <v>57328698.380000003</v>
      </c>
      <c r="T58" s="275">
        <f t="shared" si="4"/>
        <v>1.15792159927287E-2</v>
      </c>
      <c r="V58" s="196"/>
    </row>
    <row r="59" spans="1:22">
      <c r="A59" s="136">
        <v>1002</v>
      </c>
      <c r="B59" s="592" t="s">
        <v>174</v>
      </c>
      <c r="C59" s="593"/>
      <c r="D59" s="593"/>
      <c r="E59" s="593"/>
      <c r="F59" s="593"/>
      <c r="G59" s="197">
        <f>+G53-G55-G58</f>
        <v>-51812261.479999997</v>
      </c>
      <c r="H59" s="197">
        <f t="shared" ref="H59:R59" si="12">+H53-H55-H58</f>
        <v>-81801332.659999996</v>
      </c>
      <c r="I59" s="197">
        <f t="shared" si="12"/>
        <v>-42391843.920000002</v>
      </c>
      <c r="J59" s="197">
        <f t="shared" si="12"/>
        <v>-48092942.039999999</v>
      </c>
      <c r="K59" s="197">
        <f t="shared" si="12"/>
        <v>-185652843</v>
      </c>
      <c r="L59" s="197">
        <f t="shared" si="12"/>
        <v>-11931087.91</v>
      </c>
      <c r="M59" s="197">
        <f t="shared" si="12"/>
        <v>-85725186.099999994</v>
      </c>
      <c r="N59" s="197">
        <f t="shared" si="12"/>
        <v>-43306701.049999997</v>
      </c>
      <c r="O59" s="197">
        <f t="shared" si="12"/>
        <v>-1328874.5999999701</v>
      </c>
      <c r="P59" s="197">
        <f t="shared" si="12"/>
        <v>-33654974.780000001</v>
      </c>
      <c r="Q59" s="197">
        <f t="shared" si="12"/>
        <v>-74552559.010000005</v>
      </c>
      <c r="R59" s="197">
        <f t="shared" si="12"/>
        <v>-47703068.25</v>
      </c>
      <c r="S59" s="198">
        <f t="shared" si="6"/>
        <v>-707953674.79999995</v>
      </c>
      <c r="T59" s="199">
        <f t="shared" si="4"/>
        <v>-0.142992057119774</v>
      </c>
    </row>
    <row r="60" spans="1:22">
      <c r="A60" s="136">
        <v>1003</v>
      </c>
      <c r="B60" s="570" t="s">
        <v>175</v>
      </c>
      <c r="C60" s="571"/>
      <c r="D60" s="571"/>
      <c r="E60" s="571"/>
      <c r="F60" s="571"/>
      <c r="G60" s="146">
        <f>+SUM(G61:G64)</f>
        <v>51812261.479999997</v>
      </c>
      <c r="H60" s="146">
        <f t="shared" ref="H60:R60" si="13">+SUM(H61:H64)</f>
        <v>81801332.659999996</v>
      </c>
      <c r="I60" s="146">
        <f t="shared" si="13"/>
        <v>42391843.920000002</v>
      </c>
      <c r="J60" s="146">
        <f t="shared" si="13"/>
        <v>48092942.039999999</v>
      </c>
      <c r="K60" s="146">
        <f t="shared" si="13"/>
        <v>185652843</v>
      </c>
      <c r="L60" s="146">
        <f t="shared" si="13"/>
        <v>11931087.91</v>
      </c>
      <c r="M60" s="146">
        <f t="shared" si="13"/>
        <v>85725186.099999994</v>
      </c>
      <c r="N60" s="146">
        <f t="shared" si="13"/>
        <v>43306701.049999997</v>
      </c>
      <c r="O60" s="146">
        <f t="shared" si="13"/>
        <v>1328874.5999999701</v>
      </c>
      <c r="P60" s="146">
        <f t="shared" si="13"/>
        <v>33654974.780000001</v>
      </c>
      <c r="Q60" s="146">
        <f t="shared" si="13"/>
        <v>74552559.010000005</v>
      </c>
      <c r="R60" s="146">
        <f t="shared" si="13"/>
        <v>47703068.25</v>
      </c>
      <c r="S60" s="200">
        <f t="shared" si="6"/>
        <v>707953674.79999995</v>
      </c>
      <c r="T60" s="201">
        <f t="shared" si="4"/>
        <v>0.142992057119774</v>
      </c>
    </row>
    <row r="61" spans="1:22">
      <c r="A61" s="136">
        <v>7511</v>
      </c>
      <c r="B61" s="594" t="s">
        <v>176</v>
      </c>
      <c r="C61" s="595"/>
      <c r="D61" s="595"/>
      <c r="E61" s="595"/>
      <c r="F61" s="595"/>
      <c r="G61" s="176">
        <f>DataEx!FF51</f>
        <v>18000000</v>
      </c>
      <c r="H61" s="176">
        <f>DataEx!FG51</f>
        <v>54000000</v>
      </c>
      <c r="I61" s="176">
        <f>DataEx!FH51</f>
        <v>0</v>
      </c>
      <c r="J61" s="176">
        <f>DataEx!FI51</f>
        <v>74623000</v>
      </c>
      <c r="K61" s="176">
        <f>DataEx!FJ51</f>
        <v>67815000</v>
      </c>
      <c r="L61" s="176">
        <f>DataEx!FK51</f>
        <v>0</v>
      </c>
      <c r="M61" s="176">
        <f>DataEx!FL51</f>
        <v>18000000</v>
      </c>
      <c r="N61" s="176">
        <f>DataEx!FM51</f>
        <v>54000000</v>
      </c>
      <c r="O61" s="176">
        <f>DataEx!FN51</f>
        <v>0</v>
      </c>
      <c r="P61" s="176">
        <f>DataEx!FO51</f>
        <v>0</v>
      </c>
      <c r="Q61" s="176">
        <f>DataEx!FP51</f>
        <v>47000000</v>
      </c>
      <c r="R61" s="176">
        <f>DataEx!FQ51</f>
        <v>30000000</v>
      </c>
      <c r="S61" s="194">
        <f t="shared" si="6"/>
        <v>363438000</v>
      </c>
      <c r="T61" s="195">
        <f t="shared" si="4"/>
        <v>7.3406988487174293E-2</v>
      </c>
    </row>
    <row r="62" spans="1:22">
      <c r="A62" s="136">
        <v>7512</v>
      </c>
      <c r="B62" s="582" t="s">
        <v>177</v>
      </c>
      <c r="C62" s="583"/>
      <c r="D62" s="583"/>
      <c r="E62" s="583"/>
      <c r="F62" s="583"/>
      <c r="G62" s="176">
        <f>DataEx!FF52</f>
        <v>25748930.140000001</v>
      </c>
      <c r="H62" s="176">
        <f>DataEx!FG52</f>
        <v>3819449.69</v>
      </c>
      <c r="I62" s="176">
        <f>DataEx!FH52</f>
        <v>14059999.119999999</v>
      </c>
      <c r="J62" s="176">
        <f>DataEx!FI52</f>
        <v>6496285.4699999997</v>
      </c>
      <c r="K62" s="176">
        <f>DataEx!FJ52</f>
        <v>7856343.8600000003</v>
      </c>
      <c r="L62" s="176">
        <f>DataEx!FK52</f>
        <v>8784836.1999999993</v>
      </c>
      <c r="M62" s="176">
        <f>DataEx!FL52</f>
        <v>2698966.86</v>
      </c>
      <c r="N62" s="176">
        <f>DataEx!FM52</f>
        <v>32388565.289999999</v>
      </c>
      <c r="O62" s="176">
        <f>DataEx!FN52</f>
        <v>9020553.9199999999</v>
      </c>
      <c r="P62" s="176">
        <f>DataEx!FO52</f>
        <v>512682672.61000001</v>
      </c>
      <c r="Q62" s="176">
        <f>DataEx!FP52</f>
        <v>10136902.300000001</v>
      </c>
      <c r="R62" s="176">
        <f>DataEx!FQ52</f>
        <v>17886787.969999999</v>
      </c>
      <c r="S62" s="194">
        <f t="shared" si="6"/>
        <v>651580293.42999995</v>
      </c>
      <c r="T62" s="195">
        <f t="shared" si="4"/>
        <v>0.13160579548172099</v>
      </c>
    </row>
    <row r="63" spans="1:22">
      <c r="A63" s="136">
        <v>72</v>
      </c>
      <c r="B63" s="582" t="s">
        <v>178</v>
      </c>
      <c r="C63" s="583"/>
      <c r="D63" s="583"/>
      <c r="E63" s="583"/>
      <c r="F63" s="583"/>
      <c r="G63" s="176">
        <f>DataEx!FF40</f>
        <v>26594.13</v>
      </c>
      <c r="H63" s="176">
        <f>DataEx!FG40</f>
        <v>177395.91</v>
      </c>
      <c r="I63" s="176">
        <f>DataEx!FH40</f>
        <v>180547.55</v>
      </c>
      <c r="J63" s="176">
        <f>DataEx!FI40</f>
        <v>169636.46</v>
      </c>
      <c r="K63" s="176">
        <f>DataEx!FJ40</f>
        <v>223780.48000000001</v>
      </c>
      <c r="L63" s="176">
        <f>DataEx!FK40</f>
        <v>722176.42</v>
      </c>
      <c r="M63" s="176">
        <f>DataEx!FL40</f>
        <v>359609.29</v>
      </c>
      <c r="N63" s="176">
        <f>DataEx!FM40</f>
        <v>176786.46</v>
      </c>
      <c r="O63" s="176">
        <f>DataEx!FN40</f>
        <v>225833.46</v>
      </c>
      <c r="P63" s="176">
        <f>DataEx!FO40</f>
        <v>679599.59</v>
      </c>
      <c r="Q63" s="176">
        <f>DataEx!FP40</f>
        <v>287050.87</v>
      </c>
      <c r="R63" s="176">
        <f>DataEx!FQ40</f>
        <v>1049072.3</v>
      </c>
      <c r="S63" s="194">
        <f t="shared" si="6"/>
        <v>4278082.92</v>
      </c>
      <c r="T63" s="195">
        <f t="shared" si="4"/>
        <v>8.6408461320945304E-4</v>
      </c>
    </row>
    <row r="64" spans="1:22">
      <c r="A64" s="136">
        <v>1004</v>
      </c>
      <c r="B64" s="202" t="s">
        <v>179</v>
      </c>
      <c r="C64" s="203"/>
      <c r="D64" s="203"/>
      <c r="E64" s="203"/>
      <c r="F64" s="203"/>
      <c r="G64" s="204">
        <f>-G59-SUM(G61:G63)</f>
        <v>8036737.2100000102</v>
      </c>
      <c r="H64" s="204">
        <f t="shared" ref="H64:R64" si="14">-H59-SUM(H61:H63)</f>
        <v>23804487.059999999</v>
      </c>
      <c r="I64" s="204">
        <f t="shared" si="14"/>
        <v>28151297.25</v>
      </c>
      <c r="J64" s="204">
        <f t="shared" si="14"/>
        <v>-33195979.890000001</v>
      </c>
      <c r="K64" s="204">
        <f t="shared" si="14"/>
        <v>109757718.66</v>
      </c>
      <c r="L64" s="204">
        <f t="shared" si="14"/>
        <v>2424075.2900000098</v>
      </c>
      <c r="M64" s="204">
        <f t="shared" si="14"/>
        <v>64666609.950000003</v>
      </c>
      <c r="N64" s="204">
        <f t="shared" si="14"/>
        <v>-43258650.700000003</v>
      </c>
      <c r="O64" s="204">
        <f t="shared" si="14"/>
        <v>-7917512.7800000301</v>
      </c>
      <c r="P64" s="204">
        <f t="shared" si="14"/>
        <v>-479707297.42000002</v>
      </c>
      <c r="Q64" s="204">
        <f t="shared" si="14"/>
        <v>17128605.84</v>
      </c>
      <c r="R64" s="204">
        <f t="shared" si="14"/>
        <v>-1232792.02</v>
      </c>
      <c r="S64" s="205">
        <f t="shared" si="6"/>
        <v>-311342701.55000001</v>
      </c>
      <c r="T64" s="206">
        <f t="shared" si="4"/>
        <v>-6.2884811462330797E-2</v>
      </c>
    </row>
    <row r="65" spans="18:18">
      <c r="R65" s="207"/>
    </row>
    <row r="70" spans="18:18">
      <c r="R70" s="208"/>
    </row>
    <row r="98" spans="1:21"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</row>
    <row r="99" spans="1:21">
      <c r="G99" s="210" t="str">
        <f t="shared" ref="G99:R99" si="15">+CONCATENATE(G6,"p")</f>
        <v>2019-01p</v>
      </c>
      <c r="H99" s="210" t="str">
        <f t="shared" si="15"/>
        <v>2019-02p</v>
      </c>
      <c r="I99" s="210" t="str">
        <f t="shared" si="15"/>
        <v>2019-03p</v>
      </c>
      <c r="J99" s="210" t="str">
        <f t="shared" si="15"/>
        <v>2019-04p</v>
      </c>
      <c r="K99" s="210" t="str">
        <f t="shared" si="15"/>
        <v>2019-05p</v>
      </c>
      <c r="L99" s="210" t="str">
        <f t="shared" si="15"/>
        <v>2019-06p</v>
      </c>
      <c r="M99" s="210" t="str">
        <f t="shared" si="15"/>
        <v>2019-07p</v>
      </c>
      <c r="N99" s="210" t="str">
        <f t="shared" si="15"/>
        <v>2019-08p</v>
      </c>
      <c r="O99" s="210" t="str">
        <f t="shared" si="15"/>
        <v>2019-09p</v>
      </c>
      <c r="P99" s="210" t="str">
        <f t="shared" si="15"/>
        <v>2019-10p</v>
      </c>
      <c r="Q99" s="210" t="str">
        <f t="shared" si="15"/>
        <v>2019-11p</v>
      </c>
      <c r="R99" s="210" t="str">
        <f t="shared" si="15"/>
        <v>2019-12p</v>
      </c>
    </row>
    <row r="100" spans="1:21" ht="15.75" customHeight="1">
      <c r="B100" s="637" t="s">
        <v>180</v>
      </c>
      <c r="C100" s="638"/>
      <c r="D100" s="638"/>
      <c r="E100" s="638"/>
      <c r="F100" s="638"/>
      <c r="G100" s="614">
        <v>2019</v>
      </c>
      <c r="H100" s="615"/>
      <c r="I100" s="615"/>
      <c r="J100" s="615"/>
      <c r="K100" s="615"/>
      <c r="L100" s="615"/>
      <c r="M100" s="615"/>
      <c r="N100" s="615"/>
      <c r="O100" s="615"/>
      <c r="P100" s="615"/>
      <c r="Q100" s="615"/>
      <c r="R100" s="616"/>
      <c r="S100" s="211" t="str">
        <f>+S7</f>
        <v>BDP</v>
      </c>
      <c r="T100" s="212">
        <f>+T7</f>
        <v>4951000000</v>
      </c>
    </row>
    <row r="101" spans="1:21" ht="15.75" customHeight="1">
      <c r="B101" s="639"/>
      <c r="C101" s="640"/>
      <c r="D101" s="640"/>
      <c r="E101" s="640"/>
      <c r="F101" s="641"/>
      <c r="G101" s="179" t="str">
        <f t="shared" ref="G101:R101" si="16">+G8</f>
        <v>Januar</v>
      </c>
      <c r="H101" s="179" t="str">
        <f t="shared" si="16"/>
        <v>Februar</v>
      </c>
      <c r="I101" s="179" t="str">
        <f t="shared" si="16"/>
        <v>Mart</v>
      </c>
      <c r="J101" s="179" t="str">
        <f t="shared" si="16"/>
        <v>April</v>
      </c>
      <c r="K101" s="179" t="str">
        <f t="shared" si="16"/>
        <v>Maj</v>
      </c>
      <c r="L101" s="179" t="str">
        <f t="shared" si="16"/>
        <v>Jun</v>
      </c>
      <c r="M101" s="179" t="str">
        <f t="shared" si="16"/>
        <v>Jul</v>
      </c>
      <c r="N101" s="179" t="str">
        <f t="shared" si="16"/>
        <v>Avgust</v>
      </c>
      <c r="O101" s="179" t="str">
        <f t="shared" si="16"/>
        <v>Septembar</v>
      </c>
      <c r="P101" s="179" t="str">
        <f t="shared" si="16"/>
        <v>Oktobar</v>
      </c>
      <c r="Q101" s="179" t="str">
        <f t="shared" si="16"/>
        <v>Novembar</v>
      </c>
      <c r="R101" s="179" t="str">
        <f t="shared" si="16"/>
        <v>Decembar</v>
      </c>
      <c r="S101" s="614" t="s">
        <v>125</v>
      </c>
      <c r="T101" s="616">
        <f>+T8</f>
        <v>0</v>
      </c>
    </row>
    <row r="102" spans="1:21">
      <c r="B102" s="642"/>
      <c r="C102" s="643"/>
      <c r="D102" s="643"/>
      <c r="E102" s="643"/>
      <c r="F102" s="644"/>
      <c r="G102" s="213" t="s">
        <v>2</v>
      </c>
      <c r="H102" s="213" t="s">
        <v>2</v>
      </c>
      <c r="I102" s="213" t="s">
        <v>2</v>
      </c>
      <c r="J102" s="213" t="s">
        <v>2</v>
      </c>
      <c r="K102" s="213" t="s">
        <v>2</v>
      </c>
      <c r="L102" s="213" t="s">
        <v>2</v>
      </c>
      <c r="M102" s="213" t="s">
        <v>2</v>
      </c>
      <c r="N102" s="213" t="s">
        <v>2</v>
      </c>
      <c r="O102" s="213" t="s">
        <v>2</v>
      </c>
      <c r="P102" s="213" t="s">
        <v>2</v>
      </c>
      <c r="Q102" s="213" t="s">
        <v>2</v>
      </c>
      <c r="R102" s="213" t="s">
        <v>2</v>
      </c>
      <c r="S102" s="214" t="s">
        <v>2</v>
      </c>
      <c r="T102" s="215" t="str">
        <f>+T9</f>
        <v>% BDP</v>
      </c>
    </row>
    <row r="103" spans="1:21">
      <c r="A103" s="216" t="str">
        <f t="shared" ref="A103:A123" si="17">+CONCATENATE(A10,"p")</f>
        <v>7p</v>
      </c>
      <c r="B103" s="651" t="s">
        <v>126</v>
      </c>
      <c r="C103" s="652"/>
      <c r="D103" s="652"/>
      <c r="E103" s="652"/>
      <c r="F103" s="652"/>
      <c r="G103" s="217">
        <f t="shared" ref="G103:R103" si="18">+G104+G112+SUM(G117:G121)</f>
        <v>107257935.59</v>
      </c>
      <c r="H103" s="217">
        <f t="shared" si="18"/>
        <v>116544625.95</v>
      </c>
      <c r="I103" s="217">
        <f t="shared" si="18"/>
        <v>147544680.63</v>
      </c>
      <c r="J103" s="217">
        <f t="shared" si="18"/>
        <v>165045416.33000001</v>
      </c>
      <c r="K103" s="217">
        <f t="shared" si="18"/>
        <v>144226839.65000001</v>
      </c>
      <c r="L103" s="217">
        <f t="shared" si="18"/>
        <v>143393601.47999999</v>
      </c>
      <c r="M103" s="217">
        <f t="shared" si="18"/>
        <v>163636678.97122699</v>
      </c>
      <c r="N103" s="217">
        <f t="shared" si="18"/>
        <v>164502209.05473301</v>
      </c>
      <c r="O103" s="217">
        <f t="shared" si="18"/>
        <v>151400956.731617</v>
      </c>
      <c r="P103" s="217">
        <f t="shared" si="18"/>
        <v>188402533.237537</v>
      </c>
      <c r="Q103" s="217">
        <f t="shared" si="18"/>
        <v>148714658.461972</v>
      </c>
      <c r="R103" s="217">
        <f t="shared" si="18"/>
        <v>193362777.67647299</v>
      </c>
      <c r="S103" s="218">
        <f>+SUM(G103:R103)</f>
        <v>1834032913.7635601</v>
      </c>
      <c r="T103" s="219">
        <f>+S103/$T$7</f>
        <v>0.370436864020109</v>
      </c>
    </row>
    <row r="104" spans="1:21">
      <c r="A104" s="216" t="str">
        <f t="shared" si="17"/>
        <v>711p</v>
      </c>
      <c r="B104" s="619" t="s">
        <v>127</v>
      </c>
      <c r="C104" s="620"/>
      <c r="D104" s="620"/>
      <c r="E104" s="620"/>
      <c r="F104" s="620"/>
      <c r="G104" s="220">
        <f t="shared" ref="G104:R104" si="19">+SUM(G105:G111)</f>
        <v>72429730.420000002</v>
      </c>
      <c r="H104" s="220">
        <f t="shared" si="19"/>
        <v>68470908.439999998</v>
      </c>
      <c r="I104" s="220">
        <f t="shared" si="19"/>
        <v>98709545.510000005</v>
      </c>
      <c r="J104" s="220">
        <f t="shared" si="19"/>
        <v>106791818.52</v>
      </c>
      <c r="K104" s="220">
        <f t="shared" si="19"/>
        <v>94372185.030000001</v>
      </c>
      <c r="L104" s="220">
        <f t="shared" si="19"/>
        <v>89389439.689999998</v>
      </c>
      <c r="M104" s="220">
        <f t="shared" si="19"/>
        <v>106366803.00672001</v>
      </c>
      <c r="N104" s="220">
        <f t="shared" si="19"/>
        <v>110847613.637741</v>
      </c>
      <c r="O104" s="220">
        <f t="shared" si="19"/>
        <v>101712748.66474</v>
      </c>
      <c r="P104" s="220">
        <f t="shared" si="19"/>
        <v>96295636.228585899</v>
      </c>
      <c r="Q104" s="220">
        <f t="shared" si="19"/>
        <v>84393107.743797198</v>
      </c>
      <c r="R104" s="221">
        <f t="shared" si="19"/>
        <v>92890414.095145494</v>
      </c>
      <c r="S104" s="222">
        <f t="shared" ref="S104:S159" si="20">+SUM(G104:R104)</f>
        <v>1122669950.9867301</v>
      </c>
      <c r="T104" s="223">
        <f t="shared" ref="T104:T159" si="21">+S104/$T$7</f>
        <v>0.226756200966821</v>
      </c>
      <c r="U104" s="224"/>
    </row>
    <row r="105" spans="1:21">
      <c r="A105" s="216" t="str">
        <f t="shared" si="17"/>
        <v>7111p</v>
      </c>
      <c r="B105" s="621" t="s">
        <v>128</v>
      </c>
      <c r="C105" s="622"/>
      <c r="D105" s="622"/>
      <c r="E105" s="622"/>
      <c r="F105" s="622"/>
      <c r="G105" s="225">
        <v>4240913.8099999996</v>
      </c>
      <c r="H105" s="225">
        <v>9361661.1500000004</v>
      </c>
      <c r="I105" s="225">
        <v>9044961.5800000001</v>
      </c>
      <c r="J105" s="225">
        <v>10767101.800000001</v>
      </c>
      <c r="K105" s="225">
        <v>10210712.41</v>
      </c>
      <c r="L105" s="225">
        <v>10125793.029999999</v>
      </c>
      <c r="M105" s="225">
        <v>10562928.1021709</v>
      </c>
      <c r="N105" s="225">
        <v>10477537.9093521</v>
      </c>
      <c r="O105" s="225">
        <v>8957410.6319850795</v>
      </c>
      <c r="P105" s="225">
        <v>9589847.5886837803</v>
      </c>
      <c r="Q105" s="225">
        <v>9803639.4384757504</v>
      </c>
      <c r="R105" s="225">
        <v>17095010.594302401</v>
      </c>
      <c r="S105" s="226">
        <f t="shared" si="20"/>
        <v>120237518.04497001</v>
      </c>
      <c r="T105" s="227">
        <f t="shared" si="21"/>
        <v>2.4285501523928499E-2</v>
      </c>
    </row>
    <row r="106" spans="1:21">
      <c r="A106" s="216" t="str">
        <f t="shared" si="17"/>
        <v>7112p</v>
      </c>
      <c r="B106" s="621" t="s">
        <v>129</v>
      </c>
      <c r="C106" s="622"/>
      <c r="D106" s="622"/>
      <c r="E106" s="622"/>
      <c r="F106" s="622"/>
      <c r="G106" s="225">
        <v>936843.13</v>
      </c>
      <c r="H106" s="225">
        <v>1962550.32</v>
      </c>
      <c r="I106" s="225">
        <v>22465664.23</v>
      </c>
      <c r="J106" s="225">
        <v>20408432.98</v>
      </c>
      <c r="K106" s="225">
        <v>4781744.7</v>
      </c>
      <c r="L106" s="225">
        <v>3678815</v>
      </c>
      <c r="M106" s="225">
        <v>4457741.7110314397</v>
      </c>
      <c r="N106" s="225">
        <v>2685443.6740218201</v>
      </c>
      <c r="O106" s="225">
        <v>2555024.30670548</v>
      </c>
      <c r="P106" s="225">
        <v>5099414.7304318398</v>
      </c>
      <c r="Q106" s="225">
        <v>845177.98600747099</v>
      </c>
      <c r="R106" s="225">
        <v>1318007.3637119399</v>
      </c>
      <c r="S106" s="226">
        <f t="shared" si="20"/>
        <v>71194860.131909996</v>
      </c>
      <c r="T106" s="227">
        <f t="shared" si="21"/>
        <v>1.4379894997356099E-2</v>
      </c>
    </row>
    <row r="107" spans="1:21">
      <c r="A107" s="216" t="str">
        <f t="shared" si="17"/>
        <v>7113p</v>
      </c>
      <c r="B107" s="621" t="s">
        <v>130</v>
      </c>
      <c r="C107" s="622"/>
      <c r="D107" s="622"/>
      <c r="E107" s="622"/>
      <c r="F107" s="622"/>
      <c r="G107" s="225">
        <v>118243.45</v>
      </c>
      <c r="H107" s="225">
        <v>169568.16</v>
      </c>
      <c r="I107" s="225">
        <v>146352.49</v>
      </c>
      <c r="J107" s="225">
        <v>204359.36</v>
      </c>
      <c r="K107" s="225">
        <v>147510.5</v>
      </c>
      <c r="L107" s="225">
        <v>158253.64000000001</v>
      </c>
      <c r="M107" s="225">
        <v>92289.827047712693</v>
      </c>
      <c r="N107" s="225">
        <v>199872.32178424101</v>
      </c>
      <c r="O107" s="225">
        <v>127416.862542109</v>
      </c>
      <c r="P107" s="225">
        <v>134863.81501112299</v>
      </c>
      <c r="Q107" s="225">
        <v>174166.776147094</v>
      </c>
      <c r="R107" s="225">
        <v>189919.207867722</v>
      </c>
      <c r="S107" s="226">
        <f t="shared" si="20"/>
        <v>1862816.4103999999</v>
      </c>
      <c r="T107" s="227">
        <f t="shared" si="21"/>
        <v>3.7625053734599101E-4</v>
      </c>
    </row>
    <row r="108" spans="1:21">
      <c r="A108" s="216" t="str">
        <f t="shared" si="17"/>
        <v>7114p</v>
      </c>
      <c r="B108" s="621" t="s">
        <v>131</v>
      </c>
      <c r="C108" s="622"/>
      <c r="D108" s="622"/>
      <c r="E108" s="622"/>
      <c r="F108" s="622"/>
      <c r="G108" s="225">
        <v>49847223.18</v>
      </c>
      <c r="H108" s="225">
        <v>38958365.399999999</v>
      </c>
      <c r="I108" s="225">
        <v>50498218.18</v>
      </c>
      <c r="J108" s="225">
        <v>55142838.460000001</v>
      </c>
      <c r="K108" s="225">
        <v>56428341.859999999</v>
      </c>
      <c r="L108" s="225">
        <v>52810087.229999997</v>
      </c>
      <c r="M108" s="225">
        <v>64608697.993098304</v>
      </c>
      <c r="N108" s="225">
        <v>66890311.931873403</v>
      </c>
      <c r="O108" s="225">
        <v>59747048.514482997</v>
      </c>
      <c r="P108" s="225">
        <v>59046360.535818897</v>
      </c>
      <c r="Q108" s="225">
        <v>50298426.623042099</v>
      </c>
      <c r="R108" s="225">
        <v>53629737.7635343</v>
      </c>
      <c r="S108" s="226">
        <f t="shared" si="20"/>
        <v>657905657.67184997</v>
      </c>
      <c r="T108" s="227">
        <f t="shared" si="21"/>
        <v>0.132883388744062</v>
      </c>
    </row>
    <row r="109" spans="1:21">
      <c r="A109" s="216" t="str">
        <f t="shared" si="17"/>
        <v>7115p</v>
      </c>
      <c r="B109" s="621" t="s">
        <v>132</v>
      </c>
      <c r="C109" s="622"/>
      <c r="D109" s="622"/>
      <c r="E109" s="622"/>
      <c r="F109" s="622"/>
      <c r="G109" s="225">
        <v>15141217.210000001</v>
      </c>
      <c r="H109" s="225">
        <v>13186126.23</v>
      </c>
      <c r="I109" s="225">
        <v>13315087.640000001</v>
      </c>
      <c r="J109" s="225">
        <v>16826313.73</v>
      </c>
      <c r="K109" s="225">
        <v>19442485.359999999</v>
      </c>
      <c r="L109" s="225">
        <v>19205497.870000001</v>
      </c>
      <c r="M109" s="225">
        <v>23502946.6762674</v>
      </c>
      <c r="N109" s="225">
        <v>27414563.793734901</v>
      </c>
      <c r="O109" s="225">
        <v>27821146.8849364</v>
      </c>
      <c r="P109" s="225">
        <v>19593872.367677599</v>
      </c>
      <c r="Q109" s="225">
        <v>21076713.140502401</v>
      </c>
      <c r="R109" s="225">
        <v>18275634.3950813</v>
      </c>
      <c r="S109" s="226">
        <f t="shared" si="20"/>
        <v>234801605.29820001</v>
      </c>
      <c r="T109" s="227">
        <f t="shared" si="21"/>
        <v>4.74250869113714E-2</v>
      </c>
    </row>
    <row r="110" spans="1:21">
      <c r="A110" s="216" t="str">
        <f t="shared" si="17"/>
        <v>7116p</v>
      </c>
      <c r="B110" s="621" t="s">
        <v>133</v>
      </c>
      <c r="C110" s="622"/>
      <c r="D110" s="622"/>
      <c r="E110" s="622"/>
      <c r="F110" s="622"/>
      <c r="G110" s="225">
        <v>1424968.68</v>
      </c>
      <c r="H110" s="225">
        <v>1733788.33</v>
      </c>
      <c r="I110" s="225">
        <v>2462209.73</v>
      </c>
      <c r="J110" s="225">
        <v>2531899.16</v>
      </c>
      <c r="K110" s="225">
        <v>2502520.2799999998</v>
      </c>
      <c r="L110" s="225">
        <v>2485583.9700000002</v>
      </c>
      <c r="M110" s="225">
        <v>2731455.72017325</v>
      </c>
      <c r="N110" s="225">
        <v>2787010.1046283199</v>
      </c>
      <c r="O110" s="225">
        <v>2149778.7308390602</v>
      </c>
      <c r="P110" s="225">
        <v>2505449.3409775598</v>
      </c>
      <c r="Q110" s="225">
        <v>1854095.8458453801</v>
      </c>
      <c r="R110" s="225">
        <v>1998829.93733643</v>
      </c>
      <c r="S110" s="226">
        <f t="shared" si="20"/>
        <v>27167589.829799999</v>
      </c>
      <c r="T110" s="227">
        <f t="shared" si="21"/>
        <v>5.4872934416885502E-3</v>
      </c>
    </row>
    <row r="111" spans="1:21">
      <c r="A111" s="216" t="str">
        <f t="shared" si="17"/>
        <v>7118p</v>
      </c>
      <c r="B111" s="621" t="s">
        <v>134</v>
      </c>
      <c r="C111" s="622"/>
      <c r="D111" s="622"/>
      <c r="E111" s="622"/>
      <c r="F111" s="622"/>
      <c r="G111" s="225">
        <v>720320.96</v>
      </c>
      <c r="H111" s="225">
        <v>3098848.85</v>
      </c>
      <c r="I111" s="225">
        <v>777051.66</v>
      </c>
      <c r="J111" s="225">
        <v>910873.03</v>
      </c>
      <c r="K111" s="225">
        <v>858869.92</v>
      </c>
      <c r="L111" s="225">
        <v>925408.95</v>
      </c>
      <c r="M111" s="225">
        <v>410742.97693133901</v>
      </c>
      <c r="N111" s="225">
        <v>392873.90234621702</v>
      </c>
      <c r="O111" s="225">
        <v>354922.733249015</v>
      </c>
      <c r="P111" s="225">
        <v>325827.84998510598</v>
      </c>
      <c r="Q111" s="225">
        <v>340887.93377701001</v>
      </c>
      <c r="R111" s="225">
        <v>383274.83331131301</v>
      </c>
      <c r="S111" s="226">
        <f t="shared" si="20"/>
        <v>9499903.5996000003</v>
      </c>
      <c r="T111" s="227">
        <f t="shared" si="21"/>
        <v>1.91878481106847E-3</v>
      </c>
    </row>
    <row r="112" spans="1:21">
      <c r="A112" s="216" t="str">
        <f t="shared" si="17"/>
        <v>712p</v>
      </c>
      <c r="B112" s="653" t="s">
        <v>135</v>
      </c>
      <c r="C112" s="654"/>
      <c r="D112" s="654"/>
      <c r="E112" s="654"/>
      <c r="F112" s="654"/>
      <c r="G112" s="228">
        <f>+SUM(G113:G116)</f>
        <v>16498881.48</v>
      </c>
      <c r="H112" s="228">
        <f t="shared" ref="H112:R112" si="22">+SUM(H113:H116)</f>
        <v>41912269.380000003</v>
      </c>
      <c r="I112" s="228">
        <f t="shared" si="22"/>
        <v>41047599.18</v>
      </c>
      <c r="J112" s="228">
        <f t="shared" si="22"/>
        <v>50290988.939999998</v>
      </c>
      <c r="K112" s="228">
        <f t="shared" si="22"/>
        <v>37496285.130000003</v>
      </c>
      <c r="L112" s="228">
        <f t="shared" si="22"/>
        <v>45280786.509999998</v>
      </c>
      <c r="M112" s="228">
        <f t="shared" si="22"/>
        <v>46250891.035691202</v>
      </c>
      <c r="N112" s="228">
        <f t="shared" si="22"/>
        <v>44632014.674295098</v>
      </c>
      <c r="O112" s="228">
        <f t="shared" si="22"/>
        <v>41120271.333377197</v>
      </c>
      <c r="P112" s="228">
        <f t="shared" si="22"/>
        <v>46928850.6359028</v>
      </c>
      <c r="Q112" s="228">
        <f t="shared" si="22"/>
        <v>44128259.697538301</v>
      </c>
      <c r="R112" s="229">
        <f t="shared" si="22"/>
        <v>78626416.078526005</v>
      </c>
      <c r="S112" s="230">
        <f t="shared" si="20"/>
        <v>534213514.07533097</v>
      </c>
      <c r="T112" s="231">
        <f t="shared" si="21"/>
        <v>0.10790012403056599</v>
      </c>
    </row>
    <row r="113" spans="1:20">
      <c r="A113" s="216" t="str">
        <f t="shared" si="17"/>
        <v>7121p</v>
      </c>
      <c r="B113" s="621" t="s">
        <v>136</v>
      </c>
      <c r="C113" s="622"/>
      <c r="D113" s="622"/>
      <c r="E113" s="622"/>
      <c r="F113" s="622"/>
      <c r="G113" s="225">
        <v>9695765.5800000001</v>
      </c>
      <c r="H113" s="225">
        <v>24593790.260000002</v>
      </c>
      <c r="I113" s="225">
        <v>23923752.719999999</v>
      </c>
      <c r="J113" s="225">
        <v>29650595.870000001</v>
      </c>
      <c r="K113" s="225">
        <v>22104934.850000001</v>
      </c>
      <c r="L113" s="225">
        <v>27009559.609999999</v>
      </c>
      <c r="M113" s="225">
        <v>27482444.037160601</v>
      </c>
      <c r="N113" s="225">
        <v>27981870.622507598</v>
      </c>
      <c r="O113" s="225">
        <v>26275213.096976299</v>
      </c>
      <c r="P113" s="225">
        <v>30509092.335605901</v>
      </c>
      <c r="Q113" s="225">
        <v>28690565.779876798</v>
      </c>
      <c r="R113" s="225">
        <v>49959164.412414499</v>
      </c>
      <c r="S113" s="226">
        <f t="shared" si="20"/>
        <v>327876749.17454201</v>
      </c>
      <c r="T113" s="227">
        <f t="shared" si="21"/>
        <v>6.62243484497156E-2</v>
      </c>
    </row>
    <row r="114" spans="1:20">
      <c r="A114" s="216" t="str">
        <f t="shared" si="17"/>
        <v>7122p</v>
      </c>
      <c r="B114" s="621" t="s">
        <v>137</v>
      </c>
      <c r="C114" s="622"/>
      <c r="D114" s="622"/>
      <c r="E114" s="622"/>
      <c r="F114" s="622"/>
      <c r="G114" s="225">
        <v>5963049.2000000002</v>
      </c>
      <c r="H114" s="225">
        <v>15122476.890000001</v>
      </c>
      <c r="I114" s="225">
        <v>14777265.789999999</v>
      </c>
      <c r="J114" s="225">
        <v>17925167.550000001</v>
      </c>
      <c r="K114" s="225">
        <v>13458982.5</v>
      </c>
      <c r="L114" s="225">
        <v>15925774.34</v>
      </c>
      <c r="M114" s="225">
        <v>16394230.760278201</v>
      </c>
      <c r="N114" s="225">
        <v>14239936.3517469</v>
      </c>
      <c r="O114" s="225">
        <v>12682409.5883324</v>
      </c>
      <c r="P114" s="225">
        <v>14130176.2225761</v>
      </c>
      <c r="Q114" s="225">
        <v>13398296.644865301</v>
      </c>
      <c r="R114" s="225">
        <v>24833575.886677202</v>
      </c>
      <c r="S114" s="226">
        <f t="shared" si="20"/>
        <v>178851341.72447601</v>
      </c>
      <c r="T114" s="227">
        <f t="shared" si="21"/>
        <v>3.6124286351136299E-2</v>
      </c>
    </row>
    <row r="115" spans="1:20">
      <c r="A115" s="216" t="str">
        <f t="shared" si="17"/>
        <v>7123p</v>
      </c>
      <c r="B115" s="621" t="s">
        <v>138</v>
      </c>
      <c r="C115" s="622"/>
      <c r="D115" s="622"/>
      <c r="E115" s="622"/>
      <c r="F115" s="622"/>
      <c r="G115" s="225">
        <v>459881.42</v>
      </c>
      <c r="H115" s="225">
        <v>1160315.8500000001</v>
      </c>
      <c r="I115" s="225">
        <v>1135767.8899999999</v>
      </c>
      <c r="J115" s="225">
        <v>1375720.59</v>
      </c>
      <c r="K115" s="225">
        <v>1026106.03</v>
      </c>
      <c r="L115" s="225">
        <v>1222753.49</v>
      </c>
      <c r="M115" s="225">
        <v>1142926.9664523201</v>
      </c>
      <c r="N115" s="225">
        <v>1304199.4730337199</v>
      </c>
      <c r="O115" s="225">
        <v>1183707.9939274699</v>
      </c>
      <c r="P115" s="225">
        <v>1329191.37013604</v>
      </c>
      <c r="Q115" s="225">
        <v>1263549.40315961</v>
      </c>
      <c r="R115" s="225">
        <v>2346588.9629115802</v>
      </c>
      <c r="S115" s="226">
        <f t="shared" si="20"/>
        <v>14950709.4396207</v>
      </c>
      <c r="T115" s="227">
        <f t="shared" si="21"/>
        <v>3.0197352938034199E-3</v>
      </c>
    </row>
    <row r="116" spans="1:20">
      <c r="A116" s="216" t="str">
        <f t="shared" si="17"/>
        <v>7124p</v>
      </c>
      <c r="B116" s="621" t="s">
        <v>139</v>
      </c>
      <c r="C116" s="622"/>
      <c r="D116" s="622"/>
      <c r="E116" s="622"/>
      <c r="F116" s="622"/>
      <c r="G116" s="225">
        <v>380185.28</v>
      </c>
      <c r="H116" s="225">
        <v>1035686.38</v>
      </c>
      <c r="I116" s="225">
        <v>1210812.78</v>
      </c>
      <c r="J116" s="225">
        <v>1339504.93</v>
      </c>
      <c r="K116" s="225">
        <v>906261.75</v>
      </c>
      <c r="L116" s="225">
        <v>1122699.07</v>
      </c>
      <c r="M116" s="225">
        <v>1231289.2718000601</v>
      </c>
      <c r="N116" s="225">
        <v>1106008.2270068701</v>
      </c>
      <c r="O116" s="225">
        <v>978940.65414091502</v>
      </c>
      <c r="P116" s="225">
        <v>960390.70758482697</v>
      </c>
      <c r="Q116" s="225">
        <v>775847.86963662005</v>
      </c>
      <c r="R116" s="225">
        <v>1487086.81652272</v>
      </c>
      <c r="S116" s="226">
        <f t="shared" si="20"/>
        <v>12534713.736692</v>
      </c>
      <c r="T116" s="227">
        <f t="shared" si="21"/>
        <v>2.53175393591032E-3</v>
      </c>
    </row>
    <row r="117" spans="1:20">
      <c r="A117" s="216" t="str">
        <f t="shared" si="17"/>
        <v>713p</v>
      </c>
      <c r="B117" s="623" t="s">
        <v>140</v>
      </c>
      <c r="C117" s="624"/>
      <c r="D117" s="624"/>
      <c r="E117" s="624"/>
      <c r="F117" s="624"/>
      <c r="G117" s="232">
        <v>851162.27</v>
      </c>
      <c r="H117" s="232">
        <v>1041125.39</v>
      </c>
      <c r="I117" s="232">
        <v>1066481.8799999999</v>
      </c>
      <c r="J117" s="232">
        <v>1290371.49</v>
      </c>
      <c r="K117" s="232">
        <v>1208813.17</v>
      </c>
      <c r="L117" s="232">
        <v>1252534.6599999999</v>
      </c>
      <c r="M117" s="232">
        <v>1795731.4641523899</v>
      </c>
      <c r="N117" s="232">
        <v>1701456.53722295</v>
      </c>
      <c r="O117" s="232">
        <v>1388736.0694359399</v>
      </c>
      <c r="P117" s="232">
        <v>1341528.8515351701</v>
      </c>
      <c r="Q117" s="232">
        <v>1134405.60221959</v>
      </c>
      <c r="R117" s="232">
        <v>1246141.5409339501</v>
      </c>
      <c r="S117" s="230">
        <f t="shared" si="20"/>
        <v>15318488.9255</v>
      </c>
      <c r="T117" s="231">
        <f t="shared" si="21"/>
        <v>3.0940191729953602E-3</v>
      </c>
    </row>
    <row r="118" spans="1:20">
      <c r="A118" s="216" t="str">
        <f t="shared" si="17"/>
        <v>714p</v>
      </c>
      <c r="B118" s="623" t="s">
        <v>141</v>
      </c>
      <c r="C118" s="624"/>
      <c r="D118" s="624"/>
      <c r="E118" s="624"/>
      <c r="F118" s="624"/>
      <c r="G118" s="232">
        <v>2315003.25</v>
      </c>
      <c r="H118" s="232">
        <v>1541397.86</v>
      </c>
      <c r="I118" s="232">
        <v>2408517.5</v>
      </c>
      <c r="J118" s="232">
        <v>3310133.38</v>
      </c>
      <c r="K118" s="232">
        <v>1792591.2</v>
      </c>
      <c r="L118" s="232">
        <v>2081141.31</v>
      </c>
      <c r="M118" s="232">
        <v>3811615.3822946702</v>
      </c>
      <c r="N118" s="232">
        <v>2369139.88856648</v>
      </c>
      <c r="O118" s="232">
        <v>2509036.5848406102</v>
      </c>
      <c r="P118" s="232">
        <v>3286740.3746406999</v>
      </c>
      <c r="Q118" s="232">
        <v>2611990.4957672702</v>
      </c>
      <c r="R118" s="232">
        <v>3353537.6354902699</v>
      </c>
      <c r="S118" s="230">
        <f t="shared" si="20"/>
        <v>31390844.8616</v>
      </c>
      <c r="T118" s="231">
        <f t="shared" si="21"/>
        <v>6.3403039510401896E-3</v>
      </c>
    </row>
    <row r="119" spans="1:20">
      <c r="A119" s="216" t="str">
        <f t="shared" si="17"/>
        <v>715p</v>
      </c>
      <c r="B119" s="623" t="s">
        <v>142</v>
      </c>
      <c r="C119" s="624"/>
      <c r="D119" s="624"/>
      <c r="E119" s="624"/>
      <c r="F119" s="624"/>
      <c r="G119" s="232">
        <v>1567288.04</v>
      </c>
      <c r="H119" s="232">
        <v>2199531.1</v>
      </c>
      <c r="I119" s="232">
        <v>3194097.81</v>
      </c>
      <c r="J119" s="232">
        <v>2385711.15</v>
      </c>
      <c r="K119" s="232">
        <v>7159438.3899999997</v>
      </c>
      <c r="L119" s="232">
        <v>3263135.44</v>
      </c>
      <c r="M119" s="232">
        <v>3782335.0282840999</v>
      </c>
      <c r="N119" s="232">
        <v>3340173.0404689498</v>
      </c>
      <c r="O119" s="232">
        <v>2689732.0664406</v>
      </c>
      <c r="P119" s="232">
        <v>37215962.809770502</v>
      </c>
      <c r="Q119" s="232">
        <v>3512092.3071244601</v>
      </c>
      <c r="R119" s="232">
        <v>7138953.7303113202</v>
      </c>
      <c r="S119" s="230">
        <f t="shared" si="20"/>
        <v>77448450.912400007</v>
      </c>
      <c r="T119" s="231">
        <f t="shared" si="21"/>
        <v>1.56429914991719E-2</v>
      </c>
    </row>
    <row r="120" spans="1:20">
      <c r="A120" s="216" t="str">
        <f t="shared" si="17"/>
        <v>73p</v>
      </c>
      <c r="B120" s="623" t="s">
        <v>143</v>
      </c>
      <c r="C120" s="624"/>
      <c r="D120" s="624"/>
      <c r="E120" s="624"/>
      <c r="F120" s="624"/>
      <c r="G120" s="232">
        <v>69158.880000000005</v>
      </c>
      <c r="H120" s="232">
        <v>378338.04</v>
      </c>
      <c r="I120" s="232">
        <v>257172.98</v>
      </c>
      <c r="J120" s="232">
        <v>349238.34</v>
      </c>
      <c r="K120" s="232">
        <v>808656.23</v>
      </c>
      <c r="L120" s="232">
        <v>1298753.81</v>
      </c>
      <c r="M120" s="232">
        <v>142080.09602146101</v>
      </c>
      <c r="N120" s="232">
        <v>117083.56784272499</v>
      </c>
      <c r="O120" s="232">
        <v>723504.94882674702</v>
      </c>
      <c r="P120" s="232">
        <v>419152.39381785702</v>
      </c>
      <c r="Q120" s="232">
        <v>3373987.8037220701</v>
      </c>
      <c r="R120" s="232">
        <v>574536.91176913597</v>
      </c>
      <c r="S120" s="230">
        <f t="shared" si="20"/>
        <v>8511664.0020000003</v>
      </c>
      <c r="T120" s="231">
        <f t="shared" si="21"/>
        <v>1.71918077196526E-3</v>
      </c>
    </row>
    <row r="121" spans="1:20">
      <c r="A121" s="216" t="str">
        <f t="shared" si="17"/>
        <v>74p</v>
      </c>
      <c r="B121" s="625" t="s">
        <v>144</v>
      </c>
      <c r="C121" s="626"/>
      <c r="D121" s="626"/>
      <c r="E121" s="626"/>
      <c r="F121" s="626"/>
      <c r="G121" s="232">
        <v>13526711.25</v>
      </c>
      <c r="H121" s="232">
        <v>1001055.74</v>
      </c>
      <c r="I121" s="232">
        <v>861265.77</v>
      </c>
      <c r="J121" s="232">
        <v>627154.51</v>
      </c>
      <c r="K121" s="232">
        <v>1388870.5</v>
      </c>
      <c r="L121" s="232">
        <v>827810.06</v>
      </c>
      <c r="M121" s="232">
        <v>1487222.95806334</v>
      </c>
      <c r="N121" s="232">
        <v>1494727.7085961699</v>
      </c>
      <c r="O121" s="232">
        <v>1256927.06395571</v>
      </c>
      <c r="P121" s="232">
        <v>2914661.9432842401</v>
      </c>
      <c r="Q121" s="232">
        <v>9560814.8118033893</v>
      </c>
      <c r="R121" s="232">
        <v>9532777.68429715</v>
      </c>
      <c r="S121" s="233">
        <f t="shared" si="20"/>
        <v>44480000</v>
      </c>
      <c r="T121" s="234">
        <f t="shared" si="21"/>
        <v>8.98404362754999E-3</v>
      </c>
    </row>
    <row r="122" spans="1:20">
      <c r="A122" s="216" t="str">
        <f t="shared" si="17"/>
        <v>4p</v>
      </c>
      <c r="B122" s="617" t="s">
        <v>181</v>
      </c>
      <c r="C122" s="618"/>
      <c r="D122" s="618"/>
      <c r="E122" s="618"/>
      <c r="F122" s="618"/>
      <c r="G122" s="217">
        <f>+G124+G135+G141+SUM(G142:G146)</f>
        <v>169675887.19749999</v>
      </c>
      <c r="H122" s="217">
        <f t="shared" ref="H122:R122" si="23">+H124+H135+H141+SUM(H142:H146)</f>
        <v>163118817.50749999</v>
      </c>
      <c r="I122" s="217">
        <f t="shared" si="23"/>
        <v>195750967.64750001</v>
      </c>
      <c r="J122" s="217">
        <f t="shared" si="23"/>
        <v>172597951.91749999</v>
      </c>
      <c r="K122" s="217">
        <f t="shared" si="23"/>
        <v>167763443.14750001</v>
      </c>
      <c r="L122" s="217">
        <f t="shared" si="23"/>
        <v>158638536.14750001</v>
      </c>
      <c r="M122" s="217">
        <f t="shared" si="23"/>
        <v>173593221.774167</v>
      </c>
      <c r="N122" s="217">
        <f t="shared" si="23"/>
        <v>157395422.72416699</v>
      </c>
      <c r="O122" s="217">
        <f t="shared" si="23"/>
        <v>161208966.374167</v>
      </c>
      <c r="P122" s="217">
        <f t="shared" si="23"/>
        <v>158508019.660833</v>
      </c>
      <c r="Q122" s="217">
        <f t="shared" si="23"/>
        <v>152277719.940833</v>
      </c>
      <c r="R122" s="217">
        <f t="shared" si="23"/>
        <v>146102024.36083299</v>
      </c>
      <c r="S122" s="235">
        <f t="shared" si="20"/>
        <v>1976630978.4000001</v>
      </c>
      <c r="T122" s="236">
        <f t="shared" si="21"/>
        <v>0.39923873528580101</v>
      </c>
    </row>
    <row r="123" spans="1:20">
      <c r="A123" s="216" t="str">
        <f t="shared" si="17"/>
        <v>40p</v>
      </c>
      <c r="B123" s="657" t="s">
        <v>182</v>
      </c>
      <c r="C123" s="658"/>
      <c r="D123" s="658"/>
      <c r="E123" s="658"/>
      <c r="F123" s="658"/>
      <c r="G123" s="237">
        <f t="shared" ref="G123:R123" si="24">+G122-G142</f>
        <v>142932137.20750001</v>
      </c>
      <c r="H123" s="237">
        <f t="shared" si="24"/>
        <v>136375067.51750001</v>
      </c>
      <c r="I123" s="237">
        <f t="shared" si="24"/>
        <v>169007217.6575</v>
      </c>
      <c r="J123" s="237">
        <f t="shared" si="24"/>
        <v>145854201.92750001</v>
      </c>
      <c r="K123" s="237">
        <f t="shared" si="24"/>
        <v>141019693.1575</v>
      </c>
      <c r="L123" s="237">
        <f t="shared" si="24"/>
        <v>131894786.1575</v>
      </c>
      <c r="M123" s="237">
        <f t="shared" si="24"/>
        <v>146849471.78416699</v>
      </c>
      <c r="N123" s="237">
        <f t="shared" si="24"/>
        <v>130651672.73416699</v>
      </c>
      <c r="O123" s="237">
        <f t="shared" si="24"/>
        <v>134465216.38416699</v>
      </c>
      <c r="P123" s="237">
        <f t="shared" si="24"/>
        <v>131764269.67083301</v>
      </c>
      <c r="Q123" s="237">
        <f t="shared" si="24"/>
        <v>138033969.95083299</v>
      </c>
      <c r="R123" s="237">
        <f t="shared" si="24"/>
        <v>131858274.250833</v>
      </c>
      <c r="S123" s="238">
        <f t="shared" si="20"/>
        <v>1680705978.4000001</v>
      </c>
      <c r="T123" s="239">
        <f t="shared" si="21"/>
        <v>0.33946798190264599</v>
      </c>
    </row>
    <row r="124" spans="1:20">
      <c r="A124" s="216" t="e">
        <f>+CONCATENATE(#REF!,"p")</f>
        <v>#REF!</v>
      </c>
      <c r="B124" s="627" t="e">
        <v>#REF!</v>
      </c>
      <c r="C124" s="628"/>
      <c r="D124" s="628"/>
      <c r="E124" s="628"/>
      <c r="F124" s="628"/>
      <c r="G124" s="240">
        <f t="shared" ref="G124:R124" si="25">+SUM(G125:G134)</f>
        <v>71012418.442499995</v>
      </c>
      <c r="H124" s="240">
        <f t="shared" si="25"/>
        <v>64850080.682499997</v>
      </c>
      <c r="I124" s="240">
        <f t="shared" si="25"/>
        <v>94352135.732500002</v>
      </c>
      <c r="J124" s="240">
        <f t="shared" si="25"/>
        <v>80290960.742500007</v>
      </c>
      <c r="K124" s="240">
        <f t="shared" si="25"/>
        <v>75302081.212500006</v>
      </c>
      <c r="L124" s="240">
        <f t="shared" si="25"/>
        <v>66157575.7425</v>
      </c>
      <c r="M124" s="240">
        <f t="shared" si="25"/>
        <v>71113855.702500001</v>
      </c>
      <c r="N124" s="240">
        <f t="shared" si="25"/>
        <v>62800153.3125</v>
      </c>
      <c r="O124" s="240">
        <f t="shared" si="25"/>
        <v>66815564.902500004</v>
      </c>
      <c r="P124" s="240">
        <f t="shared" si="25"/>
        <v>62629581.782499999</v>
      </c>
      <c r="Q124" s="240">
        <f t="shared" si="25"/>
        <v>68882826.0625</v>
      </c>
      <c r="R124" s="241">
        <f t="shared" si="25"/>
        <v>62463700.292499997</v>
      </c>
      <c r="S124" s="222">
        <f t="shared" si="20"/>
        <v>846670934.61000001</v>
      </c>
      <c r="T124" s="223">
        <f t="shared" si="21"/>
        <v>0.17101008576247201</v>
      </c>
    </row>
    <row r="125" spans="1:20">
      <c r="A125" s="216" t="str">
        <f t="shared" ref="A125:A133" si="26">+CONCATENATE(A31,"p")</f>
        <v>411p</v>
      </c>
      <c r="B125" s="621" t="s">
        <v>147</v>
      </c>
      <c r="C125" s="622"/>
      <c r="D125" s="622"/>
      <c r="E125" s="622"/>
      <c r="F125" s="622"/>
      <c r="G125" s="225">
        <v>39362332.101666696</v>
      </c>
      <c r="H125" s="225">
        <v>39125646.701666698</v>
      </c>
      <c r="I125" s="225">
        <v>39113380.221666701</v>
      </c>
      <c r="J125" s="225">
        <v>39105431.161666699</v>
      </c>
      <c r="K125" s="225">
        <v>39107573.981666699</v>
      </c>
      <c r="L125" s="225">
        <v>41935580.181666702</v>
      </c>
      <c r="M125" s="225">
        <v>39107470.111666702</v>
      </c>
      <c r="N125" s="225">
        <v>39093383.891666703</v>
      </c>
      <c r="O125" s="225">
        <v>39030288.911666699</v>
      </c>
      <c r="P125" s="225">
        <v>39107584.9416667</v>
      </c>
      <c r="Q125" s="225">
        <v>39107395.9416667</v>
      </c>
      <c r="R125" s="225">
        <v>38858179.001666702</v>
      </c>
      <c r="S125" s="226">
        <f t="shared" si="20"/>
        <v>472054247.14999998</v>
      </c>
      <c r="T125" s="227">
        <f t="shared" si="21"/>
        <v>9.5345232710563499E-2</v>
      </c>
    </row>
    <row r="126" spans="1:20">
      <c r="A126" s="216" t="str">
        <f t="shared" si="26"/>
        <v>412p</v>
      </c>
      <c r="B126" s="621" t="s">
        <v>148</v>
      </c>
      <c r="C126" s="622"/>
      <c r="D126" s="622"/>
      <c r="E126" s="622"/>
      <c r="F126" s="622"/>
      <c r="G126" s="225">
        <v>1281057.9508333299</v>
      </c>
      <c r="H126" s="225">
        <v>1323983.3608333301</v>
      </c>
      <c r="I126" s="225">
        <v>1260740.28083333</v>
      </c>
      <c r="J126" s="225">
        <v>1247473.6108333301</v>
      </c>
      <c r="K126" s="225">
        <v>1248015.29083333</v>
      </c>
      <c r="L126" s="225">
        <v>1249948.9408333299</v>
      </c>
      <c r="M126" s="225">
        <v>1249158.6208333301</v>
      </c>
      <c r="N126" s="225">
        <v>1249158.6208333301</v>
      </c>
      <c r="O126" s="225">
        <v>1249658.6108333301</v>
      </c>
      <c r="P126" s="225">
        <v>1239658.6108333301</v>
      </c>
      <c r="Q126" s="225">
        <v>1238097.24083333</v>
      </c>
      <c r="R126" s="225">
        <v>1240174.31083333</v>
      </c>
      <c r="S126" s="226">
        <f t="shared" si="20"/>
        <v>15077125.449999999</v>
      </c>
      <c r="T126" s="227">
        <f t="shared" si="21"/>
        <v>3.0452687234901999E-3</v>
      </c>
    </row>
    <row r="127" spans="1:20">
      <c r="A127" s="216" t="str">
        <f t="shared" si="26"/>
        <v>413p</v>
      </c>
      <c r="B127" s="621" t="s">
        <v>149</v>
      </c>
      <c r="C127" s="622"/>
      <c r="D127" s="622"/>
      <c r="E127" s="622"/>
      <c r="F127" s="622"/>
      <c r="G127" s="225">
        <v>3067786.4358333298</v>
      </c>
      <c r="H127" s="225">
        <v>3019826.0658333302</v>
      </c>
      <c r="I127" s="225">
        <v>3058309.88583333</v>
      </c>
      <c r="J127" s="225">
        <v>3046755.8058333299</v>
      </c>
      <c r="K127" s="225">
        <v>3057105.8058333299</v>
      </c>
      <c r="L127" s="225">
        <v>3056755.8058333299</v>
      </c>
      <c r="M127" s="225">
        <v>3059180.8058333299</v>
      </c>
      <c r="N127" s="225">
        <v>3059180.8058333299</v>
      </c>
      <c r="O127" s="225">
        <v>3059040.8058333299</v>
      </c>
      <c r="P127" s="225">
        <v>3063161.8058333299</v>
      </c>
      <c r="Q127" s="225">
        <v>3060771.8058333299</v>
      </c>
      <c r="R127" s="225">
        <v>3044951.8258333299</v>
      </c>
      <c r="S127" s="226">
        <f t="shared" si="20"/>
        <v>36652827.659999996</v>
      </c>
      <c r="T127" s="227">
        <f t="shared" si="21"/>
        <v>7.4031160694809101E-3</v>
      </c>
    </row>
    <row r="128" spans="1:20">
      <c r="A128" s="216" t="str">
        <f t="shared" si="26"/>
        <v>414p</v>
      </c>
      <c r="B128" s="621" t="s">
        <v>150</v>
      </c>
      <c r="C128" s="622"/>
      <c r="D128" s="622"/>
      <c r="E128" s="622"/>
      <c r="F128" s="622"/>
      <c r="G128" s="225">
        <v>6120514.5875000004</v>
      </c>
      <c r="H128" s="225">
        <v>5971668.0075000003</v>
      </c>
      <c r="I128" s="225">
        <v>5177760.0175000001</v>
      </c>
      <c r="J128" s="225">
        <v>5087042.1275000004</v>
      </c>
      <c r="K128" s="225">
        <v>5141875.5274999999</v>
      </c>
      <c r="L128" s="225">
        <v>5197534.4974999996</v>
      </c>
      <c r="M128" s="225">
        <v>5059087.2374999998</v>
      </c>
      <c r="N128" s="225">
        <v>5071091.2374999998</v>
      </c>
      <c r="O128" s="225">
        <v>5175886.7374999998</v>
      </c>
      <c r="P128" s="225">
        <v>5062253.3274999997</v>
      </c>
      <c r="Q128" s="225">
        <v>5061881.6574999997</v>
      </c>
      <c r="R128" s="225">
        <v>5000451.0075000003</v>
      </c>
      <c r="S128" s="226">
        <f t="shared" si="20"/>
        <v>63127045.969999999</v>
      </c>
      <c r="T128" s="227">
        <f t="shared" si="21"/>
        <v>1.2750362748939601E-2</v>
      </c>
    </row>
    <row r="129" spans="1:20">
      <c r="A129" s="216" t="str">
        <f t="shared" si="26"/>
        <v>415p</v>
      </c>
      <c r="B129" s="621" t="s">
        <v>151</v>
      </c>
      <c r="C129" s="622"/>
      <c r="D129" s="622"/>
      <c r="E129" s="622"/>
      <c r="F129" s="622"/>
      <c r="G129" s="225">
        <v>1931829.4616666699</v>
      </c>
      <c r="H129" s="225">
        <v>1929704.3816666701</v>
      </c>
      <c r="I129" s="225">
        <v>1921162.7116666699</v>
      </c>
      <c r="J129" s="225">
        <v>1920662.7116666699</v>
      </c>
      <c r="K129" s="225">
        <v>1927678.7016666699</v>
      </c>
      <c r="L129" s="225">
        <v>1927612.7316666699</v>
      </c>
      <c r="M129" s="225">
        <v>1934953.7116666699</v>
      </c>
      <c r="N129" s="225">
        <v>1934887.7116666699</v>
      </c>
      <c r="O129" s="225">
        <v>1926953.7016666699</v>
      </c>
      <c r="P129" s="225">
        <v>1926887.7016666699</v>
      </c>
      <c r="Q129" s="225">
        <v>1926953.7016666699</v>
      </c>
      <c r="R129" s="225">
        <v>1908616.3716666701</v>
      </c>
      <c r="S129" s="226">
        <f t="shared" si="20"/>
        <v>23117903.600000001</v>
      </c>
      <c r="T129" s="227">
        <f t="shared" si="21"/>
        <v>4.6693402544940397E-3</v>
      </c>
    </row>
    <row r="130" spans="1:20">
      <c r="A130" s="216" t="str">
        <f t="shared" si="26"/>
        <v>416p</v>
      </c>
      <c r="B130" s="621" t="s">
        <v>152</v>
      </c>
      <c r="C130" s="622"/>
      <c r="D130" s="622"/>
      <c r="E130" s="622"/>
      <c r="F130" s="622"/>
      <c r="G130" s="225">
        <v>7980725</v>
      </c>
      <c r="H130" s="225">
        <v>986719.96000000101</v>
      </c>
      <c r="I130" s="225">
        <v>28101499.100000001</v>
      </c>
      <c r="J130" s="225">
        <v>18499732.100000001</v>
      </c>
      <c r="K130" s="225">
        <v>14045836.27</v>
      </c>
      <c r="L130" s="225">
        <v>1973802.66</v>
      </c>
      <c r="M130" s="225">
        <v>8764475.7899999991</v>
      </c>
      <c r="N130" s="225">
        <v>1297206.1399999999</v>
      </c>
      <c r="O130" s="225">
        <v>3140325.8</v>
      </c>
      <c r="P130" s="225">
        <v>1321292.08</v>
      </c>
      <c r="Q130" s="225">
        <v>7803737.3300000001</v>
      </c>
      <c r="R130" s="225">
        <v>1837347.77</v>
      </c>
      <c r="S130" s="226">
        <f t="shared" si="20"/>
        <v>95752700</v>
      </c>
      <c r="T130" s="227">
        <f t="shared" si="21"/>
        <v>1.9340072712583301E-2</v>
      </c>
    </row>
    <row r="131" spans="1:20">
      <c r="A131" s="216" t="str">
        <f t="shared" si="26"/>
        <v>417p</v>
      </c>
      <c r="B131" s="621" t="s">
        <v>153</v>
      </c>
      <c r="C131" s="622"/>
      <c r="D131" s="622"/>
      <c r="E131" s="622"/>
      <c r="F131" s="622"/>
      <c r="G131" s="225">
        <v>832820.39</v>
      </c>
      <c r="H131" s="225">
        <v>780840.39</v>
      </c>
      <c r="I131" s="225">
        <v>793807.47</v>
      </c>
      <c r="J131" s="225">
        <v>776070.39</v>
      </c>
      <c r="K131" s="225">
        <v>793070.39</v>
      </c>
      <c r="L131" s="225">
        <v>826070.39</v>
      </c>
      <c r="M131" s="225">
        <v>846570.39</v>
      </c>
      <c r="N131" s="225">
        <v>846570.39</v>
      </c>
      <c r="O131" s="225">
        <v>826570.39</v>
      </c>
      <c r="P131" s="225">
        <v>826570.39</v>
      </c>
      <c r="Q131" s="225">
        <v>826570.39</v>
      </c>
      <c r="R131" s="225">
        <v>845570.39</v>
      </c>
      <c r="S131" s="226">
        <f t="shared" si="20"/>
        <v>9821101.7599999998</v>
      </c>
      <c r="T131" s="227">
        <f t="shared" si="21"/>
        <v>1.9836602221773398E-3</v>
      </c>
    </row>
    <row r="132" spans="1:20">
      <c r="A132" s="216" t="str">
        <f t="shared" si="26"/>
        <v>418p</v>
      </c>
      <c r="B132" s="621" t="s">
        <v>154</v>
      </c>
      <c r="C132" s="622"/>
      <c r="D132" s="622"/>
      <c r="E132" s="622"/>
      <c r="F132" s="622"/>
      <c r="G132" s="225">
        <v>2149037.4966666698</v>
      </c>
      <c r="H132" s="225">
        <v>2320829.9566666698</v>
      </c>
      <c r="I132" s="225">
        <v>4834564.4966666698</v>
      </c>
      <c r="J132" s="225">
        <v>2443787.4966666698</v>
      </c>
      <c r="K132" s="225">
        <v>2190037.4966666698</v>
      </c>
      <c r="L132" s="225">
        <v>1990037.4966666701</v>
      </c>
      <c r="M132" s="225">
        <v>1956704.15666667</v>
      </c>
      <c r="N132" s="225">
        <v>2253357.69666667</v>
      </c>
      <c r="O132" s="225">
        <v>4447481.15666667</v>
      </c>
      <c r="P132" s="225">
        <v>2156704.15666667</v>
      </c>
      <c r="Q132" s="225">
        <v>2056704.19666667</v>
      </c>
      <c r="R132" s="225">
        <v>2015354.19666667</v>
      </c>
      <c r="S132" s="226">
        <f t="shared" si="20"/>
        <v>30814600</v>
      </c>
      <c r="T132" s="227">
        <f t="shared" si="21"/>
        <v>6.2239143607352001E-3</v>
      </c>
    </row>
    <row r="133" spans="1:20">
      <c r="A133" s="216" t="str">
        <f t="shared" si="26"/>
        <v>419p</v>
      </c>
      <c r="B133" s="621" t="s">
        <v>155</v>
      </c>
      <c r="C133" s="622"/>
      <c r="D133" s="622"/>
      <c r="E133" s="622"/>
      <c r="F133" s="622"/>
      <c r="G133" s="225">
        <v>3473855.8708333299</v>
      </c>
      <c r="H133" s="225">
        <v>4119817.7908333298</v>
      </c>
      <c r="I133" s="225">
        <v>5047234.1108333301</v>
      </c>
      <c r="J133" s="225">
        <v>3132271.9408333302</v>
      </c>
      <c r="K133" s="225">
        <v>3070265.2508333302</v>
      </c>
      <c r="L133" s="225">
        <v>3309652.5608333298</v>
      </c>
      <c r="M133" s="225">
        <v>4122049.5508333398</v>
      </c>
      <c r="N133" s="225">
        <v>3027649.6708333301</v>
      </c>
      <c r="O133" s="225">
        <v>2986649.6408333299</v>
      </c>
      <c r="P133" s="225">
        <v>2977759.6208333299</v>
      </c>
      <c r="Q133" s="225">
        <v>3014504.6508333301</v>
      </c>
      <c r="R133" s="225">
        <v>2914612.74083333</v>
      </c>
      <c r="S133" s="226">
        <f t="shared" si="20"/>
        <v>41196323.399999999</v>
      </c>
      <c r="T133" s="227">
        <f t="shared" si="21"/>
        <v>8.3208086043223602E-3</v>
      </c>
    </row>
    <row r="134" spans="1:20">
      <c r="A134" s="216" t="e">
        <f>+CONCATENATE(#REF!,"p")</f>
        <v>#REF!</v>
      </c>
      <c r="B134" s="621" t="e">
        <v>#REF!</v>
      </c>
      <c r="C134" s="622"/>
      <c r="D134" s="622"/>
      <c r="E134" s="622"/>
      <c r="F134" s="622"/>
      <c r="G134" s="225">
        <v>4812459.1475</v>
      </c>
      <c r="H134" s="225">
        <v>5271044.0674999999</v>
      </c>
      <c r="I134" s="225">
        <v>5043677.4375</v>
      </c>
      <c r="J134" s="225">
        <v>5031733.3975</v>
      </c>
      <c r="K134" s="225">
        <v>4720622.4974999996</v>
      </c>
      <c r="L134" s="225">
        <v>4690580.4775</v>
      </c>
      <c r="M134" s="225">
        <v>5014205.3274999997</v>
      </c>
      <c r="N134" s="225">
        <v>4967667.1475</v>
      </c>
      <c r="O134" s="225">
        <v>4972709.1475</v>
      </c>
      <c r="P134" s="225">
        <v>4947709.1475</v>
      </c>
      <c r="Q134" s="225">
        <v>4786209.1475</v>
      </c>
      <c r="R134" s="225">
        <v>4798442.6775000002</v>
      </c>
      <c r="S134" s="226">
        <f t="shared" si="20"/>
        <v>59057059.619999997</v>
      </c>
      <c r="T134" s="227">
        <f t="shared" si="21"/>
        <v>1.1928309355685699E-2</v>
      </c>
    </row>
    <row r="135" spans="1:20">
      <c r="A135" s="216" t="str">
        <f t="shared" ref="A135:A142" si="27">+CONCATENATE(A40,"p")</f>
        <v>42p</v>
      </c>
      <c r="B135" s="649" t="s">
        <v>156</v>
      </c>
      <c r="C135" s="650"/>
      <c r="D135" s="650"/>
      <c r="E135" s="650"/>
      <c r="F135" s="650"/>
      <c r="G135" s="242">
        <f t="shared" ref="G135:R135" si="28">+SUM(G136:G140)</f>
        <v>46204849.909999996</v>
      </c>
      <c r="H135" s="242">
        <f t="shared" si="28"/>
        <v>46206149.810000002</v>
      </c>
      <c r="I135" s="242">
        <f t="shared" si="28"/>
        <v>46206149.810000002</v>
      </c>
      <c r="J135" s="242">
        <f t="shared" si="28"/>
        <v>46206149.810000002</v>
      </c>
      <c r="K135" s="242">
        <f t="shared" si="28"/>
        <v>46206149.810000002</v>
      </c>
      <c r="L135" s="242">
        <f t="shared" si="28"/>
        <v>46206149.810000002</v>
      </c>
      <c r="M135" s="242">
        <f t="shared" si="28"/>
        <v>46206149.810000002</v>
      </c>
      <c r="N135" s="242">
        <f t="shared" si="28"/>
        <v>46206149.810000002</v>
      </c>
      <c r="O135" s="242">
        <f t="shared" si="28"/>
        <v>46206149.810000002</v>
      </c>
      <c r="P135" s="242">
        <f t="shared" si="28"/>
        <v>47329512.009999998</v>
      </c>
      <c r="Q135" s="242">
        <f t="shared" si="28"/>
        <v>47329512.009999998</v>
      </c>
      <c r="R135" s="242">
        <f t="shared" si="28"/>
        <v>47329512.009999998</v>
      </c>
      <c r="S135" s="230">
        <f t="shared" si="20"/>
        <v>557842584.41999996</v>
      </c>
      <c r="T135" s="231">
        <f t="shared" si="21"/>
        <v>0.112672709436477</v>
      </c>
    </row>
    <row r="136" spans="1:20">
      <c r="A136" s="216" t="str">
        <f t="shared" si="27"/>
        <v>421p</v>
      </c>
      <c r="B136" s="621" t="s">
        <v>157</v>
      </c>
      <c r="C136" s="622"/>
      <c r="D136" s="622"/>
      <c r="E136" s="622"/>
      <c r="F136" s="622"/>
      <c r="G136" s="225">
        <v>6747975</v>
      </c>
      <c r="H136" s="225">
        <v>6749275</v>
      </c>
      <c r="I136" s="225">
        <v>6749275</v>
      </c>
      <c r="J136" s="225">
        <v>6749275</v>
      </c>
      <c r="K136" s="225">
        <v>6749275</v>
      </c>
      <c r="L136" s="225">
        <v>6749275</v>
      </c>
      <c r="M136" s="225">
        <v>6749275</v>
      </c>
      <c r="N136" s="225">
        <v>6749275</v>
      </c>
      <c r="O136" s="225">
        <v>6749275</v>
      </c>
      <c r="P136" s="225">
        <v>6749275</v>
      </c>
      <c r="Q136" s="225">
        <v>6749275</v>
      </c>
      <c r="R136" s="225">
        <v>6749275</v>
      </c>
      <c r="S136" s="226">
        <f t="shared" si="20"/>
        <v>80990000</v>
      </c>
      <c r="T136" s="227">
        <f t="shared" si="21"/>
        <v>1.6358311452231902E-2</v>
      </c>
    </row>
    <row r="137" spans="1:20">
      <c r="A137" s="216" t="str">
        <f t="shared" si="27"/>
        <v>422p</v>
      </c>
      <c r="B137" s="621" t="s">
        <v>158</v>
      </c>
      <c r="C137" s="622"/>
      <c r="D137" s="622"/>
      <c r="E137" s="622"/>
      <c r="F137" s="622"/>
      <c r="G137" s="225">
        <v>1236031.8</v>
      </c>
      <c r="H137" s="225">
        <v>1236031.8700000001</v>
      </c>
      <c r="I137" s="225">
        <v>1236031.8700000001</v>
      </c>
      <c r="J137" s="225">
        <v>1236031.8700000001</v>
      </c>
      <c r="K137" s="225">
        <v>1236031.8700000001</v>
      </c>
      <c r="L137" s="225">
        <v>1236031.8700000001</v>
      </c>
      <c r="M137" s="225">
        <v>1236031.8700000001</v>
      </c>
      <c r="N137" s="225">
        <v>1236031.8700000001</v>
      </c>
      <c r="O137" s="225">
        <v>1236031.8700000001</v>
      </c>
      <c r="P137" s="225">
        <v>2359394.0699999998</v>
      </c>
      <c r="Q137" s="225">
        <v>2359394.0699999998</v>
      </c>
      <c r="R137" s="225">
        <v>2359394.0699999998</v>
      </c>
      <c r="S137" s="226">
        <f t="shared" si="20"/>
        <v>18202468.969999999</v>
      </c>
      <c r="T137" s="227">
        <f t="shared" si="21"/>
        <v>3.6765237265198899E-3</v>
      </c>
    </row>
    <row r="138" spans="1:20">
      <c r="A138" s="216" t="str">
        <f t="shared" si="27"/>
        <v>423p</v>
      </c>
      <c r="B138" s="621" t="s">
        <v>159</v>
      </c>
      <c r="C138" s="622"/>
      <c r="D138" s="622"/>
      <c r="E138" s="622"/>
      <c r="F138" s="622"/>
      <c r="G138" s="225">
        <v>35752084.619999997</v>
      </c>
      <c r="H138" s="225">
        <v>35752084.530000001</v>
      </c>
      <c r="I138" s="225">
        <v>35752084.530000001</v>
      </c>
      <c r="J138" s="225">
        <v>35752084.530000001</v>
      </c>
      <c r="K138" s="225">
        <v>35752084.530000001</v>
      </c>
      <c r="L138" s="225">
        <v>35752084.530000001</v>
      </c>
      <c r="M138" s="225">
        <v>35752084.530000001</v>
      </c>
      <c r="N138" s="225">
        <v>35752084.530000001</v>
      </c>
      <c r="O138" s="225">
        <v>35752084.530000001</v>
      </c>
      <c r="P138" s="225">
        <v>35752084.530000001</v>
      </c>
      <c r="Q138" s="225">
        <v>35752084.530000001</v>
      </c>
      <c r="R138" s="225">
        <v>35752084.530000001</v>
      </c>
      <c r="S138" s="226">
        <f t="shared" si="20"/>
        <v>429025014.44999999</v>
      </c>
      <c r="T138" s="227">
        <f t="shared" si="21"/>
        <v>8.6654214189052697E-2</v>
      </c>
    </row>
    <row r="139" spans="1:20">
      <c r="A139" s="216" t="str">
        <f t="shared" si="27"/>
        <v>424p</v>
      </c>
      <c r="B139" s="621" t="s">
        <v>160</v>
      </c>
      <c r="C139" s="622"/>
      <c r="D139" s="622"/>
      <c r="E139" s="622"/>
      <c r="F139" s="622"/>
      <c r="G139" s="225">
        <v>1583341.74</v>
      </c>
      <c r="H139" s="225">
        <v>1583341.66</v>
      </c>
      <c r="I139" s="225">
        <v>1583341.66</v>
      </c>
      <c r="J139" s="225">
        <v>1583341.66</v>
      </c>
      <c r="K139" s="225">
        <v>1583341.66</v>
      </c>
      <c r="L139" s="225">
        <v>1583341.66</v>
      </c>
      <c r="M139" s="225">
        <v>1583341.66</v>
      </c>
      <c r="N139" s="225">
        <v>1583341.66</v>
      </c>
      <c r="O139" s="225">
        <v>1583341.66</v>
      </c>
      <c r="P139" s="225">
        <v>1583341.66</v>
      </c>
      <c r="Q139" s="225">
        <v>1583341.66</v>
      </c>
      <c r="R139" s="225">
        <v>1583341.66</v>
      </c>
      <c r="S139" s="226">
        <f t="shared" si="20"/>
        <v>19000100</v>
      </c>
      <c r="T139" s="227">
        <f t="shared" si="21"/>
        <v>3.8376287618662902E-3</v>
      </c>
    </row>
    <row r="140" spans="1:20">
      <c r="A140" s="216" t="str">
        <f t="shared" si="27"/>
        <v>425p</v>
      </c>
      <c r="B140" s="621" t="s">
        <v>161</v>
      </c>
      <c r="C140" s="622"/>
      <c r="D140" s="622"/>
      <c r="E140" s="622"/>
      <c r="F140" s="622"/>
      <c r="G140" s="225">
        <v>885416.75</v>
      </c>
      <c r="H140" s="225">
        <v>885416.75</v>
      </c>
      <c r="I140" s="225">
        <v>885416.75</v>
      </c>
      <c r="J140" s="225">
        <v>885416.75</v>
      </c>
      <c r="K140" s="225">
        <v>885416.75</v>
      </c>
      <c r="L140" s="225">
        <v>885416.75</v>
      </c>
      <c r="M140" s="225">
        <v>885416.75</v>
      </c>
      <c r="N140" s="225">
        <v>885416.75</v>
      </c>
      <c r="O140" s="225">
        <v>885416.75</v>
      </c>
      <c r="P140" s="225">
        <v>885416.75</v>
      </c>
      <c r="Q140" s="225">
        <v>885416.75</v>
      </c>
      <c r="R140" s="225">
        <v>885416.75</v>
      </c>
      <c r="S140" s="226">
        <f t="shared" si="20"/>
        <v>10625001</v>
      </c>
      <c r="T140" s="227">
        <f t="shared" si="21"/>
        <v>2.1460313068067099E-3</v>
      </c>
    </row>
    <row r="141" spans="1:20">
      <c r="A141" s="216" t="str">
        <f t="shared" si="27"/>
        <v>43p</v>
      </c>
      <c r="B141" s="629" t="s">
        <v>162</v>
      </c>
      <c r="C141" s="630"/>
      <c r="D141" s="630"/>
      <c r="E141" s="630"/>
      <c r="F141" s="630"/>
      <c r="G141" s="232">
        <v>20338750.958333299</v>
      </c>
      <c r="H141" s="232">
        <v>22018439.158333302</v>
      </c>
      <c r="I141" s="232">
        <v>17975691.918333299</v>
      </c>
      <c r="J141" s="232">
        <v>15972358.598333299</v>
      </c>
      <c r="K141" s="232">
        <v>15993608.598333299</v>
      </c>
      <c r="L141" s="232">
        <v>16020602.668333299</v>
      </c>
      <c r="M141" s="232">
        <v>22848909.594999999</v>
      </c>
      <c r="N141" s="232">
        <v>17972208.524999999</v>
      </c>
      <c r="O141" s="232">
        <v>17992208.524999999</v>
      </c>
      <c r="P141" s="232">
        <v>17923875.184999999</v>
      </c>
      <c r="Q141" s="232">
        <v>17866375.204999998</v>
      </c>
      <c r="R141" s="232">
        <v>18024758.024999999</v>
      </c>
      <c r="S141" s="230">
        <f t="shared" si="20"/>
        <v>220947786.96000001</v>
      </c>
      <c r="T141" s="231">
        <f t="shared" si="21"/>
        <v>4.4626901022015802E-2</v>
      </c>
    </row>
    <row r="142" spans="1:20">
      <c r="A142" s="216" t="str">
        <f t="shared" si="27"/>
        <v>44p</v>
      </c>
      <c r="B142" s="629" t="s">
        <v>183</v>
      </c>
      <c r="C142" s="630"/>
      <c r="D142" s="630"/>
      <c r="E142" s="630"/>
      <c r="F142" s="630"/>
      <c r="G142" s="232">
        <v>26743749.989999998</v>
      </c>
      <c r="H142" s="232">
        <v>26743749.989999998</v>
      </c>
      <c r="I142" s="232">
        <v>26743749.989999998</v>
      </c>
      <c r="J142" s="232">
        <v>26743749.989999998</v>
      </c>
      <c r="K142" s="232">
        <v>26743749.989999998</v>
      </c>
      <c r="L142" s="232">
        <v>26743749.989999998</v>
      </c>
      <c r="M142" s="232">
        <v>26743749.989999998</v>
      </c>
      <c r="N142" s="232">
        <v>26743749.989999998</v>
      </c>
      <c r="O142" s="232">
        <v>26743749.989999998</v>
      </c>
      <c r="P142" s="232">
        <v>26743749.989999998</v>
      </c>
      <c r="Q142" s="232">
        <v>14243749.99</v>
      </c>
      <c r="R142" s="232">
        <v>14243750.109999999</v>
      </c>
      <c r="S142" s="230">
        <f t="shared" si="20"/>
        <v>295925000</v>
      </c>
      <c r="T142" s="231">
        <f t="shared" si="21"/>
        <v>5.97707533831549E-2</v>
      </c>
    </row>
    <row r="143" spans="1:20">
      <c r="A143" s="216" t="str">
        <f t="shared" ref="A143:A146" si="29">+CONCATENATE(A48,"p")</f>
        <v>451p</v>
      </c>
      <c r="B143" s="631" t="s">
        <v>22</v>
      </c>
      <c r="C143" s="632"/>
      <c r="D143" s="632"/>
      <c r="E143" s="632"/>
      <c r="F143" s="632"/>
      <c r="G143" s="225">
        <v>190000.08333333299</v>
      </c>
      <c r="H143" s="225">
        <v>190000.08333333299</v>
      </c>
      <c r="I143" s="225">
        <v>190000.08333333299</v>
      </c>
      <c r="J143" s="225">
        <v>190000.08333333299</v>
      </c>
      <c r="K143" s="225">
        <v>190000.08333333299</v>
      </c>
      <c r="L143" s="225">
        <v>190000.08333333299</v>
      </c>
      <c r="M143" s="225">
        <v>190000.08333333299</v>
      </c>
      <c r="N143" s="225">
        <v>190000.08333333299</v>
      </c>
      <c r="O143" s="225">
        <v>190000.08333333299</v>
      </c>
      <c r="P143" s="225">
        <v>190000.08333333299</v>
      </c>
      <c r="Q143" s="225">
        <v>190000.08333333299</v>
      </c>
      <c r="R143" s="225">
        <v>190000.08333333299</v>
      </c>
      <c r="S143" s="226">
        <f t="shared" si="20"/>
        <v>2280001</v>
      </c>
      <c r="T143" s="227">
        <f t="shared" si="21"/>
        <v>4.6051322965057602E-4</v>
      </c>
    </row>
    <row r="144" spans="1:20">
      <c r="A144" s="216" t="str">
        <f t="shared" si="29"/>
        <v>47p</v>
      </c>
      <c r="B144" s="631" t="s">
        <v>164</v>
      </c>
      <c r="C144" s="632"/>
      <c r="D144" s="632"/>
      <c r="E144" s="632"/>
      <c r="F144" s="632"/>
      <c r="G144" s="225">
        <v>1650583.33333333</v>
      </c>
      <c r="H144" s="225">
        <v>1843583.33333333</v>
      </c>
      <c r="I144" s="225">
        <v>1650583.33333333</v>
      </c>
      <c r="J144" s="225">
        <v>1650583.33333333</v>
      </c>
      <c r="K144" s="225">
        <v>1650583.33333333</v>
      </c>
      <c r="L144" s="225">
        <v>1650583.33333333</v>
      </c>
      <c r="M144" s="225">
        <v>4650583.3333333302</v>
      </c>
      <c r="N144" s="225">
        <v>1650583.33333333</v>
      </c>
      <c r="O144" s="225">
        <v>1650583.33333333</v>
      </c>
      <c r="P144" s="225">
        <v>2317250</v>
      </c>
      <c r="Q144" s="225">
        <v>2317250</v>
      </c>
      <c r="R144" s="225">
        <v>2317250</v>
      </c>
      <c r="S144" s="226">
        <f t="shared" si="20"/>
        <v>25000000</v>
      </c>
      <c r="T144" s="227">
        <f t="shared" si="21"/>
        <v>5.04948495253484E-3</v>
      </c>
    </row>
    <row r="145" spans="1:20">
      <c r="A145" s="216" t="str">
        <f t="shared" si="29"/>
        <v>462p</v>
      </c>
      <c r="B145" s="631" t="s">
        <v>165</v>
      </c>
      <c r="C145" s="632"/>
      <c r="D145" s="632"/>
      <c r="E145" s="632"/>
      <c r="F145" s="632"/>
      <c r="G145" s="225">
        <v>2253720.0299999998</v>
      </c>
      <c r="H145" s="225">
        <v>0</v>
      </c>
      <c r="I145" s="225">
        <v>7180952.3799999999</v>
      </c>
      <c r="J145" s="225">
        <v>0</v>
      </c>
      <c r="K145" s="225">
        <v>0</v>
      </c>
      <c r="L145" s="225">
        <v>0</v>
      </c>
      <c r="M145" s="225">
        <v>0</v>
      </c>
      <c r="N145" s="225">
        <v>0</v>
      </c>
      <c r="O145" s="225">
        <v>0</v>
      </c>
      <c r="P145" s="225">
        <v>0</v>
      </c>
      <c r="Q145" s="225">
        <v>0</v>
      </c>
      <c r="R145" s="225">
        <v>0</v>
      </c>
      <c r="S145" s="226">
        <f t="shared" si="20"/>
        <v>9434672.4100000001</v>
      </c>
      <c r="T145" s="227">
        <f t="shared" si="21"/>
        <v>1.9056094546556299E-3</v>
      </c>
    </row>
    <row r="146" spans="1:20">
      <c r="A146" s="247" t="str">
        <f t="shared" si="29"/>
        <v>4630p</v>
      </c>
      <c r="B146" s="631" t="s">
        <v>184</v>
      </c>
      <c r="C146" s="632"/>
      <c r="D146" s="632"/>
      <c r="E146" s="632"/>
      <c r="F146" s="632"/>
      <c r="G146" s="253">
        <v>1281814.45</v>
      </c>
      <c r="H146" s="253">
        <v>1266814.45</v>
      </c>
      <c r="I146" s="253">
        <v>1451704.4</v>
      </c>
      <c r="J146" s="253">
        <v>1544149.36</v>
      </c>
      <c r="K146" s="253">
        <v>1677270.12</v>
      </c>
      <c r="L146" s="253">
        <v>1669874.52</v>
      </c>
      <c r="M146" s="253">
        <v>1839973.26</v>
      </c>
      <c r="N146" s="253">
        <v>1832577.67</v>
      </c>
      <c r="O146" s="253">
        <v>1610709.73</v>
      </c>
      <c r="P146" s="253">
        <v>1374050.61</v>
      </c>
      <c r="Q146" s="253">
        <v>1448006.59</v>
      </c>
      <c r="R146" s="253">
        <v>1533053.84</v>
      </c>
      <c r="S146" s="254">
        <f t="shared" si="20"/>
        <v>18529999</v>
      </c>
      <c r="T146" s="255">
        <f t="shared" si="21"/>
        <v>3.7426780448394301E-3</v>
      </c>
    </row>
    <row r="147" spans="1:20">
      <c r="A147" s="216"/>
      <c r="B147" s="659" t="s">
        <v>185</v>
      </c>
      <c r="C147" s="660"/>
      <c r="D147" s="660"/>
      <c r="E147" s="660"/>
      <c r="F147" s="660"/>
      <c r="G147" s="225">
        <v>0</v>
      </c>
      <c r="H147" s="225">
        <v>0</v>
      </c>
      <c r="I147" s="225">
        <v>0</v>
      </c>
      <c r="J147" s="225">
        <v>0</v>
      </c>
      <c r="K147" s="225">
        <v>0</v>
      </c>
      <c r="L147" s="225">
        <v>0</v>
      </c>
      <c r="M147" s="225">
        <v>0</v>
      </c>
      <c r="N147" s="225">
        <v>0</v>
      </c>
      <c r="O147" s="225">
        <v>0</v>
      </c>
      <c r="P147" s="225">
        <v>0</v>
      </c>
      <c r="Q147" s="225">
        <v>0</v>
      </c>
      <c r="R147" s="225">
        <v>0</v>
      </c>
      <c r="S147" s="184">
        <f>SUM(G147:R147)</f>
        <v>0</v>
      </c>
      <c r="T147" s="185">
        <f t="shared" si="21"/>
        <v>0</v>
      </c>
    </row>
    <row r="148" spans="1:20">
      <c r="A148" s="247" t="str">
        <f>+CONCATENATE(A53,"p")</f>
        <v>1000p</v>
      </c>
      <c r="B148" s="645" t="s">
        <v>168</v>
      </c>
      <c r="C148" s="646"/>
      <c r="D148" s="646"/>
      <c r="E148" s="646"/>
      <c r="F148" s="646"/>
      <c r="G148" s="217">
        <f t="shared" ref="G148:R148" si="30">+G103-G122</f>
        <v>-62417951.607500002</v>
      </c>
      <c r="H148" s="217">
        <f t="shared" si="30"/>
        <v>-46574191.557499997</v>
      </c>
      <c r="I148" s="217">
        <f t="shared" si="30"/>
        <v>-48206287.017499998</v>
      </c>
      <c r="J148" s="217">
        <f t="shared" si="30"/>
        <v>-7552535.5874999799</v>
      </c>
      <c r="K148" s="217">
        <f t="shared" si="30"/>
        <v>-23536603.497499999</v>
      </c>
      <c r="L148" s="217">
        <f t="shared" si="30"/>
        <v>-15244934.6675</v>
      </c>
      <c r="M148" s="217">
        <f t="shared" si="30"/>
        <v>-9956542.8029392101</v>
      </c>
      <c r="N148" s="217">
        <f t="shared" si="30"/>
        <v>7106786.33056679</v>
      </c>
      <c r="O148" s="217">
        <f t="shared" si="30"/>
        <v>-9808009.6425497495</v>
      </c>
      <c r="P148" s="217">
        <f t="shared" si="30"/>
        <v>29894513.576703802</v>
      </c>
      <c r="Q148" s="217">
        <f t="shared" si="30"/>
        <v>-3563061.4788611201</v>
      </c>
      <c r="R148" s="217">
        <f t="shared" si="30"/>
        <v>47260753.315640002</v>
      </c>
      <c r="S148" s="248">
        <f t="shared" si="20"/>
        <v>-142598064.636439</v>
      </c>
      <c r="T148" s="249">
        <f t="shared" si="21"/>
        <v>-2.8801871265691701E-2</v>
      </c>
    </row>
    <row r="149" spans="1:20">
      <c r="A149" s="247" t="str">
        <f>+CONCATENATE(A54,"p")</f>
        <v>1001p</v>
      </c>
      <c r="B149" s="647" t="s">
        <v>186</v>
      </c>
      <c r="C149" s="648"/>
      <c r="D149" s="648"/>
      <c r="E149" s="648"/>
      <c r="F149" s="648"/>
      <c r="G149" s="250">
        <f t="shared" ref="G149:R149" si="31">+G148+G130</f>
        <v>-54437226.607500002</v>
      </c>
      <c r="H149" s="250">
        <f t="shared" si="31"/>
        <v>-45587471.597499996</v>
      </c>
      <c r="I149" s="250">
        <f t="shared" si="31"/>
        <v>-20104787.9175</v>
      </c>
      <c r="J149" s="250">
        <f t="shared" si="31"/>
        <v>10947196.512499999</v>
      </c>
      <c r="K149" s="250">
        <f t="shared" si="31"/>
        <v>-9490767.2275000308</v>
      </c>
      <c r="L149" s="250">
        <f t="shared" si="31"/>
        <v>-13271132.0075</v>
      </c>
      <c r="M149" s="250">
        <f t="shared" si="31"/>
        <v>-1192067.01293921</v>
      </c>
      <c r="N149" s="250">
        <f t="shared" si="31"/>
        <v>8403992.4705667906</v>
      </c>
      <c r="O149" s="250">
        <f t="shared" si="31"/>
        <v>-6667683.8425497497</v>
      </c>
      <c r="P149" s="250">
        <f t="shared" si="31"/>
        <v>31215805.6567038</v>
      </c>
      <c r="Q149" s="250">
        <f t="shared" si="31"/>
        <v>4240675.8511388795</v>
      </c>
      <c r="R149" s="250">
        <f t="shared" si="31"/>
        <v>49098101.085639998</v>
      </c>
      <c r="S149" s="248">
        <f t="shared" si="20"/>
        <v>-46845364.636439502</v>
      </c>
      <c r="T149" s="249">
        <f t="shared" si="21"/>
        <v>-9.4617985531083599E-3</v>
      </c>
    </row>
    <row r="150" spans="1:20">
      <c r="A150" s="247" t="str">
        <f>+CONCATENATE(A55,"p")</f>
        <v>46p</v>
      </c>
      <c r="B150" s="649" t="s">
        <v>170</v>
      </c>
      <c r="C150" s="650"/>
      <c r="D150" s="650"/>
      <c r="E150" s="650"/>
      <c r="F150" s="650"/>
      <c r="G150" s="242">
        <f t="shared" ref="G150:R150" si="32">+SUM(G151:G152)</f>
        <v>1718363.66</v>
      </c>
      <c r="H150" s="242">
        <f t="shared" si="32"/>
        <v>3362692.95</v>
      </c>
      <c r="I150" s="242">
        <f t="shared" si="32"/>
        <v>17620925.690000001</v>
      </c>
      <c r="J150" s="242">
        <f t="shared" si="32"/>
        <v>21217195.289999999</v>
      </c>
      <c r="K150" s="242">
        <f t="shared" si="32"/>
        <v>181489557.88</v>
      </c>
      <c r="L150" s="242">
        <f t="shared" si="32"/>
        <v>16844785.800000001</v>
      </c>
      <c r="M150" s="242">
        <f t="shared" si="32"/>
        <v>61721044.270000003</v>
      </c>
      <c r="N150" s="242">
        <f t="shared" si="32"/>
        <v>13754741.09</v>
      </c>
      <c r="O150" s="242">
        <f t="shared" si="32"/>
        <v>17831317.309999999</v>
      </c>
      <c r="P150" s="242">
        <f t="shared" si="32"/>
        <v>6151156.2300000004</v>
      </c>
      <c r="Q150" s="242">
        <f t="shared" si="32"/>
        <v>10176505.869999999</v>
      </c>
      <c r="R150" s="242">
        <f t="shared" si="32"/>
        <v>21711713.960000001</v>
      </c>
      <c r="S150" s="251">
        <f t="shared" si="20"/>
        <v>373600000</v>
      </c>
      <c r="T150" s="252">
        <f t="shared" si="21"/>
        <v>7.54595031306807E-2</v>
      </c>
    </row>
    <row r="151" spans="1:20">
      <c r="A151" s="247" t="str">
        <f>+CONCATENATE(A56,"p")</f>
        <v>4611p</v>
      </c>
      <c r="B151" s="635" t="s">
        <v>171</v>
      </c>
      <c r="C151" s="636"/>
      <c r="D151" s="636"/>
      <c r="E151" s="636"/>
      <c r="F151" s="636"/>
      <c r="G151" s="253">
        <v>84944.84</v>
      </c>
      <c r="H151" s="253">
        <v>835385.84</v>
      </c>
      <c r="I151" s="253">
        <v>1812259.88</v>
      </c>
      <c r="J151" s="253">
        <v>4541832.53</v>
      </c>
      <c r="K151" s="253">
        <v>2836722.65</v>
      </c>
      <c r="L151" s="253">
        <v>7054086.1200000001</v>
      </c>
      <c r="M151" s="253">
        <v>87625.45</v>
      </c>
      <c r="N151" s="253">
        <v>10838080.380000001</v>
      </c>
      <c r="O151" s="253">
        <v>1831359.63</v>
      </c>
      <c r="P151" s="253">
        <v>1571862.21</v>
      </c>
      <c r="Q151" s="253">
        <v>839459.36</v>
      </c>
      <c r="R151" s="253">
        <v>11766381.15</v>
      </c>
      <c r="S151" s="254">
        <f t="shared" si="20"/>
        <v>44100000.039999999</v>
      </c>
      <c r="T151" s="255">
        <f t="shared" si="21"/>
        <v>8.9072914643506407E-3</v>
      </c>
    </row>
    <row r="152" spans="1:20">
      <c r="A152" s="247" t="str">
        <f>+CONCATENATE(A57,"p")</f>
        <v>4612p</v>
      </c>
      <c r="B152" s="631" t="s">
        <v>172</v>
      </c>
      <c r="C152" s="632"/>
      <c r="D152" s="632"/>
      <c r="E152" s="632"/>
      <c r="F152" s="632"/>
      <c r="G152" s="253">
        <v>1633418.82</v>
      </c>
      <c r="H152" s="253">
        <v>2527307.11</v>
      </c>
      <c r="I152" s="253">
        <v>15808665.810000001</v>
      </c>
      <c r="J152" s="253">
        <v>16675362.76</v>
      </c>
      <c r="K152" s="253">
        <v>178652835.22999999</v>
      </c>
      <c r="L152" s="253">
        <v>9790699.6799999997</v>
      </c>
      <c r="M152" s="253">
        <v>61633418.82</v>
      </c>
      <c r="N152" s="253">
        <v>2916660.71</v>
      </c>
      <c r="O152" s="253">
        <v>15999957.68</v>
      </c>
      <c r="P152" s="253">
        <v>4579294.0199999996</v>
      </c>
      <c r="Q152" s="253">
        <v>9337046.5099999998</v>
      </c>
      <c r="R152" s="253">
        <v>9945332.8100000005</v>
      </c>
      <c r="S152" s="254">
        <f t="shared" si="20"/>
        <v>329499999.95999998</v>
      </c>
      <c r="T152" s="255">
        <f t="shared" si="21"/>
        <v>6.6552211666330005E-2</v>
      </c>
    </row>
    <row r="153" spans="1:20">
      <c r="A153" s="247"/>
      <c r="B153" s="655" t="s">
        <v>173</v>
      </c>
      <c r="C153" s="656"/>
      <c r="D153" s="656"/>
      <c r="E153" s="656"/>
      <c r="F153" s="656"/>
      <c r="G153" s="276">
        <v>26666.67</v>
      </c>
      <c r="H153" s="276">
        <v>26666.67</v>
      </c>
      <c r="I153" s="276">
        <v>26666.67</v>
      </c>
      <c r="J153" s="276">
        <v>39926666.670000002</v>
      </c>
      <c r="K153" s="276">
        <v>26666.67</v>
      </c>
      <c r="L153" s="276">
        <v>26666.67</v>
      </c>
      <c r="M153" s="276">
        <v>26666.67</v>
      </c>
      <c r="N153" s="276">
        <v>26666.67</v>
      </c>
      <c r="O153" s="276">
        <v>26666.67</v>
      </c>
      <c r="P153" s="276">
        <v>26666.67</v>
      </c>
      <c r="Q153" s="276">
        <v>26666.67</v>
      </c>
      <c r="R153" s="276">
        <v>26666.63</v>
      </c>
      <c r="S153" s="277">
        <f t="shared" si="20"/>
        <v>40220000</v>
      </c>
      <c r="T153" s="278">
        <f t="shared" si="21"/>
        <v>8.1236113916380599E-3</v>
      </c>
    </row>
    <row r="154" spans="1:20">
      <c r="A154" s="247" t="str">
        <f t="shared" ref="A154:A159" si="33">+CONCATENATE(A59,"p")</f>
        <v>1002p</v>
      </c>
      <c r="B154" s="633" t="s">
        <v>174</v>
      </c>
      <c r="C154" s="634"/>
      <c r="D154" s="634"/>
      <c r="E154" s="634"/>
      <c r="F154" s="634"/>
      <c r="G154" s="257">
        <f t="shared" ref="G154:R154" si="34">+G148-G150-G153</f>
        <v>-64162981.9375</v>
      </c>
      <c r="H154" s="257">
        <f t="shared" si="34"/>
        <v>-49963551.177500002</v>
      </c>
      <c r="I154" s="257">
        <f t="shared" si="34"/>
        <v>-65853879.377499998</v>
      </c>
      <c r="J154" s="257">
        <f t="shared" si="34"/>
        <v>-68696397.547499999</v>
      </c>
      <c r="K154" s="257">
        <f t="shared" si="34"/>
        <v>-205052828.04750001</v>
      </c>
      <c r="L154" s="257">
        <f t="shared" si="34"/>
        <v>-32116387.137499999</v>
      </c>
      <c r="M154" s="257">
        <f t="shared" si="34"/>
        <v>-71704253.742939204</v>
      </c>
      <c r="N154" s="257">
        <f t="shared" si="34"/>
        <v>-6674621.4294332098</v>
      </c>
      <c r="O154" s="257">
        <f t="shared" si="34"/>
        <v>-27665993.622549798</v>
      </c>
      <c r="P154" s="257">
        <f t="shared" si="34"/>
        <v>23716690.6767038</v>
      </c>
      <c r="Q154" s="257">
        <f t="shared" si="34"/>
        <v>-13766234.0188611</v>
      </c>
      <c r="R154" s="257">
        <f t="shared" si="34"/>
        <v>25522372.725639999</v>
      </c>
      <c r="S154" s="258">
        <f t="shared" si="20"/>
        <v>-556418064.63644004</v>
      </c>
      <c r="T154" s="259">
        <f t="shared" si="21"/>
        <v>-0.11238498578801</v>
      </c>
    </row>
    <row r="155" spans="1:20">
      <c r="A155" s="247" t="str">
        <f t="shared" si="33"/>
        <v>1003p</v>
      </c>
      <c r="B155" s="617" t="s">
        <v>175</v>
      </c>
      <c r="C155" s="618"/>
      <c r="D155" s="618"/>
      <c r="E155" s="618"/>
      <c r="F155" s="618"/>
      <c r="G155" s="217">
        <f t="shared" ref="G155:R155" si="35">+SUM(G156:G159)</f>
        <v>64162981.9375</v>
      </c>
      <c r="H155" s="217">
        <f t="shared" si="35"/>
        <v>49963551.177500002</v>
      </c>
      <c r="I155" s="217">
        <f t="shared" si="35"/>
        <v>65853879.377499998</v>
      </c>
      <c r="J155" s="217">
        <f t="shared" si="35"/>
        <v>68696397.547499999</v>
      </c>
      <c r="K155" s="217">
        <f t="shared" si="35"/>
        <v>205052828.04750001</v>
      </c>
      <c r="L155" s="217">
        <f t="shared" si="35"/>
        <v>32116387.137499999</v>
      </c>
      <c r="M155" s="217">
        <f t="shared" si="35"/>
        <v>71704253.742939204</v>
      </c>
      <c r="N155" s="217">
        <f t="shared" si="35"/>
        <v>6674621.4294332098</v>
      </c>
      <c r="O155" s="217">
        <f t="shared" si="35"/>
        <v>27665993.622549798</v>
      </c>
      <c r="P155" s="217">
        <f t="shared" si="35"/>
        <v>-23716690.6767038</v>
      </c>
      <c r="Q155" s="217">
        <f t="shared" si="35"/>
        <v>13766234.0188611</v>
      </c>
      <c r="R155" s="217">
        <f t="shared" si="35"/>
        <v>-25522372.725639999</v>
      </c>
      <c r="S155" s="260">
        <f t="shared" si="20"/>
        <v>556418064.63644004</v>
      </c>
      <c r="T155" s="261">
        <f t="shared" si="21"/>
        <v>0.11238498578801</v>
      </c>
    </row>
    <row r="156" spans="1:20">
      <c r="A156" s="247" t="str">
        <f t="shared" si="33"/>
        <v>7511p</v>
      </c>
      <c r="B156" s="635" t="s">
        <v>176</v>
      </c>
      <c r="C156" s="636"/>
      <c r="D156" s="636"/>
      <c r="E156" s="636"/>
      <c r="F156" s="636"/>
      <c r="G156" s="253">
        <v>0</v>
      </c>
      <c r="H156" s="253">
        <v>0</v>
      </c>
      <c r="I156" s="253">
        <v>95000000</v>
      </c>
      <c r="J156" s="253">
        <v>0</v>
      </c>
      <c r="K156" s="253">
        <v>95000000</v>
      </c>
      <c r="L156" s="253">
        <v>0</v>
      </c>
      <c r="M156" s="253">
        <v>0</v>
      </c>
      <c r="N156" s="253">
        <v>0</v>
      </c>
      <c r="O156" s="253">
        <v>0</v>
      </c>
      <c r="P156" s="253">
        <v>0</v>
      </c>
      <c r="Q156" s="253">
        <v>0</v>
      </c>
      <c r="R156" s="253">
        <v>0</v>
      </c>
      <c r="S156" s="254">
        <f t="shared" si="20"/>
        <v>190000000</v>
      </c>
      <c r="T156" s="255">
        <f t="shared" si="21"/>
        <v>3.8376085639264798E-2</v>
      </c>
    </row>
    <row r="157" spans="1:20">
      <c r="A157" s="247" t="str">
        <f t="shared" si="33"/>
        <v>7512p</v>
      </c>
      <c r="B157" s="631" t="s">
        <v>177</v>
      </c>
      <c r="C157" s="632"/>
      <c r="D157" s="632"/>
      <c r="E157" s="632"/>
      <c r="F157" s="632"/>
      <c r="G157" s="253">
        <v>24022843.850000001</v>
      </c>
      <c r="H157" s="253">
        <v>0</v>
      </c>
      <c r="I157" s="253">
        <v>12399337.390000001</v>
      </c>
      <c r="J157" s="253">
        <v>15000000</v>
      </c>
      <c r="K157" s="253">
        <v>17000000</v>
      </c>
      <c r="L157" s="253">
        <v>17000000</v>
      </c>
      <c r="M157" s="253">
        <v>17000000</v>
      </c>
      <c r="N157" s="253">
        <v>15000000</v>
      </c>
      <c r="O157" s="253">
        <v>17000000</v>
      </c>
      <c r="P157" s="253">
        <v>17000000</v>
      </c>
      <c r="Q157" s="253">
        <v>15000000</v>
      </c>
      <c r="R157" s="253">
        <v>13983087.5015538</v>
      </c>
      <c r="S157" s="254">
        <f t="shared" si="20"/>
        <v>180405268.74155399</v>
      </c>
      <c r="T157" s="255">
        <f t="shared" si="21"/>
        <v>3.6438147594739199E-2</v>
      </c>
    </row>
    <row r="158" spans="1:20">
      <c r="A158" s="247" t="str">
        <f t="shared" si="33"/>
        <v>72p</v>
      </c>
      <c r="B158" s="631" t="s">
        <v>178</v>
      </c>
      <c r="C158" s="632"/>
      <c r="D158" s="632"/>
      <c r="E158" s="632"/>
      <c r="F158" s="632"/>
      <c r="G158" s="253">
        <v>500000</v>
      </c>
      <c r="H158" s="253">
        <v>500000</v>
      </c>
      <c r="I158" s="253">
        <v>500000</v>
      </c>
      <c r="J158" s="253">
        <v>500000</v>
      </c>
      <c r="K158" s="253">
        <v>500000</v>
      </c>
      <c r="L158" s="253">
        <v>500000</v>
      </c>
      <c r="M158" s="253">
        <v>500000</v>
      </c>
      <c r="N158" s="253">
        <v>500000</v>
      </c>
      <c r="O158" s="253">
        <v>500000</v>
      </c>
      <c r="P158" s="253">
        <v>500000</v>
      </c>
      <c r="Q158" s="253">
        <v>500000</v>
      </c>
      <c r="R158" s="253">
        <v>500000</v>
      </c>
      <c r="S158" s="254">
        <f t="shared" si="20"/>
        <v>6000000</v>
      </c>
      <c r="T158" s="255">
        <f t="shared" si="21"/>
        <v>1.2118763886083601E-3</v>
      </c>
    </row>
    <row r="159" spans="1:20">
      <c r="A159" s="247" t="str">
        <f t="shared" si="33"/>
        <v>1004p</v>
      </c>
      <c r="B159" s="262" t="s">
        <v>179</v>
      </c>
      <c r="C159" s="263"/>
      <c r="D159" s="263"/>
      <c r="E159" s="263"/>
      <c r="F159" s="263"/>
      <c r="G159" s="264">
        <f t="shared" ref="G159:R159" si="36">-G154-SUM(G156:G158)</f>
        <v>39640138.087499999</v>
      </c>
      <c r="H159" s="264">
        <f t="shared" si="36"/>
        <v>49463551.177500002</v>
      </c>
      <c r="I159" s="264">
        <f t="shared" si="36"/>
        <v>-42045458.012500003</v>
      </c>
      <c r="J159" s="264">
        <f t="shared" si="36"/>
        <v>53196397.547499999</v>
      </c>
      <c r="K159" s="264">
        <f t="shared" si="36"/>
        <v>92552828.047499999</v>
      </c>
      <c r="L159" s="264">
        <f t="shared" si="36"/>
        <v>14616387.137499999</v>
      </c>
      <c r="M159" s="264">
        <f t="shared" si="36"/>
        <v>54204253.742939197</v>
      </c>
      <c r="N159" s="264">
        <f t="shared" si="36"/>
        <v>-8825378.5705667902</v>
      </c>
      <c r="O159" s="264">
        <f t="shared" si="36"/>
        <v>10165993.6225498</v>
      </c>
      <c r="P159" s="264">
        <f t="shared" si="36"/>
        <v>-41216690.676703803</v>
      </c>
      <c r="Q159" s="264">
        <f t="shared" si="36"/>
        <v>-1733765.9811388799</v>
      </c>
      <c r="R159" s="264">
        <f t="shared" si="36"/>
        <v>-40005460.227193803</v>
      </c>
      <c r="S159" s="265">
        <f t="shared" si="20"/>
        <v>180012795.89488599</v>
      </c>
      <c r="T159" s="266">
        <f t="shared" si="21"/>
        <v>3.6358876165397999E-2</v>
      </c>
    </row>
  </sheetData>
  <mergeCells count="116">
    <mergeCell ref="B153:F153"/>
    <mergeCell ref="B154:F154"/>
    <mergeCell ref="B155:F155"/>
    <mergeCell ref="B156:F156"/>
    <mergeCell ref="B157:F157"/>
    <mergeCell ref="B158:F158"/>
    <mergeCell ref="B100:F102"/>
    <mergeCell ref="B7:F9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62:F62"/>
    <mergeCell ref="B63:F63"/>
    <mergeCell ref="G100:R100"/>
    <mergeCell ref="S101:T101"/>
    <mergeCell ref="B103:F103"/>
    <mergeCell ref="B104:F104"/>
    <mergeCell ref="B105:F105"/>
    <mergeCell ref="B106:F106"/>
    <mergeCell ref="B107:F107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75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633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4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/>
  <dimension ref="A1:W162"/>
  <sheetViews>
    <sheetView workbookViewId="0">
      <pane ySplit="1" topLeftCell="A2" activePane="bottomLeft" state="frozen"/>
      <selection pane="bottomLeft" activeCell="I23" sqref="I23"/>
    </sheetView>
  </sheetViews>
  <sheetFormatPr defaultColWidth="9.140625" defaultRowHeight="12.75"/>
  <cols>
    <col min="1" max="1" width="5.42578125" style="128" customWidth="1"/>
    <col min="2" max="4" width="9.140625" style="129"/>
    <col min="5" max="5" width="4.7109375" style="129" customWidth="1"/>
    <col min="6" max="6" width="1.85546875" style="129" customWidth="1"/>
    <col min="7" max="9" width="10.7109375" style="129" customWidth="1"/>
    <col min="10" max="10" width="14.42578125" style="129" customWidth="1"/>
    <col min="11" max="18" width="10.7109375" style="129" customWidth="1"/>
    <col min="19" max="19" width="13.28515625" style="129" customWidth="1"/>
    <col min="20" max="20" width="10.7109375" style="129" customWidth="1"/>
    <col min="21" max="21" width="11.42578125" style="129" customWidth="1"/>
    <col min="22" max="22" width="11" style="129" customWidth="1"/>
    <col min="23" max="16384" width="9.140625" style="129"/>
  </cols>
  <sheetData>
    <row r="1" spans="1:20" s="127" customFormat="1" ht="3" customHeight="1">
      <c r="A1" s="130"/>
    </row>
    <row r="2" spans="1:20" s="127" customFormat="1" ht="15">
      <c r="A2" s="131"/>
      <c r="B2" s="132"/>
      <c r="C2" s="133"/>
      <c r="D2" s="132"/>
      <c r="E2" s="132" t="s">
        <v>96</v>
      </c>
      <c r="F2" s="132"/>
      <c r="G2" s="132"/>
      <c r="H2" s="132"/>
      <c r="I2" s="134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127" customFormat="1" ht="15">
      <c r="A3" s="131"/>
      <c r="B3" s="132"/>
      <c r="C3" s="132"/>
      <c r="D3" s="132"/>
      <c r="E3" s="134" t="s">
        <v>97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127" customFormat="1" ht="15">
      <c r="A4" s="131"/>
      <c r="B4" s="132"/>
      <c r="C4" s="132"/>
      <c r="D4" s="132"/>
      <c r="E4" s="134" t="s">
        <v>98</v>
      </c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 s="127" customFormat="1" ht="26.25" customHeight="1">
      <c r="A5" s="131"/>
      <c r="B5" s="132"/>
      <c r="C5" s="132"/>
      <c r="D5" s="132"/>
      <c r="E5" s="132"/>
      <c r="F5" s="132"/>
      <c r="G5" s="135">
        <f>+RIGHT(G6,2)*1</f>
        <v>1</v>
      </c>
      <c r="H5" s="135">
        <f t="shared" ref="H5:R5" si="0">+RIGHT(H6,2)*1</f>
        <v>2</v>
      </c>
      <c r="I5" s="135">
        <f t="shared" si="0"/>
        <v>3</v>
      </c>
      <c r="J5" s="135">
        <f t="shared" si="0"/>
        <v>4</v>
      </c>
      <c r="K5" s="135">
        <f t="shared" si="0"/>
        <v>5</v>
      </c>
      <c r="L5" s="135">
        <f t="shared" si="0"/>
        <v>6</v>
      </c>
      <c r="M5" s="135">
        <f t="shared" si="0"/>
        <v>7</v>
      </c>
      <c r="N5" s="135">
        <f t="shared" si="0"/>
        <v>8</v>
      </c>
      <c r="O5" s="135">
        <f t="shared" si="0"/>
        <v>9</v>
      </c>
      <c r="P5" s="135">
        <f t="shared" si="0"/>
        <v>10</v>
      </c>
      <c r="Q5" s="135">
        <f t="shared" si="0"/>
        <v>11</v>
      </c>
      <c r="R5" s="135">
        <f t="shared" si="0"/>
        <v>12</v>
      </c>
      <c r="S5" s="132"/>
      <c r="T5" s="132"/>
    </row>
    <row r="6" spans="1:20">
      <c r="A6" s="136"/>
      <c r="B6" s="137"/>
      <c r="C6" s="137"/>
      <c r="D6" s="137"/>
      <c r="E6" s="137"/>
      <c r="F6" s="137"/>
      <c r="G6" s="138" t="s">
        <v>187</v>
      </c>
      <c r="H6" s="138" t="s">
        <v>188</v>
      </c>
      <c r="I6" s="138" t="s">
        <v>189</v>
      </c>
      <c r="J6" s="138" t="s">
        <v>190</v>
      </c>
      <c r="K6" s="138" t="s">
        <v>191</v>
      </c>
      <c r="L6" s="138" t="s">
        <v>192</v>
      </c>
      <c r="M6" s="138" t="s">
        <v>193</v>
      </c>
      <c r="N6" s="138" t="s">
        <v>194</v>
      </c>
      <c r="O6" s="138" t="s">
        <v>195</v>
      </c>
      <c r="P6" s="138" t="s">
        <v>196</v>
      </c>
      <c r="Q6" s="138" t="s">
        <v>197</v>
      </c>
      <c r="R6" s="138" t="s">
        <v>198</v>
      </c>
      <c r="S6" s="137"/>
      <c r="T6" s="137"/>
    </row>
    <row r="7" spans="1:20" ht="15" customHeight="1">
      <c r="A7" s="136"/>
      <c r="B7" s="584" t="s">
        <v>111</v>
      </c>
      <c r="C7" s="585"/>
      <c r="D7" s="585"/>
      <c r="E7" s="585"/>
      <c r="F7" s="585"/>
      <c r="G7" s="550">
        <v>2018</v>
      </c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4"/>
      <c r="S7" s="139" t="s">
        <v>112</v>
      </c>
      <c r="T7" s="140">
        <v>4663130000</v>
      </c>
    </row>
    <row r="8" spans="1:20" ht="16.5" customHeight="1">
      <c r="A8" s="136"/>
      <c r="B8" s="586"/>
      <c r="C8" s="587"/>
      <c r="D8" s="587"/>
      <c r="E8" s="587"/>
      <c r="F8" s="588"/>
      <c r="G8" s="141" t="s">
        <v>113</v>
      </c>
      <c r="H8" s="141" t="s">
        <v>114</v>
      </c>
      <c r="I8" s="141" t="s">
        <v>115</v>
      </c>
      <c r="J8" s="141" t="s">
        <v>116</v>
      </c>
      <c r="K8" s="141" t="s">
        <v>117</v>
      </c>
      <c r="L8" s="141" t="s">
        <v>118</v>
      </c>
      <c r="M8" s="141" t="s">
        <v>119</v>
      </c>
      <c r="N8" s="141" t="s">
        <v>120</v>
      </c>
      <c r="O8" s="141" t="s">
        <v>121</v>
      </c>
      <c r="P8" s="141" t="s">
        <v>122</v>
      </c>
      <c r="Q8" s="141" t="s">
        <v>123</v>
      </c>
      <c r="R8" s="141" t="s">
        <v>124</v>
      </c>
      <c r="S8" s="550" t="s">
        <v>125</v>
      </c>
      <c r="T8" s="554"/>
    </row>
    <row r="9" spans="1:20">
      <c r="A9" s="136"/>
      <c r="B9" s="589"/>
      <c r="C9" s="590"/>
      <c r="D9" s="590"/>
      <c r="E9" s="590"/>
      <c r="F9" s="591"/>
      <c r="G9" s="142" t="s">
        <v>2</v>
      </c>
      <c r="H9" s="142" t="s">
        <v>2</v>
      </c>
      <c r="I9" s="142" t="s">
        <v>2</v>
      </c>
      <c r="J9" s="142" t="s">
        <v>2</v>
      </c>
      <c r="K9" s="142" t="s">
        <v>2</v>
      </c>
      <c r="L9" s="142" t="s">
        <v>2</v>
      </c>
      <c r="M9" s="142" t="s">
        <v>2</v>
      </c>
      <c r="N9" s="142" t="s">
        <v>2</v>
      </c>
      <c r="O9" s="142" t="s">
        <v>2</v>
      </c>
      <c r="P9" s="142" t="s">
        <v>2</v>
      </c>
      <c r="Q9" s="142" t="s">
        <v>2</v>
      </c>
      <c r="R9" s="142" t="s">
        <v>2</v>
      </c>
      <c r="S9" s="143" t="s">
        <v>2</v>
      </c>
      <c r="T9" s="144" t="s">
        <v>5</v>
      </c>
    </row>
    <row r="10" spans="1:20">
      <c r="A10" s="145">
        <v>7</v>
      </c>
      <c r="B10" s="558" t="s">
        <v>126</v>
      </c>
      <c r="C10" s="559"/>
      <c r="D10" s="559"/>
      <c r="E10" s="559"/>
      <c r="F10" s="559"/>
      <c r="G10" s="146">
        <f t="shared" ref="G10:R10" si="1">+G11+G19+SUM(G24:G28)</f>
        <v>81573046.349999994</v>
      </c>
      <c r="H10" s="146">
        <f t="shared" si="1"/>
        <v>107080107.34</v>
      </c>
      <c r="I10" s="146">
        <f t="shared" si="1"/>
        <v>138824742.16</v>
      </c>
      <c r="J10" s="146">
        <f t="shared" si="1"/>
        <v>156838196.72999999</v>
      </c>
      <c r="K10" s="146">
        <f t="shared" si="1"/>
        <v>138843146.69</v>
      </c>
      <c r="L10" s="146">
        <f t="shared" si="1"/>
        <v>140712902.74000001</v>
      </c>
      <c r="M10" s="146">
        <f t="shared" si="1"/>
        <v>160533597.69999999</v>
      </c>
      <c r="N10" s="146">
        <f t="shared" si="1"/>
        <v>161264030.16999999</v>
      </c>
      <c r="O10" s="146">
        <f t="shared" si="1"/>
        <v>187333296.65000001</v>
      </c>
      <c r="P10" s="146">
        <f t="shared" si="1"/>
        <v>145768654.69999999</v>
      </c>
      <c r="Q10" s="146">
        <f t="shared" si="1"/>
        <v>142235974.88999999</v>
      </c>
      <c r="R10" s="146">
        <f t="shared" si="1"/>
        <v>185010591.02000001</v>
      </c>
      <c r="S10" s="147">
        <f>+SUM(G10:R10)</f>
        <v>1746018287.1400001</v>
      </c>
      <c r="T10" s="148">
        <f>+S10/$T$7</f>
        <v>0.37443054067546899</v>
      </c>
    </row>
    <row r="11" spans="1:20">
      <c r="A11" s="145">
        <v>711</v>
      </c>
      <c r="B11" s="560" t="s">
        <v>127</v>
      </c>
      <c r="C11" s="561"/>
      <c r="D11" s="561"/>
      <c r="E11" s="561"/>
      <c r="F11" s="561"/>
      <c r="G11" s="149">
        <f t="shared" ref="G11:R11" si="2">+SUM(G12:G18)</f>
        <v>60295851.509999998</v>
      </c>
      <c r="H11" s="149">
        <f t="shared" si="2"/>
        <v>64797597.329999998</v>
      </c>
      <c r="I11" s="149">
        <f t="shared" si="2"/>
        <v>89261850.609999999</v>
      </c>
      <c r="J11" s="149">
        <f t="shared" si="2"/>
        <v>97799793.079999998</v>
      </c>
      <c r="K11" s="149">
        <f t="shared" si="2"/>
        <v>90553351.069999993</v>
      </c>
      <c r="L11" s="149">
        <f t="shared" si="2"/>
        <v>87503254.430000007</v>
      </c>
      <c r="M11" s="149">
        <f t="shared" si="2"/>
        <v>105015545.47</v>
      </c>
      <c r="N11" s="149">
        <f t="shared" si="2"/>
        <v>107951400.73999999</v>
      </c>
      <c r="O11" s="149">
        <f t="shared" si="2"/>
        <v>102839740.52</v>
      </c>
      <c r="P11" s="149">
        <f t="shared" si="2"/>
        <v>89707200.510000005</v>
      </c>
      <c r="Q11" s="149">
        <f t="shared" si="2"/>
        <v>81788199.120000005</v>
      </c>
      <c r="R11" s="150">
        <f t="shared" si="2"/>
        <v>91433416.909999996</v>
      </c>
      <c r="S11" s="151">
        <f t="shared" ref="S11:S67" si="3">+SUM(G11:R11)</f>
        <v>1068947201.3</v>
      </c>
      <c r="T11" s="152">
        <f t="shared" ref="T11:T67" si="4">+S11/$T$7</f>
        <v>0.229233841068124</v>
      </c>
    </row>
    <row r="12" spans="1:20">
      <c r="A12" s="145">
        <v>7111</v>
      </c>
      <c r="B12" s="562" t="s">
        <v>128</v>
      </c>
      <c r="C12" s="563"/>
      <c r="D12" s="563"/>
      <c r="E12" s="563"/>
      <c r="F12" s="563"/>
      <c r="G12" s="153">
        <v>3496624.83</v>
      </c>
      <c r="H12" s="153">
        <v>8897390.9499999993</v>
      </c>
      <c r="I12" s="153">
        <v>10001520.890000001</v>
      </c>
      <c r="J12" s="153">
        <v>9899613.5099999998</v>
      </c>
      <c r="K12" s="153">
        <v>10330673.77</v>
      </c>
      <c r="L12" s="153">
        <v>10475384.99</v>
      </c>
      <c r="M12" s="153">
        <v>11318576.82</v>
      </c>
      <c r="N12" s="153">
        <v>11227078</v>
      </c>
      <c r="O12" s="153">
        <v>9598204.1500000004</v>
      </c>
      <c r="P12" s="153">
        <v>10275884.26</v>
      </c>
      <c r="Q12" s="153">
        <v>10504970.310000001</v>
      </c>
      <c r="R12" s="153">
        <v>18872459.579999998</v>
      </c>
      <c r="S12" s="154">
        <f t="shared" si="3"/>
        <v>124898382.06</v>
      </c>
      <c r="T12" s="155">
        <f t="shared" si="4"/>
        <v>2.67842376386676E-2</v>
      </c>
    </row>
    <row r="13" spans="1:20">
      <c r="A13" s="145">
        <v>7112</v>
      </c>
      <c r="B13" s="562" t="s">
        <v>129</v>
      </c>
      <c r="C13" s="563"/>
      <c r="D13" s="563"/>
      <c r="E13" s="563"/>
      <c r="F13" s="563"/>
      <c r="G13" s="153">
        <v>475602.8</v>
      </c>
      <c r="H13" s="153">
        <v>1641570.62</v>
      </c>
      <c r="I13" s="153">
        <v>22262597.649999999</v>
      </c>
      <c r="J13" s="153">
        <v>18095823.48</v>
      </c>
      <c r="K13" s="153">
        <v>3730435.57</v>
      </c>
      <c r="L13" s="153">
        <v>3402383.37</v>
      </c>
      <c r="M13" s="153">
        <v>4232537.58</v>
      </c>
      <c r="N13" s="153">
        <v>3499255.87</v>
      </c>
      <c r="O13" s="153">
        <v>7173346.1399999997</v>
      </c>
      <c r="P13" s="153">
        <v>1043872.54</v>
      </c>
      <c r="Q13" s="153">
        <v>802479.78</v>
      </c>
      <c r="R13" s="153">
        <v>1812573.03</v>
      </c>
      <c r="S13" s="154">
        <f t="shared" si="3"/>
        <v>68172478.430000007</v>
      </c>
      <c r="T13" s="155">
        <f t="shared" si="4"/>
        <v>1.4619467703023499E-2</v>
      </c>
    </row>
    <row r="14" spans="1:20">
      <c r="A14" s="145">
        <v>7113</v>
      </c>
      <c r="B14" s="562" t="s">
        <v>130</v>
      </c>
      <c r="C14" s="563"/>
      <c r="D14" s="563"/>
      <c r="E14" s="563"/>
      <c r="F14" s="563"/>
      <c r="G14" s="153">
        <v>93380.49</v>
      </c>
      <c r="H14" s="153">
        <v>116565.53</v>
      </c>
      <c r="I14" s="153">
        <v>203411.31</v>
      </c>
      <c r="J14" s="153">
        <v>117398.62</v>
      </c>
      <c r="K14" s="153">
        <v>143886.48000000001</v>
      </c>
      <c r="L14" s="153">
        <v>122124.66</v>
      </c>
      <c r="M14" s="153">
        <v>114234.91</v>
      </c>
      <c r="N14" s="153">
        <v>218611.11</v>
      </c>
      <c r="O14" s="153">
        <v>148315.04999999999</v>
      </c>
      <c r="P14" s="153">
        <v>155540.06</v>
      </c>
      <c r="Q14" s="153">
        <v>193671.67</v>
      </c>
      <c r="R14" s="153">
        <v>208954.63</v>
      </c>
      <c r="S14" s="154">
        <f t="shared" si="3"/>
        <v>1836094.52</v>
      </c>
      <c r="T14" s="155">
        <f t="shared" si="4"/>
        <v>3.9374722986491899E-4</v>
      </c>
    </row>
    <row r="15" spans="1:20">
      <c r="A15" s="145">
        <v>7114</v>
      </c>
      <c r="B15" s="562" t="s">
        <v>131</v>
      </c>
      <c r="C15" s="563"/>
      <c r="D15" s="563"/>
      <c r="E15" s="563"/>
      <c r="F15" s="563"/>
      <c r="G15" s="153">
        <v>40926868.810000002</v>
      </c>
      <c r="H15" s="153">
        <v>38270122.18</v>
      </c>
      <c r="I15" s="153">
        <v>40510183.409999996</v>
      </c>
      <c r="J15" s="153">
        <v>50343037.649999999</v>
      </c>
      <c r="K15" s="153">
        <v>53847636.579999998</v>
      </c>
      <c r="L15" s="153">
        <v>52130099.289999999</v>
      </c>
      <c r="M15" s="153">
        <v>63886169.009999998</v>
      </c>
      <c r="N15" s="153">
        <v>64152277.310000002</v>
      </c>
      <c r="O15" s="153">
        <v>57402321.350000001</v>
      </c>
      <c r="P15" s="153">
        <v>56740213.189999998</v>
      </c>
      <c r="Q15" s="153">
        <v>47812481.689999998</v>
      </c>
      <c r="R15" s="153">
        <v>50892268.439999998</v>
      </c>
      <c r="S15" s="154">
        <f t="shared" si="3"/>
        <v>616913678.90999997</v>
      </c>
      <c r="T15" s="155">
        <f t="shared" si="4"/>
        <v>0.13229604984420301</v>
      </c>
    </row>
    <row r="16" spans="1:20">
      <c r="A16" s="145">
        <v>7115</v>
      </c>
      <c r="B16" s="562" t="s">
        <v>132</v>
      </c>
      <c r="C16" s="563"/>
      <c r="D16" s="563"/>
      <c r="E16" s="563"/>
      <c r="F16" s="563"/>
      <c r="G16" s="153">
        <v>13370061.67</v>
      </c>
      <c r="H16" s="153">
        <v>13585674.48</v>
      </c>
      <c r="I16" s="153">
        <v>13376493.630000001</v>
      </c>
      <c r="J16" s="153">
        <v>16425170.310000001</v>
      </c>
      <c r="K16" s="153">
        <v>19160303.329999998</v>
      </c>
      <c r="L16" s="153">
        <v>18124078.879999999</v>
      </c>
      <c r="M16" s="153">
        <v>21799989.129999999</v>
      </c>
      <c r="N16" s="153">
        <v>25150486.629999999</v>
      </c>
      <c r="O16" s="153">
        <v>25504339.800000001</v>
      </c>
      <c r="P16" s="153">
        <v>18141856.039999999</v>
      </c>
      <c r="Q16" s="153">
        <v>19778303.699999999</v>
      </c>
      <c r="R16" s="153">
        <v>16761286.810000001</v>
      </c>
      <c r="S16" s="154">
        <f t="shared" si="3"/>
        <v>221178044.41</v>
      </c>
      <c r="T16" s="155">
        <f t="shared" si="4"/>
        <v>4.74312413357552E-2</v>
      </c>
    </row>
    <row r="17" spans="1:23">
      <c r="A17" s="145">
        <v>7116</v>
      </c>
      <c r="B17" s="562" t="s">
        <v>133</v>
      </c>
      <c r="C17" s="563"/>
      <c r="D17" s="563"/>
      <c r="E17" s="563"/>
      <c r="F17" s="563"/>
      <c r="G17" s="153">
        <v>1218936.71</v>
      </c>
      <c r="H17" s="153">
        <v>1678360</v>
      </c>
      <c r="I17" s="153">
        <v>2228428.98</v>
      </c>
      <c r="J17" s="153">
        <v>2192466.4500000002</v>
      </c>
      <c r="K17" s="153">
        <v>2597651.13</v>
      </c>
      <c r="L17" s="153">
        <v>2330703.23</v>
      </c>
      <c r="M17" s="153">
        <v>2801895.93</v>
      </c>
      <c r="N17" s="153">
        <v>2858882.98</v>
      </c>
      <c r="O17" s="153">
        <v>2205218.35</v>
      </c>
      <c r="P17" s="153">
        <v>2570061.1800000002</v>
      </c>
      <c r="Q17" s="153">
        <v>1901910.24</v>
      </c>
      <c r="R17" s="153">
        <v>2050376.81</v>
      </c>
      <c r="S17" s="154">
        <f t="shared" si="3"/>
        <v>26634891.989999998</v>
      </c>
      <c r="T17" s="155">
        <f t="shared" si="4"/>
        <v>5.7118055876632197E-3</v>
      </c>
    </row>
    <row r="18" spans="1:23">
      <c r="A18" s="145">
        <v>7118</v>
      </c>
      <c r="B18" s="562" t="s">
        <v>134</v>
      </c>
      <c r="C18" s="563"/>
      <c r="D18" s="563"/>
      <c r="E18" s="563"/>
      <c r="F18" s="563"/>
      <c r="G18" s="153">
        <v>714376.2</v>
      </c>
      <c r="H18" s="153">
        <v>607913.56999999995</v>
      </c>
      <c r="I18" s="153">
        <v>679214.74</v>
      </c>
      <c r="J18" s="153">
        <v>726283.06</v>
      </c>
      <c r="K18" s="153">
        <v>742764.21</v>
      </c>
      <c r="L18" s="153">
        <v>918480.01</v>
      </c>
      <c r="M18" s="153">
        <v>862142.09</v>
      </c>
      <c r="N18" s="153">
        <v>844808.84</v>
      </c>
      <c r="O18" s="153">
        <v>807995.68</v>
      </c>
      <c r="P18" s="153">
        <v>779773.24</v>
      </c>
      <c r="Q18" s="153">
        <v>794381.73</v>
      </c>
      <c r="R18" s="153">
        <v>835497.61</v>
      </c>
      <c r="S18" s="154">
        <f t="shared" si="3"/>
        <v>9313630.9800000004</v>
      </c>
      <c r="T18" s="155">
        <f t="shared" si="4"/>
        <v>1.9972917289460099E-3</v>
      </c>
    </row>
    <row r="19" spans="1:23">
      <c r="A19" s="145">
        <v>712</v>
      </c>
      <c r="B19" s="564" t="s">
        <v>135</v>
      </c>
      <c r="C19" s="565"/>
      <c r="D19" s="565"/>
      <c r="E19" s="565"/>
      <c r="F19" s="565"/>
      <c r="G19" s="156">
        <v>14572676.99</v>
      </c>
      <c r="H19" s="156">
        <v>36938118.07</v>
      </c>
      <c r="I19" s="156">
        <v>43053255.969999999</v>
      </c>
      <c r="J19" s="156">
        <v>41029948</v>
      </c>
      <c r="K19" s="156">
        <v>40388291.549999997</v>
      </c>
      <c r="L19" s="156">
        <v>42077356.240000002</v>
      </c>
      <c r="M19" s="156">
        <v>45673467.219999999</v>
      </c>
      <c r="N19" s="156">
        <v>45633852.549999997</v>
      </c>
      <c r="O19" s="156">
        <v>41964422.920000002</v>
      </c>
      <c r="P19" s="156">
        <v>47821348.07</v>
      </c>
      <c r="Q19" s="156">
        <v>44976968.909999996</v>
      </c>
      <c r="R19" s="156">
        <v>80310407.909999996</v>
      </c>
      <c r="S19" s="157">
        <f t="shared" si="3"/>
        <v>524440114.39999998</v>
      </c>
      <c r="T19" s="158">
        <f t="shared" si="4"/>
        <v>0.11246525711271201</v>
      </c>
    </row>
    <row r="20" spans="1:23">
      <c r="A20" s="145">
        <v>7121</v>
      </c>
      <c r="B20" s="562" t="s">
        <v>136</v>
      </c>
      <c r="C20" s="563"/>
      <c r="D20" s="563"/>
      <c r="E20" s="563"/>
      <c r="F20" s="563"/>
      <c r="G20" s="153">
        <v>8994145.9900000002</v>
      </c>
      <c r="H20" s="153">
        <v>22424749.280000001</v>
      </c>
      <c r="I20" s="153">
        <v>26103027.100000001</v>
      </c>
      <c r="J20" s="153">
        <v>24891690.100000001</v>
      </c>
      <c r="K20" s="153">
        <v>24475000.460000001</v>
      </c>
      <c r="L20" s="153">
        <v>25149415.170000002</v>
      </c>
      <c r="M20" s="153">
        <v>27081123.02</v>
      </c>
      <c r="N20" s="153">
        <v>27031179.09</v>
      </c>
      <c r="O20" s="153">
        <v>25382505.710000001</v>
      </c>
      <c r="P20" s="153">
        <v>29472537.77</v>
      </c>
      <c r="Q20" s="153">
        <v>27715796.140000001</v>
      </c>
      <c r="R20" s="153">
        <v>48261788.450000003</v>
      </c>
      <c r="S20" s="154">
        <f t="shared" si="3"/>
        <v>316982958.27999997</v>
      </c>
      <c r="T20" s="155">
        <f t="shared" si="4"/>
        <v>6.7976436059041898E-2</v>
      </c>
    </row>
    <row r="21" spans="1:23">
      <c r="A21" s="145">
        <v>7122</v>
      </c>
      <c r="B21" s="562" t="s">
        <v>137</v>
      </c>
      <c r="C21" s="563"/>
      <c r="D21" s="563"/>
      <c r="E21" s="563"/>
      <c r="F21" s="563"/>
      <c r="G21" s="153">
        <v>4907250.76</v>
      </c>
      <c r="H21" s="153">
        <v>12702016.77</v>
      </c>
      <c r="I21" s="153">
        <v>14741947.74</v>
      </c>
      <c r="J21" s="153">
        <v>14077229.140000001</v>
      </c>
      <c r="K21" s="153">
        <v>13944751.890000001</v>
      </c>
      <c r="L21" s="153">
        <v>14898396.42</v>
      </c>
      <c r="M21" s="153">
        <v>16253748.59</v>
      </c>
      <c r="N21" s="153">
        <v>16257992.279999999</v>
      </c>
      <c r="O21" s="153">
        <v>14479735.869999999</v>
      </c>
      <c r="P21" s="153">
        <v>16132677.16</v>
      </c>
      <c r="Q21" s="153">
        <v>15297077.039999999</v>
      </c>
      <c r="R21" s="153">
        <v>28352941.690000001</v>
      </c>
      <c r="S21" s="154">
        <f t="shared" si="3"/>
        <v>182045765.34999999</v>
      </c>
      <c r="T21" s="155">
        <f t="shared" si="4"/>
        <v>3.9039393143660998E-2</v>
      </c>
    </row>
    <row r="22" spans="1:23">
      <c r="A22" s="145">
        <v>7123</v>
      </c>
      <c r="B22" s="562" t="s">
        <v>138</v>
      </c>
      <c r="C22" s="563"/>
      <c r="D22" s="563"/>
      <c r="E22" s="563"/>
      <c r="F22" s="563"/>
      <c r="G22" s="153">
        <v>365962.97</v>
      </c>
      <c r="H22" s="153">
        <v>960588.74</v>
      </c>
      <c r="I22" s="153">
        <v>1116426.95</v>
      </c>
      <c r="J22" s="153">
        <v>1036934.31</v>
      </c>
      <c r="K22" s="153">
        <v>1027117.44</v>
      </c>
      <c r="L22" s="153">
        <v>1092483.07</v>
      </c>
      <c r="M22" s="153">
        <v>1188738.43</v>
      </c>
      <c r="N22" s="153">
        <v>1194470.45</v>
      </c>
      <c r="O22" s="153">
        <v>1084116.54</v>
      </c>
      <c r="P22" s="153">
        <v>1217359.6499999999</v>
      </c>
      <c r="Q22" s="153">
        <v>1157240.48</v>
      </c>
      <c r="R22" s="153">
        <v>2149158.34</v>
      </c>
      <c r="S22" s="154">
        <f t="shared" si="3"/>
        <v>13590597.369999999</v>
      </c>
      <c r="T22" s="155">
        <f t="shared" si="4"/>
        <v>2.9144796242009099E-3</v>
      </c>
    </row>
    <row r="23" spans="1:23">
      <c r="A23" s="145">
        <v>7124</v>
      </c>
      <c r="B23" s="562" t="s">
        <v>139</v>
      </c>
      <c r="C23" s="563"/>
      <c r="D23" s="563"/>
      <c r="E23" s="563"/>
      <c r="F23" s="563"/>
      <c r="G23" s="153">
        <v>305317.27</v>
      </c>
      <c r="H23" s="153">
        <v>850763.28</v>
      </c>
      <c r="I23" s="153">
        <v>1091854.18</v>
      </c>
      <c r="J23" s="153">
        <v>1024094.45</v>
      </c>
      <c r="K23" s="153">
        <v>941421.76</v>
      </c>
      <c r="L23" s="153">
        <v>937061.58</v>
      </c>
      <c r="M23" s="153">
        <v>1149857.18</v>
      </c>
      <c r="N23" s="153">
        <v>1150210.73</v>
      </c>
      <c r="O23" s="153">
        <v>1018064.8</v>
      </c>
      <c r="P23" s="153">
        <v>998773.49</v>
      </c>
      <c r="Q23" s="153">
        <v>806855.25</v>
      </c>
      <c r="R23" s="153">
        <v>1546519.43</v>
      </c>
      <c r="S23" s="154">
        <f t="shared" si="3"/>
        <v>11820793.4</v>
      </c>
      <c r="T23" s="155">
        <f t="shared" si="4"/>
        <v>2.53494828580803E-3</v>
      </c>
    </row>
    <row r="24" spans="1:23">
      <c r="A24" s="145">
        <v>713</v>
      </c>
      <c r="B24" s="566" t="s">
        <v>140</v>
      </c>
      <c r="C24" s="567"/>
      <c r="D24" s="567"/>
      <c r="E24" s="567"/>
      <c r="F24" s="567"/>
      <c r="G24" s="159">
        <v>814937.81</v>
      </c>
      <c r="H24" s="159">
        <v>993423.94</v>
      </c>
      <c r="I24" s="159">
        <v>1111103.6599999999</v>
      </c>
      <c r="J24" s="159">
        <v>1198538.77</v>
      </c>
      <c r="K24" s="159">
        <v>1382138.78</v>
      </c>
      <c r="L24" s="159">
        <v>1616613.01</v>
      </c>
      <c r="M24" s="159">
        <v>2005608.26</v>
      </c>
      <c r="N24" s="159">
        <v>1882210.04</v>
      </c>
      <c r="O24" s="159">
        <v>1545122.56</v>
      </c>
      <c r="P24" s="159">
        <v>1572482.29</v>
      </c>
      <c r="Q24" s="159">
        <v>1331866.75</v>
      </c>
      <c r="R24" s="160">
        <v>1446961.78</v>
      </c>
      <c r="S24" s="157">
        <f t="shared" si="3"/>
        <v>16901007.649999999</v>
      </c>
      <c r="T24" s="158">
        <f t="shared" si="4"/>
        <v>3.6243912672389599E-3</v>
      </c>
    </row>
    <row r="25" spans="1:23">
      <c r="A25" s="145">
        <v>714</v>
      </c>
      <c r="B25" s="566" t="s">
        <v>141</v>
      </c>
      <c r="C25" s="567"/>
      <c r="D25" s="567"/>
      <c r="E25" s="567"/>
      <c r="F25" s="567"/>
      <c r="G25" s="159">
        <v>1774503.57</v>
      </c>
      <c r="H25" s="159">
        <v>1885893.46</v>
      </c>
      <c r="I25" s="159">
        <v>2001213.06</v>
      </c>
      <c r="J25" s="159">
        <v>2389766.7799999998</v>
      </c>
      <c r="K25" s="159">
        <v>1530724.52</v>
      </c>
      <c r="L25" s="159">
        <v>2860047.35</v>
      </c>
      <c r="M25" s="159">
        <v>3039336.91</v>
      </c>
      <c r="N25" s="159">
        <v>1937135.94</v>
      </c>
      <c r="O25" s="159">
        <v>1933671.64</v>
      </c>
      <c r="P25" s="159">
        <v>2347083.83</v>
      </c>
      <c r="Q25" s="159">
        <v>2034357.41</v>
      </c>
      <c r="R25" s="160">
        <v>2685804.61</v>
      </c>
      <c r="S25" s="157">
        <f t="shared" si="3"/>
        <v>26419539.079999998</v>
      </c>
      <c r="T25" s="158">
        <f t="shared" si="4"/>
        <v>5.6656235361227303E-3</v>
      </c>
      <c r="W25" s="161"/>
    </row>
    <row r="26" spans="1:23">
      <c r="A26" s="145">
        <v>715</v>
      </c>
      <c r="B26" s="566" t="s">
        <v>142</v>
      </c>
      <c r="C26" s="567"/>
      <c r="D26" s="567"/>
      <c r="E26" s="567"/>
      <c r="F26" s="567"/>
      <c r="G26" s="159">
        <v>2425522.83</v>
      </c>
      <c r="H26" s="159">
        <v>1609741.15</v>
      </c>
      <c r="I26" s="159">
        <v>1991465.56</v>
      </c>
      <c r="J26" s="159">
        <v>5482661.4299999997</v>
      </c>
      <c r="K26" s="159">
        <v>2151496.35</v>
      </c>
      <c r="L26" s="159">
        <v>2746748.26</v>
      </c>
      <c r="M26" s="159">
        <v>3904620.91</v>
      </c>
      <c r="N26" s="159">
        <v>3453591.6</v>
      </c>
      <c r="O26" s="159">
        <v>37485104.390000001</v>
      </c>
      <c r="P26" s="159">
        <v>2268381.7599999998</v>
      </c>
      <c r="Q26" s="159">
        <v>3459602.91</v>
      </c>
      <c r="R26" s="160">
        <v>4336127.47</v>
      </c>
      <c r="S26" s="157">
        <f t="shared" si="3"/>
        <v>71315064.620000005</v>
      </c>
      <c r="T26" s="158">
        <f t="shared" si="4"/>
        <v>1.52933897661013E-2</v>
      </c>
    </row>
    <row r="27" spans="1:23">
      <c r="A27" s="145">
        <v>73</v>
      </c>
      <c r="B27" s="566" t="s">
        <v>143</v>
      </c>
      <c r="C27" s="567"/>
      <c r="D27" s="567"/>
      <c r="E27" s="567"/>
      <c r="F27" s="567"/>
      <c r="G27" s="159">
        <v>172043.05</v>
      </c>
      <c r="H27" s="159">
        <v>78777.210000000006</v>
      </c>
      <c r="I27" s="159">
        <v>195694.06</v>
      </c>
      <c r="J27" s="159">
        <v>443978.03</v>
      </c>
      <c r="K27" s="159">
        <v>1090667.1299999999</v>
      </c>
      <c r="L27" s="159">
        <v>2374596.09</v>
      </c>
      <c r="M27" s="159">
        <v>178131.97</v>
      </c>
      <c r="N27" s="159">
        <v>146792.74</v>
      </c>
      <c r="O27" s="159">
        <v>907089.49</v>
      </c>
      <c r="P27" s="159">
        <v>525509.51</v>
      </c>
      <c r="Q27" s="159">
        <v>4230114.6399999997</v>
      </c>
      <c r="R27" s="160">
        <v>942551.18</v>
      </c>
      <c r="S27" s="157">
        <f t="shared" si="3"/>
        <v>11285945.1</v>
      </c>
      <c r="T27" s="158">
        <f t="shared" si="4"/>
        <v>2.4202510116595501E-3</v>
      </c>
    </row>
    <row r="28" spans="1:23">
      <c r="A28" s="145">
        <v>74</v>
      </c>
      <c r="B28" s="568" t="s">
        <v>144</v>
      </c>
      <c r="C28" s="569"/>
      <c r="D28" s="569"/>
      <c r="E28" s="569"/>
      <c r="F28" s="569"/>
      <c r="G28" s="159">
        <v>1517510.59</v>
      </c>
      <c r="H28" s="159">
        <v>776556.18</v>
      </c>
      <c r="I28" s="159">
        <v>1210159.24</v>
      </c>
      <c r="J28" s="159">
        <v>8493510.6400000006</v>
      </c>
      <c r="K28" s="159">
        <v>1746477.29</v>
      </c>
      <c r="L28" s="159">
        <v>1534287.36</v>
      </c>
      <c r="M28" s="159">
        <v>716886.96</v>
      </c>
      <c r="N28" s="159">
        <v>259046.56</v>
      </c>
      <c r="O28" s="159">
        <v>658145.13</v>
      </c>
      <c r="P28" s="159">
        <v>1526648.73</v>
      </c>
      <c r="Q28" s="159">
        <v>4414865.1500000004</v>
      </c>
      <c r="R28" s="160">
        <v>3855321.16</v>
      </c>
      <c r="S28" s="157">
        <f t="shared" si="3"/>
        <v>26709414.989999998</v>
      </c>
      <c r="T28" s="162">
        <f t="shared" si="4"/>
        <v>5.7277869135108801E-3</v>
      </c>
    </row>
    <row r="29" spans="1:23">
      <c r="A29" s="145">
        <v>4</v>
      </c>
      <c r="B29" s="570" t="s">
        <v>145</v>
      </c>
      <c r="C29" s="571"/>
      <c r="D29" s="571"/>
      <c r="E29" s="571"/>
      <c r="F29" s="571"/>
      <c r="G29" s="146">
        <f>+G31+G42+G48+SUM(G49:G53)</f>
        <v>106111880.92</v>
      </c>
      <c r="H29" s="146">
        <f t="shared" ref="H29:R29" si="5">+H31+H42+H48+SUM(H49:H53)</f>
        <v>118973047.14</v>
      </c>
      <c r="I29" s="146">
        <f t="shared" si="5"/>
        <v>172441842.06</v>
      </c>
      <c r="J29" s="146">
        <f t="shared" si="5"/>
        <v>163080353.41</v>
      </c>
      <c r="K29" s="146">
        <f t="shared" si="5"/>
        <v>141754488.21000001</v>
      </c>
      <c r="L29" s="146">
        <f t="shared" si="5"/>
        <v>162100744.02000001</v>
      </c>
      <c r="M29" s="146">
        <f t="shared" si="5"/>
        <v>155869732.34999999</v>
      </c>
      <c r="N29" s="146">
        <f t="shared" si="5"/>
        <v>127160004.33</v>
      </c>
      <c r="O29" s="146">
        <f t="shared" si="5"/>
        <v>166113295.93000001</v>
      </c>
      <c r="P29" s="146">
        <f t="shared" si="5"/>
        <v>158133326.80000001</v>
      </c>
      <c r="Q29" s="146">
        <f t="shared" si="5"/>
        <v>187133728.62</v>
      </c>
      <c r="R29" s="146">
        <f t="shared" si="5"/>
        <v>256046017.87</v>
      </c>
      <c r="S29" s="163">
        <f t="shared" si="3"/>
        <v>1914918461.6600001</v>
      </c>
      <c r="T29" s="164">
        <f t="shared" si="4"/>
        <v>0.41065088506217901</v>
      </c>
    </row>
    <row r="30" spans="1:23">
      <c r="A30" s="145">
        <v>40</v>
      </c>
      <c r="B30" s="572" t="s">
        <v>182</v>
      </c>
      <c r="C30" s="573"/>
      <c r="D30" s="573"/>
      <c r="E30" s="573"/>
      <c r="F30" s="573"/>
      <c r="G30" s="165">
        <f>+G29-G49</f>
        <v>104051306.65000001</v>
      </c>
      <c r="H30" s="165">
        <f t="shared" ref="H30:R30" si="6">+H29-H49</f>
        <v>116014651.65000001</v>
      </c>
      <c r="I30" s="165">
        <f t="shared" si="6"/>
        <v>161635336.38999999</v>
      </c>
      <c r="J30" s="165">
        <f t="shared" si="6"/>
        <v>134304861.93000001</v>
      </c>
      <c r="K30" s="165">
        <f t="shared" si="6"/>
        <v>129440129.29000001</v>
      </c>
      <c r="L30" s="165">
        <f t="shared" si="6"/>
        <v>139850147.46000001</v>
      </c>
      <c r="M30" s="165">
        <f t="shared" si="6"/>
        <v>133650268.63</v>
      </c>
      <c r="N30" s="165">
        <f t="shared" si="6"/>
        <v>120092933.76000001</v>
      </c>
      <c r="O30" s="165">
        <f t="shared" si="6"/>
        <v>127759879.86</v>
      </c>
      <c r="P30" s="165">
        <f t="shared" si="6"/>
        <v>130847228.48</v>
      </c>
      <c r="Q30" s="165">
        <f t="shared" si="6"/>
        <v>162421720.44</v>
      </c>
      <c r="R30" s="165">
        <f t="shared" si="6"/>
        <v>211487546.94</v>
      </c>
      <c r="S30" s="166">
        <f t="shared" si="3"/>
        <v>1671556011.48</v>
      </c>
      <c r="T30" s="167">
        <f t="shared" si="4"/>
        <v>0.358462237055368</v>
      </c>
    </row>
    <row r="31" spans="1:23">
      <c r="A31" s="145">
        <v>41</v>
      </c>
      <c r="B31" s="574" t="s">
        <v>146</v>
      </c>
      <c r="C31" s="575"/>
      <c r="D31" s="575"/>
      <c r="E31" s="575"/>
      <c r="F31" s="575"/>
      <c r="G31" s="168">
        <f>+SUM(G32:G41)</f>
        <v>48875827.799999997</v>
      </c>
      <c r="H31" s="168">
        <f t="shared" ref="H31:R31" si="7">+SUM(H32:H41)</f>
        <v>54703640.710000001</v>
      </c>
      <c r="I31" s="168">
        <f t="shared" si="7"/>
        <v>95706627.480000004</v>
      </c>
      <c r="J31" s="168">
        <f t="shared" si="7"/>
        <v>72361165.060000002</v>
      </c>
      <c r="K31" s="168">
        <f t="shared" si="7"/>
        <v>66893583.369999997</v>
      </c>
      <c r="L31" s="168">
        <f t="shared" si="7"/>
        <v>72162166.459999993</v>
      </c>
      <c r="M31" s="168">
        <f t="shared" si="7"/>
        <v>62873678.450000003</v>
      </c>
      <c r="N31" s="168">
        <f t="shared" si="7"/>
        <v>54571129.890000001</v>
      </c>
      <c r="O31" s="168">
        <f t="shared" si="7"/>
        <v>63478184.119999997</v>
      </c>
      <c r="P31" s="168">
        <f t="shared" si="7"/>
        <v>65885930.93</v>
      </c>
      <c r="Q31" s="168">
        <f t="shared" si="7"/>
        <v>94991094.109999999</v>
      </c>
      <c r="R31" s="169">
        <f t="shared" si="7"/>
        <v>114128464.2</v>
      </c>
      <c r="S31" s="170">
        <f t="shared" si="3"/>
        <v>866631492.58000004</v>
      </c>
      <c r="T31" s="152">
        <f t="shared" si="4"/>
        <v>0.185847594336851</v>
      </c>
    </row>
    <row r="32" spans="1:23">
      <c r="A32" s="145">
        <v>411</v>
      </c>
      <c r="B32" s="562" t="s">
        <v>147</v>
      </c>
      <c r="C32" s="563"/>
      <c r="D32" s="563"/>
      <c r="E32" s="563"/>
      <c r="F32" s="563"/>
      <c r="G32" s="153">
        <v>37313745.240000002</v>
      </c>
      <c r="H32" s="153">
        <v>38053361.399999999</v>
      </c>
      <c r="I32" s="153">
        <v>36623552.420000002</v>
      </c>
      <c r="J32" s="153">
        <v>38350898.119999997</v>
      </c>
      <c r="K32" s="153">
        <v>38447534.82</v>
      </c>
      <c r="L32" s="153">
        <v>38983266.57</v>
      </c>
      <c r="M32" s="153">
        <v>37411972.93</v>
      </c>
      <c r="N32" s="153">
        <v>36767851.93</v>
      </c>
      <c r="O32" s="153">
        <v>38163535.509999998</v>
      </c>
      <c r="P32" s="153">
        <v>39555048.049999997</v>
      </c>
      <c r="Q32" s="153">
        <v>45304980.549999997</v>
      </c>
      <c r="R32" s="153">
        <v>34820487.009999998</v>
      </c>
      <c r="S32" s="154">
        <f t="shared" si="3"/>
        <v>459796234.55000001</v>
      </c>
      <c r="T32" s="155">
        <f t="shared" si="4"/>
        <v>9.8602491148649093E-2</v>
      </c>
    </row>
    <row r="33" spans="1:22">
      <c r="A33" s="145">
        <v>412</v>
      </c>
      <c r="B33" s="562" t="s">
        <v>148</v>
      </c>
      <c r="C33" s="563"/>
      <c r="D33" s="563"/>
      <c r="E33" s="563"/>
      <c r="F33" s="563"/>
      <c r="G33" s="153">
        <v>363127.64</v>
      </c>
      <c r="H33" s="153">
        <v>848575.97</v>
      </c>
      <c r="I33" s="153">
        <v>933832.27</v>
      </c>
      <c r="J33" s="153">
        <v>983620.43</v>
      </c>
      <c r="K33" s="153">
        <v>835475.63</v>
      </c>
      <c r="L33" s="153">
        <v>1164263.1200000001</v>
      </c>
      <c r="M33" s="153">
        <v>853949.13</v>
      </c>
      <c r="N33" s="153">
        <v>804909.73</v>
      </c>
      <c r="O33" s="153">
        <v>963637.57</v>
      </c>
      <c r="P33" s="153">
        <v>1011368.26</v>
      </c>
      <c r="Q33" s="153">
        <v>1172083.78</v>
      </c>
      <c r="R33" s="153">
        <v>3278096.68</v>
      </c>
      <c r="S33" s="154">
        <f t="shared" si="3"/>
        <v>13212940.210000001</v>
      </c>
      <c r="T33" s="155">
        <f t="shared" si="4"/>
        <v>2.8334917126479398E-3</v>
      </c>
      <c r="U33" s="171"/>
    </row>
    <row r="34" spans="1:22">
      <c r="A34" s="145">
        <v>413</v>
      </c>
      <c r="B34" s="562" t="s">
        <v>149</v>
      </c>
      <c r="C34" s="563"/>
      <c r="D34" s="563"/>
      <c r="E34" s="563"/>
      <c r="F34" s="563"/>
      <c r="G34" s="153">
        <v>1028193.82</v>
      </c>
      <c r="H34" s="153">
        <v>2319006.39</v>
      </c>
      <c r="I34" s="153">
        <v>3799655</v>
      </c>
      <c r="J34" s="153">
        <v>2444213.75</v>
      </c>
      <c r="K34" s="153">
        <v>2819164.34</v>
      </c>
      <c r="L34" s="153">
        <v>2228904.96</v>
      </c>
      <c r="M34" s="153">
        <v>2858658.74</v>
      </c>
      <c r="N34" s="153">
        <v>2380224.89</v>
      </c>
      <c r="O34" s="153">
        <v>1933588.85</v>
      </c>
      <c r="P34" s="153">
        <v>2993464.74</v>
      </c>
      <c r="Q34" s="153">
        <v>3031428.93</v>
      </c>
      <c r="R34" s="153">
        <v>8894630.3100000005</v>
      </c>
      <c r="S34" s="154">
        <f t="shared" si="3"/>
        <v>36731134.719999999</v>
      </c>
      <c r="T34" s="155">
        <f t="shared" si="4"/>
        <v>7.8769270254099698E-3</v>
      </c>
      <c r="U34" s="172"/>
      <c r="V34" s="173"/>
    </row>
    <row r="35" spans="1:22">
      <c r="A35" s="145">
        <v>414</v>
      </c>
      <c r="B35" s="562" t="s">
        <v>150</v>
      </c>
      <c r="C35" s="563"/>
      <c r="D35" s="563"/>
      <c r="E35" s="563"/>
      <c r="F35" s="563"/>
      <c r="G35" s="153">
        <v>1680235.02</v>
      </c>
      <c r="H35" s="153">
        <v>3138627.78</v>
      </c>
      <c r="I35" s="153">
        <v>4224659.0199999996</v>
      </c>
      <c r="J35" s="153">
        <v>4569774.72</v>
      </c>
      <c r="K35" s="153">
        <v>4902792.45</v>
      </c>
      <c r="L35" s="153">
        <v>14378872.84</v>
      </c>
      <c r="M35" s="153">
        <v>4934074.01</v>
      </c>
      <c r="N35" s="153">
        <v>3590546.61</v>
      </c>
      <c r="O35" s="153">
        <v>5520674.5999999996</v>
      </c>
      <c r="P35" s="153">
        <v>5584761.9900000002</v>
      </c>
      <c r="Q35" s="153">
        <v>5166021.46</v>
      </c>
      <c r="R35" s="153">
        <v>17447882.190000001</v>
      </c>
      <c r="S35" s="154">
        <f t="shared" si="3"/>
        <v>75138922.689999998</v>
      </c>
      <c r="T35" s="155">
        <f t="shared" si="4"/>
        <v>1.61134093816814E-2</v>
      </c>
    </row>
    <row r="36" spans="1:22">
      <c r="A36" s="145">
        <v>415</v>
      </c>
      <c r="B36" s="562" t="s">
        <v>151</v>
      </c>
      <c r="C36" s="563"/>
      <c r="D36" s="563"/>
      <c r="E36" s="563"/>
      <c r="F36" s="563"/>
      <c r="G36" s="153">
        <v>106817.18</v>
      </c>
      <c r="H36" s="153">
        <v>1250394.3700000001</v>
      </c>
      <c r="I36" s="153">
        <v>1932637.76</v>
      </c>
      <c r="J36" s="153">
        <v>1701228.15</v>
      </c>
      <c r="K36" s="153">
        <v>1674065.37</v>
      </c>
      <c r="L36" s="153">
        <v>1595157.28</v>
      </c>
      <c r="M36" s="153">
        <v>1764069.48</v>
      </c>
      <c r="N36" s="153">
        <v>822546.3</v>
      </c>
      <c r="O36" s="153">
        <v>2309329.44</v>
      </c>
      <c r="P36" s="153">
        <v>1824056.36</v>
      </c>
      <c r="Q36" s="153">
        <v>1126241.5900000001</v>
      </c>
      <c r="R36" s="153">
        <v>4866689.49</v>
      </c>
      <c r="S36" s="154">
        <f t="shared" si="3"/>
        <v>20973232.77</v>
      </c>
      <c r="T36" s="155">
        <f t="shared" si="4"/>
        <v>4.4976727584262102E-3</v>
      </c>
    </row>
    <row r="37" spans="1:22">
      <c r="A37" s="145">
        <v>416</v>
      </c>
      <c r="B37" s="562" t="s">
        <v>152</v>
      </c>
      <c r="C37" s="563"/>
      <c r="D37" s="563"/>
      <c r="E37" s="563"/>
      <c r="F37" s="563"/>
      <c r="G37" s="153">
        <v>4324077.55</v>
      </c>
      <c r="H37" s="153">
        <v>1050801.23</v>
      </c>
      <c r="I37" s="153">
        <v>39514676.710000001</v>
      </c>
      <c r="J37" s="153">
        <v>17000784.449999999</v>
      </c>
      <c r="K37" s="153">
        <v>10064809.060000001</v>
      </c>
      <c r="L37" s="153">
        <v>1838720.63</v>
      </c>
      <c r="M37" s="153">
        <v>7518062.3499999996</v>
      </c>
      <c r="N37" s="153">
        <v>1168435.74</v>
      </c>
      <c r="O37" s="153">
        <v>3617355.6</v>
      </c>
      <c r="P37" s="153">
        <v>1538688.3</v>
      </c>
      <c r="Q37" s="153">
        <v>4283049.2</v>
      </c>
      <c r="R37" s="153">
        <v>5677848.6699999999</v>
      </c>
      <c r="S37" s="154">
        <f t="shared" si="3"/>
        <v>97597309.489999995</v>
      </c>
      <c r="T37" s="155">
        <f t="shared" si="4"/>
        <v>2.0929570801157201E-2</v>
      </c>
    </row>
    <row r="38" spans="1:22">
      <c r="A38" s="145">
        <v>417</v>
      </c>
      <c r="B38" s="562" t="s">
        <v>153</v>
      </c>
      <c r="C38" s="563"/>
      <c r="D38" s="563"/>
      <c r="E38" s="563"/>
      <c r="F38" s="563"/>
      <c r="G38" s="153">
        <v>175603.34</v>
      </c>
      <c r="H38" s="153">
        <v>1124463.03</v>
      </c>
      <c r="I38" s="153">
        <v>523950.18</v>
      </c>
      <c r="J38" s="153">
        <v>641415.42000000004</v>
      </c>
      <c r="K38" s="153">
        <v>933048.68</v>
      </c>
      <c r="L38" s="153">
        <v>835746.88</v>
      </c>
      <c r="M38" s="153">
        <v>824828.88</v>
      </c>
      <c r="N38" s="153">
        <v>555711.06999999995</v>
      </c>
      <c r="O38" s="153">
        <v>949304.64</v>
      </c>
      <c r="P38" s="153">
        <v>827176.94</v>
      </c>
      <c r="Q38" s="153">
        <v>584262.68000000005</v>
      </c>
      <c r="R38" s="153">
        <v>2717616.81</v>
      </c>
      <c r="S38" s="154">
        <f t="shared" si="3"/>
        <v>10693128.550000001</v>
      </c>
      <c r="T38" s="155">
        <f t="shared" si="4"/>
        <v>2.2931225485886102E-3</v>
      </c>
    </row>
    <row r="39" spans="1:22">
      <c r="A39" s="145">
        <v>418</v>
      </c>
      <c r="B39" s="562" t="s">
        <v>154</v>
      </c>
      <c r="C39" s="563"/>
      <c r="D39" s="563"/>
      <c r="E39" s="563"/>
      <c r="F39" s="563"/>
      <c r="G39" s="153">
        <v>31033.66</v>
      </c>
      <c r="H39" s="153">
        <v>2281116.2599999998</v>
      </c>
      <c r="I39" s="153">
        <v>3600137.18</v>
      </c>
      <c r="J39" s="153">
        <v>1218773.67</v>
      </c>
      <c r="K39" s="153">
        <v>1488510.36</v>
      </c>
      <c r="L39" s="153">
        <v>2469572.83</v>
      </c>
      <c r="M39" s="153">
        <v>1172428.94</v>
      </c>
      <c r="N39" s="153">
        <v>2244079.69</v>
      </c>
      <c r="O39" s="153">
        <v>3480196.8</v>
      </c>
      <c r="P39" s="153">
        <v>3547724.18</v>
      </c>
      <c r="Q39" s="153">
        <v>2265915.5499999998</v>
      </c>
      <c r="R39" s="153">
        <v>6761395.8499999996</v>
      </c>
      <c r="S39" s="154">
        <f t="shared" si="3"/>
        <v>30560884.969999999</v>
      </c>
      <c r="T39" s="155">
        <f t="shared" si="4"/>
        <v>6.5537278544668502E-3</v>
      </c>
    </row>
    <row r="40" spans="1:22">
      <c r="A40" s="145">
        <v>419</v>
      </c>
      <c r="B40" s="562" t="s">
        <v>155</v>
      </c>
      <c r="C40" s="563"/>
      <c r="D40" s="563"/>
      <c r="E40" s="563"/>
      <c r="F40" s="563"/>
      <c r="G40" s="153">
        <v>586002.18999999994</v>
      </c>
      <c r="H40" s="153">
        <v>3384331.52</v>
      </c>
      <c r="I40" s="153">
        <v>2155321.13</v>
      </c>
      <c r="J40" s="153">
        <v>2882966.63</v>
      </c>
      <c r="K40" s="153">
        <v>2637225.6800000002</v>
      </c>
      <c r="L40" s="153">
        <v>3635960.61</v>
      </c>
      <c r="M40" s="153">
        <v>2919935.46</v>
      </c>
      <c r="N40" s="153">
        <v>3454663.76</v>
      </c>
      <c r="O40" s="153">
        <v>3201193.66</v>
      </c>
      <c r="P40" s="153">
        <v>3091262.43</v>
      </c>
      <c r="Q40" s="153">
        <v>3357403.41</v>
      </c>
      <c r="R40" s="153">
        <v>12250161.189999999</v>
      </c>
      <c r="S40" s="154">
        <f t="shared" si="3"/>
        <v>43556427.670000002</v>
      </c>
      <c r="T40" s="155">
        <f t="shared" si="4"/>
        <v>9.3405990547121807E-3</v>
      </c>
    </row>
    <row r="41" spans="1:22">
      <c r="A41" s="145">
        <v>440</v>
      </c>
      <c r="B41" s="562" t="s">
        <v>199</v>
      </c>
      <c r="C41" s="563"/>
      <c r="D41" s="563"/>
      <c r="E41" s="563"/>
      <c r="F41" s="563"/>
      <c r="G41" s="153">
        <v>3266992.16</v>
      </c>
      <c r="H41" s="153">
        <v>1252962.76</v>
      </c>
      <c r="I41" s="153">
        <v>2398205.81</v>
      </c>
      <c r="J41" s="153">
        <v>2567489.7200000002</v>
      </c>
      <c r="K41" s="153">
        <v>3090956.98</v>
      </c>
      <c r="L41" s="153">
        <v>5031700.74</v>
      </c>
      <c r="M41" s="153">
        <v>2615698.5299999998</v>
      </c>
      <c r="N41" s="153">
        <v>2782160.17</v>
      </c>
      <c r="O41" s="153">
        <v>3339367.45</v>
      </c>
      <c r="P41" s="153">
        <v>5912379.6799999997</v>
      </c>
      <c r="Q41" s="153">
        <v>28699706.960000001</v>
      </c>
      <c r="R41" s="153">
        <v>17413656</v>
      </c>
      <c r="S41" s="154">
        <f t="shared" si="3"/>
        <v>78371276.959999993</v>
      </c>
      <c r="T41" s="155">
        <f t="shared" si="4"/>
        <v>1.6806582051111602E-2</v>
      </c>
    </row>
    <row r="42" spans="1:22">
      <c r="A42" s="145">
        <v>42</v>
      </c>
      <c r="B42" s="576" t="s">
        <v>156</v>
      </c>
      <c r="C42" s="577"/>
      <c r="D42" s="577"/>
      <c r="E42" s="577"/>
      <c r="F42" s="577"/>
      <c r="G42" s="174">
        <f>+SUM(G43:G47)</f>
        <v>42244817.57</v>
      </c>
      <c r="H42" s="174">
        <f t="shared" ref="H42:R42" si="8">+SUM(H43:H47)</f>
        <v>45525440.090000004</v>
      </c>
      <c r="I42" s="174">
        <f t="shared" si="8"/>
        <v>45200709.079999998</v>
      </c>
      <c r="J42" s="159">
        <f t="shared" si="8"/>
        <v>43012361.310000002</v>
      </c>
      <c r="K42" s="174">
        <f t="shared" si="8"/>
        <v>43668965.609999999</v>
      </c>
      <c r="L42" s="174">
        <f t="shared" si="8"/>
        <v>45562152.020000003</v>
      </c>
      <c r="M42" s="174">
        <f t="shared" si="8"/>
        <v>43960900.18</v>
      </c>
      <c r="N42" s="174">
        <f t="shared" si="8"/>
        <v>47054124.259999998</v>
      </c>
      <c r="O42" s="174">
        <f t="shared" si="8"/>
        <v>45439390.600000001</v>
      </c>
      <c r="P42" s="174">
        <f t="shared" si="8"/>
        <v>45490648.009999998</v>
      </c>
      <c r="Q42" s="174">
        <f t="shared" si="8"/>
        <v>45937393.469999999</v>
      </c>
      <c r="R42" s="175">
        <f t="shared" si="8"/>
        <v>51388669.280000001</v>
      </c>
      <c r="S42" s="157">
        <f t="shared" si="3"/>
        <v>544485571.48000002</v>
      </c>
      <c r="T42" s="158">
        <f t="shared" si="4"/>
        <v>0.116763970011559</v>
      </c>
    </row>
    <row r="43" spans="1:22">
      <c r="A43" s="145">
        <v>421</v>
      </c>
      <c r="B43" s="562" t="s">
        <v>157</v>
      </c>
      <c r="C43" s="563"/>
      <c r="D43" s="563"/>
      <c r="E43" s="563"/>
      <c r="F43" s="563"/>
      <c r="G43" s="153">
        <v>6003212.1200000001</v>
      </c>
      <c r="H43" s="153">
        <v>7135869.1500000004</v>
      </c>
      <c r="I43" s="153">
        <v>6207886.6699999999</v>
      </c>
      <c r="J43" s="153">
        <v>6327448.5300000003</v>
      </c>
      <c r="K43" s="153">
        <v>6153473.4699999997</v>
      </c>
      <c r="L43" s="153">
        <v>6326119.0300000003</v>
      </c>
      <c r="M43" s="153">
        <v>6430553.0499999998</v>
      </c>
      <c r="N43" s="153">
        <v>6218395.7000000002</v>
      </c>
      <c r="O43" s="153">
        <v>6862261.6200000001</v>
      </c>
      <c r="P43" s="153">
        <v>7143348.9900000002</v>
      </c>
      <c r="Q43" s="153">
        <v>7029331</v>
      </c>
      <c r="R43" s="153">
        <v>10456885.15</v>
      </c>
      <c r="S43" s="154">
        <f t="shared" si="3"/>
        <v>82294784.480000004</v>
      </c>
      <c r="T43" s="155">
        <f t="shared" si="4"/>
        <v>1.7647971315404E-2</v>
      </c>
    </row>
    <row r="44" spans="1:22">
      <c r="A44" s="145">
        <v>422</v>
      </c>
      <c r="B44" s="562" t="s">
        <v>158</v>
      </c>
      <c r="C44" s="563"/>
      <c r="D44" s="563"/>
      <c r="E44" s="563"/>
      <c r="F44" s="563"/>
      <c r="G44" s="153">
        <v>110952</v>
      </c>
      <c r="H44" s="153">
        <v>1323906.01</v>
      </c>
      <c r="I44" s="153">
        <v>1098216.9099999999</v>
      </c>
      <c r="J44" s="153">
        <v>945506.13</v>
      </c>
      <c r="K44" s="153">
        <v>1061504.47</v>
      </c>
      <c r="L44" s="153">
        <v>1474735.96</v>
      </c>
      <c r="M44" s="153">
        <v>980063.88</v>
      </c>
      <c r="N44" s="153">
        <v>960558.89</v>
      </c>
      <c r="O44" s="153">
        <v>1031337.39</v>
      </c>
      <c r="P44" s="153">
        <v>1282662.6599999999</v>
      </c>
      <c r="Q44" s="153">
        <v>1131669.69</v>
      </c>
      <c r="R44" s="153">
        <v>2795677.95</v>
      </c>
      <c r="S44" s="154">
        <f t="shared" si="3"/>
        <v>14196791.939999999</v>
      </c>
      <c r="T44" s="155">
        <f t="shared" si="4"/>
        <v>3.0444769800541702E-3</v>
      </c>
    </row>
    <row r="45" spans="1:22">
      <c r="A45" s="145">
        <v>423</v>
      </c>
      <c r="B45" s="562" t="s">
        <v>159</v>
      </c>
      <c r="C45" s="563"/>
      <c r="D45" s="563"/>
      <c r="E45" s="563"/>
      <c r="F45" s="563"/>
      <c r="G45" s="153">
        <v>34029606.390000001</v>
      </c>
      <c r="H45" s="153">
        <v>34751702.420000002</v>
      </c>
      <c r="I45" s="153">
        <v>34761880.880000003</v>
      </c>
      <c r="J45" s="153">
        <v>34790406.869999997</v>
      </c>
      <c r="K45" s="153">
        <v>34624926.579999998</v>
      </c>
      <c r="L45" s="153">
        <v>34392603.229999997</v>
      </c>
      <c r="M45" s="153">
        <v>34541467.619999997</v>
      </c>
      <c r="N45" s="153">
        <v>34591609.219999999</v>
      </c>
      <c r="O45" s="153">
        <v>34579708.640000001</v>
      </c>
      <c r="P45" s="153">
        <v>34511618.530000001</v>
      </c>
      <c r="Q45" s="153">
        <v>34549297.82</v>
      </c>
      <c r="R45" s="153">
        <v>34625437.600000001</v>
      </c>
      <c r="S45" s="154">
        <f t="shared" si="3"/>
        <v>414750265.80000001</v>
      </c>
      <c r="T45" s="155">
        <f t="shared" si="4"/>
        <v>8.8942462637756195E-2</v>
      </c>
    </row>
    <row r="46" spans="1:22">
      <c r="A46" s="145">
        <v>424</v>
      </c>
      <c r="B46" s="562" t="s">
        <v>160</v>
      </c>
      <c r="C46" s="563"/>
      <c r="D46" s="563"/>
      <c r="E46" s="563"/>
      <c r="F46" s="563"/>
      <c r="G46" s="153">
        <v>1365364.87</v>
      </c>
      <c r="H46" s="153">
        <v>1602918.54</v>
      </c>
      <c r="I46" s="153">
        <v>2368731.41</v>
      </c>
      <c r="J46" s="153">
        <v>425632.96</v>
      </c>
      <c r="K46" s="153">
        <v>1118465.46</v>
      </c>
      <c r="L46" s="153">
        <v>2503607.61</v>
      </c>
      <c r="M46" s="153">
        <v>1103217.6599999999</v>
      </c>
      <c r="N46" s="153">
        <v>1728889.83</v>
      </c>
      <c r="O46" s="153">
        <v>1736713.62</v>
      </c>
      <c r="P46" s="153">
        <v>1661059.04</v>
      </c>
      <c r="Q46" s="153">
        <v>2052677.16</v>
      </c>
      <c r="R46" s="153">
        <v>2337551.12</v>
      </c>
      <c r="S46" s="154">
        <f t="shared" si="3"/>
        <v>20004829.280000001</v>
      </c>
      <c r="T46" s="155">
        <f t="shared" si="4"/>
        <v>4.2900003388282098E-3</v>
      </c>
    </row>
    <row r="47" spans="1:22">
      <c r="A47" s="145">
        <v>425</v>
      </c>
      <c r="B47" s="661" t="s">
        <v>161</v>
      </c>
      <c r="C47" s="662"/>
      <c r="D47" s="662"/>
      <c r="E47" s="662"/>
      <c r="F47" s="662"/>
      <c r="G47" s="153">
        <v>735682.19</v>
      </c>
      <c r="H47" s="153">
        <v>711043.97</v>
      </c>
      <c r="I47" s="153">
        <v>763993.21</v>
      </c>
      <c r="J47" s="153">
        <v>523366.82</v>
      </c>
      <c r="K47" s="153">
        <v>710595.63</v>
      </c>
      <c r="L47" s="153">
        <v>865086.19</v>
      </c>
      <c r="M47" s="153">
        <v>905597.97</v>
      </c>
      <c r="N47" s="153">
        <v>3554670.62</v>
      </c>
      <c r="O47" s="153">
        <v>1229369.33</v>
      </c>
      <c r="P47" s="153">
        <v>891958.79</v>
      </c>
      <c r="Q47" s="153">
        <v>1174417.8</v>
      </c>
      <c r="R47" s="153">
        <v>1173117.46</v>
      </c>
      <c r="S47" s="154">
        <f t="shared" si="3"/>
        <v>13238899.98</v>
      </c>
      <c r="T47" s="155">
        <f t="shared" si="4"/>
        <v>2.8390587395161599E-3</v>
      </c>
    </row>
    <row r="48" spans="1:22">
      <c r="A48" s="145">
        <v>43</v>
      </c>
      <c r="B48" s="580" t="s">
        <v>162</v>
      </c>
      <c r="C48" s="581"/>
      <c r="D48" s="581"/>
      <c r="E48" s="581"/>
      <c r="F48" s="581"/>
      <c r="G48" s="159">
        <v>11036841.98</v>
      </c>
      <c r="H48" s="159">
        <v>13096709.15</v>
      </c>
      <c r="I48" s="159">
        <v>16347312.470000001</v>
      </c>
      <c r="J48" s="159">
        <v>15696656.369999999</v>
      </c>
      <c r="K48" s="159">
        <v>13306183.48</v>
      </c>
      <c r="L48" s="159">
        <v>17878544.43</v>
      </c>
      <c r="M48" s="159">
        <v>20218156.109999999</v>
      </c>
      <c r="N48" s="159">
        <v>17179475.350000001</v>
      </c>
      <c r="O48" s="159">
        <v>16100951.01</v>
      </c>
      <c r="P48" s="159">
        <v>16865388.859999999</v>
      </c>
      <c r="Q48" s="159">
        <v>17575098.66</v>
      </c>
      <c r="R48" s="160">
        <v>33425392.469999999</v>
      </c>
      <c r="S48" s="157">
        <f t="shared" si="3"/>
        <v>208726710.34</v>
      </c>
      <c r="T48" s="158">
        <f t="shared" si="4"/>
        <v>4.4761074715909697E-2</v>
      </c>
    </row>
    <row r="49" spans="1:22">
      <c r="A49" s="145">
        <v>44</v>
      </c>
      <c r="B49" s="580" t="s">
        <v>163</v>
      </c>
      <c r="C49" s="581"/>
      <c r="D49" s="581"/>
      <c r="E49" s="581"/>
      <c r="F49" s="581"/>
      <c r="G49" s="159">
        <v>2060574.27</v>
      </c>
      <c r="H49" s="159">
        <v>2958395.49</v>
      </c>
      <c r="I49" s="159">
        <v>10806505.67</v>
      </c>
      <c r="J49" s="159">
        <v>28775491.48</v>
      </c>
      <c r="K49" s="159">
        <v>12314358.92</v>
      </c>
      <c r="L49" s="159">
        <v>22250596.559999999</v>
      </c>
      <c r="M49" s="159">
        <v>22219463.719999999</v>
      </c>
      <c r="N49" s="159">
        <v>7067070.5700000003</v>
      </c>
      <c r="O49" s="159">
        <v>38353416.07</v>
      </c>
      <c r="P49" s="159">
        <v>27286098.32</v>
      </c>
      <c r="Q49" s="159">
        <v>24712008.18</v>
      </c>
      <c r="R49" s="159">
        <v>44558470.93</v>
      </c>
      <c r="S49" s="157">
        <f t="shared" si="3"/>
        <v>243362450.18000001</v>
      </c>
      <c r="T49" s="158">
        <f t="shared" si="4"/>
        <v>5.2188648006810903E-2</v>
      </c>
    </row>
    <row r="50" spans="1:22">
      <c r="A50" s="145">
        <v>451</v>
      </c>
      <c r="B50" s="604" t="s">
        <v>22</v>
      </c>
      <c r="C50" s="605"/>
      <c r="D50" s="605"/>
      <c r="E50" s="605"/>
      <c r="F50" s="605"/>
      <c r="G50" s="153">
        <v>5000</v>
      </c>
      <c r="H50" s="153">
        <v>380906.62</v>
      </c>
      <c r="I50" s="153">
        <v>0</v>
      </c>
      <c r="J50" s="176">
        <v>285264</v>
      </c>
      <c r="K50" s="153">
        <v>278222</v>
      </c>
      <c r="L50" s="153">
        <v>285000.05</v>
      </c>
      <c r="M50" s="153">
        <v>236298.33</v>
      </c>
      <c r="N50" s="153">
        <v>114200</v>
      </c>
      <c r="O50" s="153">
        <v>359390</v>
      </c>
      <c r="P50" s="153">
        <v>80000</v>
      </c>
      <c r="Q50" s="153">
        <v>305000</v>
      </c>
      <c r="R50" s="153">
        <v>2267088</v>
      </c>
      <c r="S50" s="154">
        <f t="shared" si="3"/>
        <v>4596369</v>
      </c>
      <c r="T50" s="155">
        <f t="shared" si="4"/>
        <v>9.8568322135561309E-4</v>
      </c>
    </row>
    <row r="51" spans="1:22">
      <c r="A51" s="145">
        <v>47</v>
      </c>
      <c r="B51" s="582" t="s">
        <v>164</v>
      </c>
      <c r="C51" s="583"/>
      <c r="D51" s="583"/>
      <c r="E51" s="583"/>
      <c r="F51" s="583"/>
      <c r="G51" s="153">
        <v>190000</v>
      </c>
      <c r="H51" s="153">
        <v>92000</v>
      </c>
      <c r="I51" s="153">
        <v>2352909.08</v>
      </c>
      <c r="J51" s="176">
        <v>460039.86</v>
      </c>
      <c r="K51" s="153">
        <v>4042331.56</v>
      </c>
      <c r="L51" s="153">
        <v>1980934.15</v>
      </c>
      <c r="M51" s="153">
        <v>1798952.01</v>
      </c>
      <c r="N51" s="153">
        <v>249386.57</v>
      </c>
      <c r="O51" s="153">
        <v>1509208.74</v>
      </c>
      <c r="P51" s="153">
        <v>559184.78</v>
      </c>
      <c r="Q51" s="153">
        <v>1953551.9</v>
      </c>
      <c r="R51" s="153">
        <v>8699001.4000000004</v>
      </c>
      <c r="S51" s="154">
        <f t="shared" si="3"/>
        <v>23887500.050000001</v>
      </c>
      <c r="T51" s="155">
        <f t="shared" si="4"/>
        <v>5.1226322341431599E-3</v>
      </c>
      <c r="U51" s="179"/>
    </row>
    <row r="52" spans="1:22">
      <c r="A52" s="145">
        <v>462</v>
      </c>
      <c r="B52" s="578" t="s">
        <v>165</v>
      </c>
      <c r="C52" s="579"/>
      <c r="D52" s="579"/>
      <c r="E52" s="579"/>
      <c r="F52" s="579"/>
      <c r="G52" s="180">
        <v>0</v>
      </c>
      <c r="H52" s="180">
        <v>0</v>
      </c>
      <c r="I52" s="180">
        <v>0</v>
      </c>
      <c r="J52" s="180">
        <v>0</v>
      </c>
      <c r="K52" s="180">
        <v>0</v>
      </c>
      <c r="L52" s="180">
        <v>0</v>
      </c>
      <c r="M52" s="180">
        <v>0</v>
      </c>
      <c r="N52" s="180">
        <v>0</v>
      </c>
      <c r="O52" s="180">
        <v>0</v>
      </c>
      <c r="P52" s="180">
        <v>0</v>
      </c>
      <c r="Q52" s="180">
        <v>0</v>
      </c>
      <c r="R52" s="180">
        <v>0</v>
      </c>
      <c r="S52" s="154">
        <f t="shared" si="3"/>
        <v>0</v>
      </c>
      <c r="T52" s="181">
        <f t="shared" si="4"/>
        <v>0</v>
      </c>
      <c r="U52" s="161"/>
    </row>
    <row r="53" spans="1:22">
      <c r="A53" s="136">
        <v>4630</v>
      </c>
      <c r="B53" s="608" t="s">
        <v>166</v>
      </c>
      <c r="C53" s="609"/>
      <c r="D53" s="609"/>
      <c r="E53" s="609"/>
      <c r="F53" s="609"/>
      <c r="G53" s="180">
        <v>1698819.3</v>
      </c>
      <c r="H53" s="180">
        <v>2215955.08</v>
      </c>
      <c r="I53" s="180">
        <v>2027778.28</v>
      </c>
      <c r="J53" s="180">
        <v>2489375.33</v>
      </c>
      <c r="K53" s="180">
        <v>1250843.27</v>
      </c>
      <c r="L53" s="180">
        <v>1981350.35</v>
      </c>
      <c r="M53" s="180">
        <v>4562283.55</v>
      </c>
      <c r="N53" s="180">
        <v>924617.69</v>
      </c>
      <c r="O53" s="180">
        <v>872755.39</v>
      </c>
      <c r="P53" s="180">
        <v>1966075.9</v>
      </c>
      <c r="Q53" s="180">
        <v>1659582.3</v>
      </c>
      <c r="R53" s="180">
        <v>1578931.59</v>
      </c>
      <c r="S53" s="182">
        <f t="shared" si="3"/>
        <v>23228368.030000001</v>
      </c>
      <c r="T53" s="181">
        <f t="shared" si="4"/>
        <v>4.9812825355501598E-3</v>
      </c>
    </row>
    <row r="54" spans="1:22">
      <c r="A54" s="128">
        <v>1005</v>
      </c>
      <c r="B54" s="610" t="s">
        <v>167</v>
      </c>
      <c r="C54" s="611"/>
      <c r="D54" s="611"/>
      <c r="E54" s="611"/>
      <c r="F54" s="611"/>
      <c r="G54" s="183">
        <v>0</v>
      </c>
      <c r="H54" s="183">
        <v>0</v>
      </c>
      <c r="I54" s="183">
        <v>0</v>
      </c>
      <c r="J54" s="176">
        <v>0</v>
      </c>
      <c r="K54" s="183">
        <v>0</v>
      </c>
      <c r="L54" s="183">
        <v>0</v>
      </c>
      <c r="M54" s="183">
        <v>0</v>
      </c>
      <c r="N54" s="183">
        <v>0</v>
      </c>
      <c r="O54" s="183">
        <v>0</v>
      </c>
      <c r="P54" s="183">
        <v>0</v>
      </c>
      <c r="Q54" s="183">
        <v>0</v>
      </c>
      <c r="R54" s="183">
        <v>28097590.27</v>
      </c>
      <c r="S54" s="184">
        <f t="shared" si="3"/>
        <v>28097590.27</v>
      </c>
      <c r="T54" s="185">
        <f t="shared" si="4"/>
        <v>6.0254786527504101E-3</v>
      </c>
    </row>
    <row r="55" spans="1:22">
      <c r="A55" s="136">
        <v>1000</v>
      </c>
      <c r="B55" s="596" t="s">
        <v>168</v>
      </c>
      <c r="C55" s="597"/>
      <c r="D55" s="597"/>
      <c r="E55" s="597"/>
      <c r="F55" s="597"/>
      <c r="G55" s="146">
        <f t="shared" ref="G55:R55" si="9">+G10-G29</f>
        <v>-24538834.57</v>
      </c>
      <c r="H55" s="146">
        <f t="shared" si="9"/>
        <v>-11892939.800000001</v>
      </c>
      <c r="I55" s="146">
        <f t="shared" si="9"/>
        <v>-33617099.899999999</v>
      </c>
      <c r="J55" s="146">
        <f t="shared" si="9"/>
        <v>-6242156.6799999801</v>
      </c>
      <c r="K55" s="146">
        <f t="shared" si="9"/>
        <v>-2911341.5200000098</v>
      </c>
      <c r="L55" s="146">
        <f t="shared" si="9"/>
        <v>-21387841.280000001</v>
      </c>
      <c r="M55" s="146">
        <f t="shared" si="9"/>
        <v>4663865.3499999903</v>
      </c>
      <c r="N55" s="146">
        <f t="shared" si="9"/>
        <v>34104025.840000004</v>
      </c>
      <c r="O55" s="146">
        <f t="shared" si="9"/>
        <v>21220000.719999999</v>
      </c>
      <c r="P55" s="146">
        <f t="shared" si="9"/>
        <v>-12364672.1</v>
      </c>
      <c r="Q55" s="146">
        <f t="shared" si="9"/>
        <v>-44897753.729999997</v>
      </c>
      <c r="R55" s="146">
        <f t="shared" si="9"/>
        <v>-71035426.849999994</v>
      </c>
      <c r="S55" s="188">
        <f t="shared" si="3"/>
        <v>-168900174.52000001</v>
      </c>
      <c r="T55" s="189">
        <f t="shared" si="4"/>
        <v>-3.62203443867102E-2</v>
      </c>
    </row>
    <row r="56" spans="1:22">
      <c r="A56" s="136"/>
      <c r="B56" s="186" t="s">
        <v>200</v>
      </c>
      <c r="C56" s="187"/>
      <c r="D56" s="187"/>
      <c r="E56" s="187"/>
      <c r="F56" s="187"/>
      <c r="G56" s="146">
        <f>G55-G54</f>
        <v>-24538834.57</v>
      </c>
      <c r="H56" s="146">
        <f t="shared" ref="H56:R56" si="10">H55-H54</f>
        <v>-11892939.800000001</v>
      </c>
      <c r="I56" s="146">
        <f t="shared" si="10"/>
        <v>-33617099.899999999</v>
      </c>
      <c r="J56" s="146">
        <f t="shared" si="10"/>
        <v>-6242156.6799999801</v>
      </c>
      <c r="K56" s="146">
        <f t="shared" si="10"/>
        <v>-2911341.5200000098</v>
      </c>
      <c r="L56" s="146">
        <f t="shared" si="10"/>
        <v>-21387841.280000001</v>
      </c>
      <c r="M56" s="146">
        <f t="shared" si="10"/>
        <v>4663865.3499999903</v>
      </c>
      <c r="N56" s="146">
        <f t="shared" si="10"/>
        <v>34104025.840000004</v>
      </c>
      <c r="O56" s="146">
        <f t="shared" si="10"/>
        <v>21220000.719999999</v>
      </c>
      <c r="P56" s="146">
        <f t="shared" si="10"/>
        <v>-12364672.1</v>
      </c>
      <c r="Q56" s="146">
        <f t="shared" si="10"/>
        <v>-44897753.729999997</v>
      </c>
      <c r="R56" s="146">
        <f t="shared" si="10"/>
        <v>-99133017.120000005</v>
      </c>
      <c r="S56" s="188">
        <f t="shared" si="3"/>
        <v>-196997764.78999999</v>
      </c>
      <c r="T56" s="189">
        <f t="shared" si="4"/>
        <v>-4.2245823039460603E-2</v>
      </c>
    </row>
    <row r="57" spans="1:22">
      <c r="A57" s="136">
        <v>1001</v>
      </c>
      <c r="B57" s="598" t="s">
        <v>201</v>
      </c>
      <c r="C57" s="599"/>
      <c r="D57" s="599"/>
      <c r="E57" s="599"/>
      <c r="F57" s="599"/>
      <c r="G57" s="190">
        <f>+G56+G37</f>
        <v>-20214757.02</v>
      </c>
      <c r="H57" s="190">
        <f t="shared" ref="H57:R57" si="11">+H56+H37</f>
        <v>-10842138.57</v>
      </c>
      <c r="I57" s="190">
        <f t="shared" si="11"/>
        <v>5897576.8099999698</v>
      </c>
      <c r="J57" s="190">
        <f t="shared" si="11"/>
        <v>10758627.77</v>
      </c>
      <c r="K57" s="190">
        <f t="shared" si="11"/>
        <v>7153467.5399999898</v>
      </c>
      <c r="L57" s="190">
        <f t="shared" si="11"/>
        <v>-19549120.649999999</v>
      </c>
      <c r="M57" s="190">
        <f t="shared" si="11"/>
        <v>12181927.699999999</v>
      </c>
      <c r="N57" s="190">
        <f t="shared" si="11"/>
        <v>35272461.579999998</v>
      </c>
      <c r="O57" s="190">
        <f t="shared" si="11"/>
        <v>24837356.32</v>
      </c>
      <c r="P57" s="190">
        <f t="shared" si="11"/>
        <v>-10825983.800000001</v>
      </c>
      <c r="Q57" s="190">
        <f t="shared" si="11"/>
        <v>-40614704.530000001</v>
      </c>
      <c r="R57" s="190">
        <f t="shared" si="11"/>
        <v>-93455168.450000003</v>
      </c>
      <c r="S57" s="188">
        <f t="shared" si="3"/>
        <v>-99400455.299999997</v>
      </c>
      <c r="T57" s="189">
        <f t="shared" si="4"/>
        <v>-2.1316252238303499E-2</v>
      </c>
    </row>
    <row r="58" spans="1:22">
      <c r="A58" s="136">
        <v>46</v>
      </c>
      <c r="B58" s="612" t="s">
        <v>170</v>
      </c>
      <c r="C58" s="613"/>
      <c r="D58" s="613"/>
      <c r="E58" s="613"/>
      <c r="F58" s="613"/>
      <c r="G58" s="174">
        <f t="shared" ref="G58:R58" si="12">+SUM(G59:G60)</f>
        <v>26200164.98</v>
      </c>
      <c r="H58" s="174">
        <f t="shared" si="12"/>
        <v>54488971.759999998</v>
      </c>
      <c r="I58" s="174">
        <f t="shared" si="12"/>
        <v>19066024.489999998</v>
      </c>
      <c r="J58" s="159">
        <f t="shared" si="12"/>
        <v>382332471.99000001</v>
      </c>
      <c r="K58" s="174">
        <f t="shared" si="12"/>
        <v>14760695.76</v>
      </c>
      <c r="L58" s="174">
        <f t="shared" si="12"/>
        <v>12929550.810000001</v>
      </c>
      <c r="M58" s="174">
        <f t="shared" si="12"/>
        <v>43965766.020000003</v>
      </c>
      <c r="N58" s="174">
        <f t="shared" si="12"/>
        <v>98580105.140000001</v>
      </c>
      <c r="O58" s="174">
        <f t="shared" si="12"/>
        <v>17423705.899999999</v>
      </c>
      <c r="P58" s="174">
        <f t="shared" si="12"/>
        <v>6031992.4699999997</v>
      </c>
      <c r="Q58" s="174">
        <f t="shared" si="12"/>
        <v>9590322.8100000005</v>
      </c>
      <c r="R58" s="174">
        <f t="shared" si="12"/>
        <v>10911687.779999999</v>
      </c>
      <c r="S58" s="191">
        <f t="shared" si="3"/>
        <v>696281459.90999997</v>
      </c>
      <c r="T58" s="192">
        <f t="shared" si="4"/>
        <v>0.149316330428275</v>
      </c>
      <c r="V58" s="193"/>
    </row>
    <row r="59" spans="1:22">
      <c r="A59" s="136">
        <v>4611</v>
      </c>
      <c r="B59" s="594" t="s">
        <v>171</v>
      </c>
      <c r="C59" s="595"/>
      <c r="D59" s="595"/>
      <c r="E59" s="595"/>
      <c r="F59" s="595"/>
      <c r="G59" s="176">
        <v>24566746.16</v>
      </c>
      <c r="H59" s="176">
        <v>50952373.509999998</v>
      </c>
      <c r="I59" s="176">
        <v>7051404.0099999998</v>
      </c>
      <c r="J59" s="176">
        <v>2231658.5099999998</v>
      </c>
      <c r="K59" s="176">
        <v>831498.83</v>
      </c>
      <c r="L59" s="176">
        <v>4420027.8</v>
      </c>
      <c r="M59" s="176">
        <v>42332347.200000003</v>
      </c>
      <c r="N59" s="176">
        <v>95932773.739999995</v>
      </c>
      <c r="O59" s="176">
        <v>1208382.96</v>
      </c>
      <c r="P59" s="176">
        <v>2260146.02</v>
      </c>
      <c r="Q59" s="176">
        <v>834069.65</v>
      </c>
      <c r="R59" s="176">
        <v>2202164.71</v>
      </c>
      <c r="S59" s="194">
        <f t="shared" si="3"/>
        <v>234823593.09999999</v>
      </c>
      <c r="T59" s="195">
        <f t="shared" si="4"/>
        <v>5.0357505173563702E-2</v>
      </c>
    </row>
    <row r="60" spans="1:22">
      <c r="A60" s="136">
        <v>4612</v>
      </c>
      <c r="B60" s="582" t="s">
        <v>172</v>
      </c>
      <c r="C60" s="583"/>
      <c r="D60" s="583"/>
      <c r="E60" s="583"/>
      <c r="F60" s="583"/>
      <c r="G60" s="176">
        <v>1633418.82</v>
      </c>
      <c r="H60" s="176">
        <v>3536598.25</v>
      </c>
      <c r="I60" s="176">
        <v>12014620.48</v>
      </c>
      <c r="J60" s="176">
        <v>380100813.48000002</v>
      </c>
      <c r="K60" s="176">
        <v>13929196.93</v>
      </c>
      <c r="L60" s="176">
        <v>8509523.0099999998</v>
      </c>
      <c r="M60" s="176">
        <v>1633418.82</v>
      </c>
      <c r="N60" s="176">
        <v>2647331.4</v>
      </c>
      <c r="O60" s="176">
        <v>16215322.939999999</v>
      </c>
      <c r="P60" s="176">
        <v>3771846.45</v>
      </c>
      <c r="Q60" s="176">
        <v>8756253.1600000001</v>
      </c>
      <c r="R60" s="176">
        <v>8709523.0700000003</v>
      </c>
      <c r="S60" s="194">
        <f t="shared" si="3"/>
        <v>461457866.81</v>
      </c>
      <c r="T60" s="195">
        <f t="shared" si="4"/>
        <v>9.8958825254710905E-2</v>
      </c>
      <c r="V60" s="196"/>
    </row>
    <row r="61" spans="1:22">
      <c r="A61" s="136">
        <v>4418</v>
      </c>
      <c r="B61" s="663" t="s">
        <v>173</v>
      </c>
      <c r="C61" s="664"/>
      <c r="D61" s="664"/>
      <c r="E61" s="664"/>
      <c r="F61" s="664"/>
      <c r="G61" s="174">
        <v>0</v>
      </c>
      <c r="H61" s="174">
        <v>0</v>
      </c>
      <c r="I61" s="174">
        <v>0</v>
      </c>
      <c r="J61" s="174">
        <v>0</v>
      </c>
      <c r="K61" s="174">
        <v>68939595.359999999</v>
      </c>
      <c r="L61" s="174">
        <v>0</v>
      </c>
      <c r="M61" s="174">
        <v>0</v>
      </c>
      <c r="N61" s="174">
        <v>0</v>
      </c>
      <c r="O61" s="174">
        <v>0</v>
      </c>
      <c r="P61" s="174">
        <v>0</v>
      </c>
      <c r="Q61" s="174">
        <v>0</v>
      </c>
      <c r="R61" s="174">
        <v>305701.3</v>
      </c>
      <c r="S61" s="191">
        <f>SUM(G61:R61)</f>
        <v>69245296.659999996</v>
      </c>
      <c r="T61" s="192">
        <f t="shared" si="4"/>
        <v>1.4849531679365599E-2</v>
      </c>
      <c r="V61" s="196"/>
    </row>
    <row r="62" spans="1:22">
      <c r="A62" s="136">
        <v>1002</v>
      </c>
      <c r="B62" s="592" t="s">
        <v>174</v>
      </c>
      <c r="C62" s="593"/>
      <c r="D62" s="593"/>
      <c r="E62" s="593"/>
      <c r="F62" s="593"/>
      <c r="G62" s="197">
        <f>+G56-G58-G61</f>
        <v>-50738999.549999997</v>
      </c>
      <c r="H62" s="197">
        <f t="shared" ref="H62:R62" si="13">+H56-H58-H61</f>
        <v>-66381911.560000002</v>
      </c>
      <c r="I62" s="197">
        <f t="shared" si="13"/>
        <v>-52683124.390000001</v>
      </c>
      <c r="J62" s="197">
        <f t="shared" si="13"/>
        <v>-388574628.67000002</v>
      </c>
      <c r="K62" s="197">
        <f t="shared" si="13"/>
        <v>-86611632.640000001</v>
      </c>
      <c r="L62" s="197">
        <f t="shared" si="13"/>
        <v>-34317392.090000004</v>
      </c>
      <c r="M62" s="197">
        <f t="shared" si="13"/>
        <v>-39301900.670000002</v>
      </c>
      <c r="N62" s="197">
        <f t="shared" si="13"/>
        <v>-64476079.299999997</v>
      </c>
      <c r="O62" s="197">
        <f t="shared" si="13"/>
        <v>3796294.82</v>
      </c>
      <c r="P62" s="197">
        <f t="shared" si="13"/>
        <v>-18396664.57</v>
      </c>
      <c r="Q62" s="197">
        <f t="shared" si="13"/>
        <v>-54488076.539999999</v>
      </c>
      <c r="R62" s="197">
        <f t="shared" si="13"/>
        <v>-110350406.2</v>
      </c>
      <c r="S62" s="198">
        <f t="shared" si="3"/>
        <v>-962524521.36000001</v>
      </c>
      <c r="T62" s="199">
        <f t="shared" si="4"/>
        <v>-0.20641168514710101</v>
      </c>
    </row>
    <row r="63" spans="1:22">
      <c r="A63" s="136">
        <v>1003</v>
      </c>
      <c r="B63" s="570" t="s">
        <v>175</v>
      </c>
      <c r="C63" s="571"/>
      <c r="D63" s="571"/>
      <c r="E63" s="571"/>
      <c r="F63" s="571"/>
      <c r="G63" s="146">
        <f>+SUM(G64:G67)</f>
        <v>50738999.549999997</v>
      </c>
      <c r="H63" s="146">
        <f t="shared" ref="H63:R63" si="14">+SUM(H64:H67)</f>
        <v>66381911.560000002</v>
      </c>
      <c r="I63" s="146">
        <f t="shared" si="14"/>
        <v>52683124.390000001</v>
      </c>
      <c r="J63" s="146">
        <f t="shared" si="14"/>
        <v>388574628.67000002</v>
      </c>
      <c r="K63" s="146">
        <f t="shared" si="14"/>
        <v>86611632.640000001</v>
      </c>
      <c r="L63" s="146">
        <f t="shared" si="14"/>
        <v>34317392.090000004</v>
      </c>
      <c r="M63" s="146">
        <f t="shared" si="14"/>
        <v>39301900.670000002</v>
      </c>
      <c r="N63" s="146">
        <f t="shared" si="14"/>
        <v>64476079.299999997</v>
      </c>
      <c r="O63" s="146">
        <f t="shared" si="14"/>
        <v>-3796294.82</v>
      </c>
      <c r="P63" s="146">
        <f t="shared" si="14"/>
        <v>18396664.57</v>
      </c>
      <c r="Q63" s="146">
        <f t="shared" si="14"/>
        <v>54488076.539999999</v>
      </c>
      <c r="R63" s="146">
        <f t="shared" si="14"/>
        <v>110350406.2</v>
      </c>
      <c r="S63" s="200">
        <f t="shared" si="3"/>
        <v>962524521.36000001</v>
      </c>
      <c r="T63" s="201">
        <f t="shared" si="4"/>
        <v>0.20641168514710101</v>
      </c>
    </row>
    <row r="64" spans="1:22">
      <c r="A64" s="136">
        <v>7511</v>
      </c>
      <c r="B64" s="594" t="s">
        <v>176</v>
      </c>
      <c r="C64" s="595"/>
      <c r="D64" s="595"/>
      <c r="E64" s="595"/>
      <c r="F64" s="595"/>
      <c r="G64" s="176">
        <v>24535941.960000001</v>
      </c>
      <c r="H64" s="176">
        <v>91357443.420000002</v>
      </c>
      <c r="I64" s="176">
        <v>20706614.620000001</v>
      </c>
      <c r="J64" s="176">
        <v>0</v>
      </c>
      <c r="K64" s="176">
        <v>0</v>
      </c>
      <c r="L64" s="176">
        <v>0</v>
      </c>
      <c r="M64" s="176">
        <v>18000000</v>
      </c>
      <c r="N64" s="176">
        <v>59000000</v>
      </c>
      <c r="O64" s="176">
        <v>0</v>
      </c>
      <c r="P64" s="176">
        <v>0</v>
      </c>
      <c r="Q64" s="176">
        <v>0</v>
      </c>
      <c r="R64" s="176">
        <v>0</v>
      </c>
      <c r="S64" s="194">
        <f t="shared" si="3"/>
        <v>213600000</v>
      </c>
      <c r="T64" s="195">
        <f t="shared" si="4"/>
        <v>4.5806143084151603E-2</v>
      </c>
    </row>
    <row r="65" spans="1:20">
      <c r="A65" s="136">
        <v>7512</v>
      </c>
      <c r="B65" s="582" t="s">
        <v>177</v>
      </c>
      <c r="C65" s="583"/>
      <c r="D65" s="583"/>
      <c r="E65" s="583"/>
      <c r="F65" s="583"/>
      <c r="G65" s="176">
        <v>220322.84</v>
      </c>
      <c r="H65" s="176">
        <v>191078.77</v>
      </c>
      <c r="I65" s="176">
        <v>5273085.6500000004</v>
      </c>
      <c r="J65" s="176">
        <v>503121949.51999998</v>
      </c>
      <c r="K65" s="176">
        <v>7673073.0999999996</v>
      </c>
      <c r="L65" s="176">
        <v>266189636.84999999</v>
      </c>
      <c r="M65" s="176">
        <v>15363581.189999999</v>
      </c>
      <c r="N65" s="176">
        <v>13117458.42</v>
      </c>
      <c r="O65" s="176">
        <v>16543113.73</v>
      </c>
      <c r="P65" s="176">
        <v>18813731.219999999</v>
      </c>
      <c r="Q65" s="176">
        <v>38823788.329999998</v>
      </c>
      <c r="R65" s="176">
        <v>24442619.199999999</v>
      </c>
      <c r="S65" s="194">
        <f t="shared" si="3"/>
        <v>909773438.82000005</v>
      </c>
      <c r="T65" s="195">
        <f t="shared" si="4"/>
        <v>0.19509930858028801</v>
      </c>
    </row>
    <row r="66" spans="1:20">
      <c r="A66" s="136">
        <v>72</v>
      </c>
      <c r="B66" s="582" t="s">
        <v>178</v>
      </c>
      <c r="C66" s="583"/>
      <c r="D66" s="583"/>
      <c r="E66" s="583"/>
      <c r="F66" s="583"/>
      <c r="G66" s="176">
        <v>136671.79999999999</v>
      </c>
      <c r="H66" s="176">
        <v>273046.61</v>
      </c>
      <c r="I66" s="176">
        <v>2343256.64</v>
      </c>
      <c r="J66" s="176">
        <v>108273.11</v>
      </c>
      <c r="K66" s="176">
        <v>215845.16</v>
      </c>
      <c r="L66" s="176">
        <v>10312117.130000001</v>
      </c>
      <c r="M66" s="176">
        <v>406327.81</v>
      </c>
      <c r="N66" s="176">
        <v>257929.95</v>
      </c>
      <c r="O66" s="176">
        <v>223709.29</v>
      </c>
      <c r="P66" s="176">
        <v>158760.32999999999</v>
      </c>
      <c r="Q66" s="176">
        <v>314684.94</v>
      </c>
      <c r="R66" s="176">
        <v>998458.94</v>
      </c>
      <c r="S66" s="194">
        <f t="shared" si="3"/>
        <v>15749081.710000001</v>
      </c>
      <c r="T66" s="195">
        <f t="shared" si="4"/>
        <v>3.3773627820798502E-3</v>
      </c>
    </row>
    <row r="67" spans="1:20">
      <c r="A67" s="136">
        <v>1004</v>
      </c>
      <c r="B67" s="202" t="s">
        <v>179</v>
      </c>
      <c r="C67" s="203"/>
      <c r="D67" s="203"/>
      <c r="E67" s="203"/>
      <c r="F67" s="203"/>
      <c r="G67" s="204">
        <f>-G62-SUM(G64:G66)</f>
        <v>25846062.949999999</v>
      </c>
      <c r="H67" s="204">
        <f t="shared" ref="H67:R67" si="15">-H62-SUM(H64:H66)</f>
        <v>-25439657.239999998</v>
      </c>
      <c r="I67" s="204">
        <f t="shared" si="15"/>
        <v>24360167.48</v>
      </c>
      <c r="J67" s="204">
        <f t="shared" si="15"/>
        <v>-114655593.95999999</v>
      </c>
      <c r="K67" s="204">
        <f t="shared" si="15"/>
        <v>78722714.379999995</v>
      </c>
      <c r="L67" s="204">
        <f t="shared" si="15"/>
        <v>-242184361.88999999</v>
      </c>
      <c r="M67" s="204">
        <f t="shared" si="15"/>
        <v>5531991.6700000102</v>
      </c>
      <c r="N67" s="204">
        <f t="shared" si="15"/>
        <v>-7899309.0700000199</v>
      </c>
      <c r="O67" s="204">
        <f t="shared" si="15"/>
        <v>-20563117.84</v>
      </c>
      <c r="P67" s="204">
        <f t="shared" si="15"/>
        <v>-575826.98000000406</v>
      </c>
      <c r="Q67" s="204">
        <f t="shared" si="15"/>
        <v>15349603.27</v>
      </c>
      <c r="R67" s="204">
        <f t="shared" si="15"/>
        <v>84909328.060000002</v>
      </c>
      <c r="S67" s="205">
        <f t="shared" si="3"/>
        <v>-176597999.16999999</v>
      </c>
      <c r="T67" s="206">
        <f t="shared" si="4"/>
        <v>-3.7871129299419097E-2</v>
      </c>
    </row>
    <row r="68" spans="1:20">
      <c r="R68" s="207"/>
    </row>
    <row r="69" spans="1:20">
      <c r="S69" s="172"/>
    </row>
    <row r="73" spans="1:20">
      <c r="R73" s="208"/>
    </row>
    <row r="101" spans="1:21"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</row>
    <row r="102" spans="1:21">
      <c r="G102" s="210" t="str">
        <f t="shared" ref="G102:R102" si="16">+CONCATENATE(G6,"p")</f>
        <v>2018-01p</v>
      </c>
      <c r="H102" s="210" t="str">
        <f t="shared" si="16"/>
        <v>2018-02p</v>
      </c>
      <c r="I102" s="210" t="str">
        <f t="shared" si="16"/>
        <v>2018-03p</v>
      </c>
      <c r="J102" s="210" t="str">
        <f t="shared" si="16"/>
        <v>2018-04p</v>
      </c>
      <c r="K102" s="210" t="str">
        <f t="shared" si="16"/>
        <v>2018-05p</v>
      </c>
      <c r="L102" s="210" t="str">
        <f t="shared" si="16"/>
        <v>2018-06p</v>
      </c>
      <c r="M102" s="210" t="str">
        <f t="shared" si="16"/>
        <v>2018-07p</v>
      </c>
      <c r="N102" s="210" t="str">
        <f t="shared" si="16"/>
        <v>2018-08p</v>
      </c>
      <c r="O102" s="210" t="str">
        <f t="shared" si="16"/>
        <v>2018-09p</v>
      </c>
      <c r="P102" s="210" t="str">
        <f t="shared" si="16"/>
        <v>2018-10p</v>
      </c>
      <c r="Q102" s="210" t="str">
        <f t="shared" si="16"/>
        <v>2018-11p</v>
      </c>
      <c r="R102" s="210" t="str">
        <f t="shared" si="16"/>
        <v>2018-12p</v>
      </c>
    </row>
    <row r="103" spans="1:21" ht="15.75" customHeight="1">
      <c r="B103" s="637" t="s">
        <v>180</v>
      </c>
      <c r="C103" s="638"/>
      <c r="D103" s="638"/>
      <c r="E103" s="638"/>
      <c r="F103" s="638"/>
      <c r="G103" s="614">
        <v>2018</v>
      </c>
      <c r="H103" s="615"/>
      <c r="I103" s="615"/>
      <c r="J103" s="615"/>
      <c r="K103" s="615"/>
      <c r="L103" s="615"/>
      <c r="M103" s="615"/>
      <c r="N103" s="615"/>
      <c r="O103" s="615"/>
      <c r="P103" s="615"/>
      <c r="Q103" s="615"/>
      <c r="R103" s="616"/>
      <c r="S103" s="211" t="str">
        <f>+S7</f>
        <v>BDP</v>
      </c>
      <c r="T103" s="212">
        <f>+T7</f>
        <v>4663130000</v>
      </c>
    </row>
    <row r="104" spans="1:21" ht="15.75" customHeight="1">
      <c r="B104" s="639"/>
      <c r="C104" s="640"/>
      <c r="D104" s="640"/>
      <c r="E104" s="640"/>
      <c r="F104" s="641"/>
      <c r="G104" s="179" t="str">
        <f t="shared" ref="G104:R104" si="17">+G8</f>
        <v>Januar</v>
      </c>
      <c r="H104" s="179" t="str">
        <f t="shared" si="17"/>
        <v>Februar</v>
      </c>
      <c r="I104" s="179" t="str">
        <f t="shared" si="17"/>
        <v>Mart</v>
      </c>
      <c r="J104" s="179" t="str">
        <f t="shared" si="17"/>
        <v>April</v>
      </c>
      <c r="K104" s="179" t="str">
        <f t="shared" si="17"/>
        <v>Maj</v>
      </c>
      <c r="L104" s="179" t="str">
        <f t="shared" si="17"/>
        <v>Jun</v>
      </c>
      <c r="M104" s="179" t="str">
        <f t="shared" si="17"/>
        <v>Jul</v>
      </c>
      <c r="N104" s="179" t="str">
        <f t="shared" si="17"/>
        <v>Avgust</v>
      </c>
      <c r="O104" s="179" t="str">
        <f t="shared" si="17"/>
        <v>Septembar</v>
      </c>
      <c r="P104" s="179" t="str">
        <f t="shared" si="17"/>
        <v>Oktobar</v>
      </c>
      <c r="Q104" s="179" t="str">
        <f t="shared" si="17"/>
        <v>Novembar</v>
      </c>
      <c r="R104" s="179" t="str">
        <f t="shared" si="17"/>
        <v>Decembar</v>
      </c>
      <c r="S104" s="614" t="s">
        <v>125</v>
      </c>
      <c r="T104" s="616">
        <f>+T8</f>
        <v>0</v>
      </c>
    </row>
    <row r="105" spans="1:21">
      <c r="B105" s="642"/>
      <c r="C105" s="643"/>
      <c r="D105" s="643"/>
      <c r="E105" s="643"/>
      <c r="F105" s="644"/>
      <c r="G105" s="213" t="s">
        <v>2</v>
      </c>
      <c r="H105" s="213" t="s">
        <v>2</v>
      </c>
      <c r="I105" s="213" t="s">
        <v>2</v>
      </c>
      <c r="J105" s="213" t="s">
        <v>2</v>
      </c>
      <c r="K105" s="213" t="s">
        <v>2</v>
      </c>
      <c r="L105" s="213" t="s">
        <v>2</v>
      </c>
      <c r="M105" s="213" t="s">
        <v>2</v>
      </c>
      <c r="N105" s="213" t="s">
        <v>2</v>
      </c>
      <c r="O105" s="213" t="s">
        <v>2</v>
      </c>
      <c r="P105" s="213" t="s">
        <v>2</v>
      </c>
      <c r="Q105" s="213" t="s">
        <v>2</v>
      </c>
      <c r="R105" s="213" t="s">
        <v>2</v>
      </c>
      <c r="S105" s="214" t="s">
        <v>2</v>
      </c>
      <c r="T105" s="215" t="str">
        <f>+T9</f>
        <v>% BDP</v>
      </c>
    </row>
    <row r="106" spans="1:21">
      <c r="A106" s="216" t="str">
        <f t="shared" ref="A106:A148" si="18">+CONCATENATE(A10,"p")</f>
        <v>7p</v>
      </c>
      <c r="B106" s="651" t="s">
        <v>126</v>
      </c>
      <c r="C106" s="652"/>
      <c r="D106" s="652"/>
      <c r="E106" s="652"/>
      <c r="F106" s="652"/>
      <c r="G106" s="217">
        <f t="shared" ref="G106:R106" si="19">+G107+G115+SUM(G120:G124)</f>
        <v>81544844.829999998</v>
      </c>
      <c r="H106" s="217">
        <f t="shared" si="19"/>
        <v>107080108.15000001</v>
      </c>
      <c r="I106" s="217">
        <f t="shared" si="19"/>
        <v>138858355.53999999</v>
      </c>
      <c r="J106" s="217">
        <f t="shared" si="19"/>
        <v>156827966.72999999</v>
      </c>
      <c r="K106" s="217">
        <f t="shared" si="19"/>
        <v>138843088.16999999</v>
      </c>
      <c r="L106" s="217">
        <f t="shared" si="19"/>
        <v>140627820.80000001</v>
      </c>
      <c r="M106" s="217">
        <f t="shared" si="19"/>
        <v>157046601.92834699</v>
      </c>
      <c r="N106" s="217">
        <f t="shared" si="19"/>
        <v>163617557.51086101</v>
      </c>
      <c r="O106" s="217">
        <f t="shared" si="19"/>
        <v>188465142.08181399</v>
      </c>
      <c r="P106" s="217">
        <f t="shared" si="19"/>
        <v>150992049.40287399</v>
      </c>
      <c r="Q106" s="217">
        <f t="shared" si="19"/>
        <v>136862712.00099501</v>
      </c>
      <c r="R106" s="217">
        <f t="shared" si="19"/>
        <v>196236973.98932001</v>
      </c>
      <c r="S106" s="218">
        <f>+SUM(G106:R106)</f>
        <v>1757003221.1342101</v>
      </c>
      <c r="T106" s="219">
        <f>+S106/$T$7</f>
        <v>0.37678624038665298</v>
      </c>
    </row>
    <row r="107" spans="1:21">
      <c r="A107" s="216" t="str">
        <f t="shared" si="18"/>
        <v>711p</v>
      </c>
      <c r="B107" s="619" t="s">
        <v>127</v>
      </c>
      <c r="C107" s="620"/>
      <c r="D107" s="620"/>
      <c r="E107" s="620"/>
      <c r="F107" s="620"/>
      <c r="G107" s="220">
        <f t="shared" ref="G107:R107" si="20">+SUM(G108:G114)</f>
        <v>60295851.509999998</v>
      </c>
      <c r="H107" s="220">
        <f t="shared" si="20"/>
        <v>64797597.329999998</v>
      </c>
      <c r="I107" s="220">
        <f t="shared" si="20"/>
        <v>89261850.609999999</v>
      </c>
      <c r="J107" s="220">
        <f t="shared" si="20"/>
        <v>97799793.079999998</v>
      </c>
      <c r="K107" s="220">
        <f t="shared" si="20"/>
        <v>90553351.069999993</v>
      </c>
      <c r="L107" s="220">
        <f t="shared" si="20"/>
        <v>87503254.430000007</v>
      </c>
      <c r="M107" s="220">
        <f t="shared" si="20"/>
        <v>99397799.482830197</v>
      </c>
      <c r="N107" s="220">
        <f t="shared" si="20"/>
        <v>110357770.349861</v>
      </c>
      <c r="O107" s="220">
        <f t="shared" si="20"/>
        <v>102093047.15872499</v>
      </c>
      <c r="P107" s="220">
        <f t="shared" si="20"/>
        <v>95698512.829288498</v>
      </c>
      <c r="Q107" s="220">
        <f t="shared" si="20"/>
        <v>82424829.046484306</v>
      </c>
      <c r="R107" s="221">
        <f t="shared" si="20"/>
        <v>98213532.499999806</v>
      </c>
      <c r="S107" s="222">
        <f t="shared" ref="S107:S162" si="21">+SUM(G107:R107)</f>
        <v>1078397189.3971901</v>
      </c>
      <c r="T107" s="223">
        <f t="shared" ref="T107:T162" si="22">+S107/$T$7</f>
        <v>0.231260374340237</v>
      </c>
      <c r="U107" s="224"/>
    </row>
    <row r="108" spans="1:21">
      <c r="A108" s="216" t="str">
        <f t="shared" si="18"/>
        <v>7111p</v>
      </c>
      <c r="B108" s="621" t="s">
        <v>128</v>
      </c>
      <c r="C108" s="622"/>
      <c r="D108" s="622"/>
      <c r="E108" s="622"/>
      <c r="F108" s="622"/>
      <c r="G108" s="225">
        <v>3496624.83</v>
      </c>
      <c r="H108" s="225">
        <v>8897390.9499999993</v>
      </c>
      <c r="I108" s="225">
        <v>10001520.890000001</v>
      </c>
      <c r="J108" s="225">
        <v>9899613.5099999998</v>
      </c>
      <c r="K108" s="225">
        <v>10330673.77</v>
      </c>
      <c r="L108" s="225">
        <v>10475384.99</v>
      </c>
      <c r="M108" s="225">
        <v>11459377.2228668</v>
      </c>
      <c r="N108" s="225">
        <v>11349599.0627346</v>
      </c>
      <c r="O108" s="225">
        <v>10410490.432834299</v>
      </c>
      <c r="P108" s="225">
        <v>11079108.1710492</v>
      </c>
      <c r="Q108" s="225">
        <v>8309878.0236359304</v>
      </c>
      <c r="R108" s="225">
        <v>15650000.3152667</v>
      </c>
      <c r="S108" s="226">
        <f t="shared" si="21"/>
        <v>121359662.16838799</v>
      </c>
      <c r="T108" s="227">
        <f t="shared" si="22"/>
        <v>2.60253654022915E-2</v>
      </c>
    </row>
    <row r="109" spans="1:21">
      <c r="A109" s="216" t="str">
        <f t="shared" si="18"/>
        <v>7112p</v>
      </c>
      <c r="B109" s="621" t="s">
        <v>129</v>
      </c>
      <c r="C109" s="622"/>
      <c r="D109" s="622"/>
      <c r="E109" s="622"/>
      <c r="F109" s="622"/>
      <c r="G109" s="225">
        <v>475602.8</v>
      </c>
      <c r="H109" s="225">
        <v>1641570.62</v>
      </c>
      <c r="I109" s="225">
        <v>22262597.649999999</v>
      </c>
      <c r="J109" s="225">
        <v>18095823.48</v>
      </c>
      <c r="K109" s="225">
        <v>3730435.57</v>
      </c>
      <c r="L109" s="225">
        <v>3402383.37</v>
      </c>
      <c r="M109" s="225">
        <v>2907159.2955212998</v>
      </c>
      <c r="N109" s="225">
        <v>3013650.2072513402</v>
      </c>
      <c r="O109" s="225">
        <v>1324416.43482287</v>
      </c>
      <c r="P109" s="225">
        <v>2025728.0588126399</v>
      </c>
      <c r="Q109" s="225">
        <v>801101.06022479106</v>
      </c>
      <c r="R109" s="225">
        <v>1997896.8237737301</v>
      </c>
      <c r="S109" s="226">
        <f t="shared" si="21"/>
        <v>61678365.370406702</v>
      </c>
      <c r="T109" s="227">
        <f t="shared" si="22"/>
        <v>1.3226816616823201E-2</v>
      </c>
    </row>
    <row r="110" spans="1:21">
      <c r="A110" s="216" t="str">
        <f t="shared" si="18"/>
        <v>7113p</v>
      </c>
      <c r="B110" s="621" t="s">
        <v>130</v>
      </c>
      <c r="C110" s="622"/>
      <c r="D110" s="622"/>
      <c r="E110" s="622"/>
      <c r="F110" s="622"/>
      <c r="G110" s="225">
        <v>93380.49</v>
      </c>
      <c r="H110" s="225">
        <v>116565.53</v>
      </c>
      <c r="I110" s="225">
        <v>203411.31</v>
      </c>
      <c r="J110" s="225">
        <v>117398.62</v>
      </c>
      <c r="K110" s="225">
        <v>143886.48000000001</v>
      </c>
      <c r="L110" s="225">
        <v>122124.66</v>
      </c>
      <c r="M110" s="225">
        <v>165237.90094273299</v>
      </c>
      <c r="N110" s="225">
        <v>179232.927353362</v>
      </c>
      <c r="O110" s="225">
        <v>136199.31001440401</v>
      </c>
      <c r="P110" s="225">
        <v>229977.20409803101</v>
      </c>
      <c r="Q110" s="225">
        <v>194711.60663450501</v>
      </c>
      <c r="R110" s="225">
        <v>152772.091495525</v>
      </c>
      <c r="S110" s="226">
        <f t="shared" si="21"/>
        <v>1854898.13053856</v>
      </c>
      <c r="T110" s="227">
        <f t="shared" si="22"/>
        <v>3.97779630964301E-4</v>
      </c>
    </row>
    <row r="111" spans="1:21">
      <c r="A111" s="216" t="str">
        <f t="shared" si="18"/>
        <v>7114p</v>
      </c>
      <c r="B111" s="621" t="s">
        <v>131</v>
      </c>
      <c r="C111" s="622"/>
      <c r="D111" s="622"/>
      <c r="E111" s="622"/>
      <c r="F111" s="622"/>
      <c r="G111" s="225">
        <v>40926868.810000002</v>
      </c>
      <c r="H111" s="225">
        <v>38270122.18</v>
      </c>
      <c r="I111" s="225">
        <v>40510183.409999996</v>
      </c>
      <c r="J111" s="225">
        <v>50343037.649999999</v>
      </c>
      <c r="K111" s="225">
        <v>53847636.579999998</v>
      </c>
      <c r="L111" s="225">
        <v>52130099.289999999</v>
      </c>
      <c r="M111" s="225">
        <v>58718115.561732098</v>
      </c>
      <c r="N111" s="225">
        <v>64446747.698135197</v>
      </c>
      <c r="O111" s="225">
        <v>60581956.959091499</v>
      </c>
      <c r="P111" s="225">
        <v>56752286.283165298</v>
      </c>
      <c r="Q111" s="225">
        <v>50951819.125281997</v>
      </c>
      <c r="R111" s="225">
        <v>56912908.473788798</v>
      </c>
      <c r="S111" s="226">
        <f t="shared" si="21"/>
        <v>624391782.02119505</v>
      </c>
      <c r="T111" s="227">
        <f t="shared" si="22"/>
        <v>0.13389971586063301</v>
      </c>
    </row>
    <row r="112" spans="1:21">
      <c r="A112" s="216" t="str">
        <f t="shared" si="18"/>
        <v>7115p</v>
      </c>
      <c r="B112" s="621" t="s">
        <v>132</v>
      </c>
      <c r="C112" s="622"/>
      <c r="D112" s="622"/>
      <c r="E112" s="622"/>
      <c r="F112" s="622"/>
      <c r="G112" s="225">
        <v>13370061.67</v>
      </c>
      <c r="H112" s="225">
        <v>13585674.48</v>
      </c>
      <c r="I112" s="225">
        <v>13376493.630000001</v>
      </c>
      <c r="J112" s="225">
        <v>16425170.310000001</v>
      </c>
      <c r="K112" s="225">
        <v>19160303.329999998</v>
      </c>
      <c r="L112" s="225">
        <v>18124078.879999999</v>
      </c>
      <c r="M112" s="225">
        <v>22564675.182721701</v>
      </c>
      <c r="N112" s="225">
        <v>27485729.223607901</v>
      </c>
      <c r="O112" s="225">
        <v>26516012.978469498</v>
      </c>
      <c r="P112" s="225">
        <v>22441791.757639602</v>
      </c>
      <c r="Q112" s="225">
        <v>19412572.915558301</v>
      </c>
      <c r="R112" s="225">
        <v>20235266.586429998</v>
      </c>
      <c r="S112" s="226">
        <f t="shared" si="21"/>
        <v>232697830.94442701</v>
      </c>
      <c r="T112" s="227">
        <f t="shared" si="22"/>
        <v>4.9901639230394E-2</v>
      </c>
    </row>
    <row r="113" spans="1:20">
      <c r="A113" s="216" t="str">
        <f t="shared" si="18"/>
        <v>7116p</v>
      </c>
      <c r="B113" s="621" t="s">
        <v>133</v>
      </c>
      <c r="C113" s="622"/>
      <c r="D113" s="622"/>
      <c r="E113" s="622"/>
      <c r="F113" s="622"/>
      <c r="G113" s="225">
        <v>1218936.71</v>
      </c>
      <c r="H113" s="225">
        <v>1678360</v>
      </c>
      <c r="I113" s="225">
        <v>2228428.98</v>
      </c>
      <c r="J113" s="225">
        <v>2192466.4500000002</v>
      </c>
      <c r="K113" s="225">
        <v>2597651.13</v>
      </c>
      <c r="L113" s="225">
        <v>2330703.23</v>
      </c>
      <c r="M113" s="225">
        <v>2655462.9671497699</v>
      </c>
      <c r="N113" s="225">
        <v>3013417.3907755399</v>
      </c>
      <c r="O113" s="225">
        <v>2264822.4042886202</v>
      </c>
      <c r="P113" s="225">
        <v>2282422.1778777302</v>
      </c>
      <c r="Q113" s="225">
        <v>1990595.3450587599</v>
      </c>
      <c r="R113" s="225">
        <v>2406738.09259771</v>
      </c>
      <c r="S113" s="226">
        <f t="shared" si="21"/>
        <v>26860004.877748098</v>
      </c>
      <c r="T113" s="227">
        <f t="shared" si="22"/>
        <v>5.7600806492094604E-3</v>
      </c>
    </row>
    <row r="114" spans="1:20">
      <c r="A114" s="216" t="str">
        <f t="shared" si="18"/>
        <v>7118p</v>
      </c>
      <c r="B114" s="621" t="s">
        <v>134</v>
      </c>
      <c r="C114" s="622"/>
      <c r="D114" s="622"/>
      <c r="E114" s="622"/>
      <c r="F114" s="622"/>
      <c r="G114" s="225">
        <v>714376.2</v>
      </c>
      <c r="H114" s="225">
        <v>607913.56999999995</v>
      </c>
      <c r="I114" s="225">
        <v>679214.74</v>
      </c>
      <c r="J114" s="225">
        <v>726283.06</v>
      </c>
      <c r="K114" s="225">
        <v>742764.21</v>
      </c>
      <c r="L114" s="225">
        <v>918480.01</v>
      </c>
      <c r="M114" s="225">
        <v>927771.35189568903</v>
      </c>
      <c r="N114" s="225">
        <v>869393.84000284597</v>
      </c>
      <c r="O114" s="225">
        <v>859148.63920368801</v>
      </c>
      <c r="P114" s="225">
        <v>887199.17664592701</v>
      </c>
      <c r="Q114" s="225">
        <v>764150.97009006399</v>
      </c>
      <c r="R114" s="225">
        <v>857950.11664736399</v>
      </c>
      <c r="S114" s="226">
        <f t="shared" si="21"/>
        <v>9554645.88448558</v>
      </c>
      <c r="T114" s="227">
        <f t="shared" si="22"/>
        <v>2.0489769499211002E-3</v>
      </c>
    </row>
    <row r="115" spans="1:20">
      <c r="A115" s="216" t="str">
        <f t="shared" si="18"/>
        <v>712p</v>
      </c>
      <c r="B115" s="653" t="s">
        <v>135</v>
      </c>
      <c r="C115" s="654"/>
      <c r="D115" s="654"/>
      <c r="E115" s="654"/>
      <c r="F115" s="654"/>
      <c r="G115" s="228">
        <f>+SUM(G116:G119)</f>
        <v>14572676.99</v>
      </c>
      <c r="H115" s="228">
        <f t="shared" ref="H115:R115" si="23">+SUM(H116:H119)</f>
        <v>36938118.07</v>
      </c>
      <c r="I115" s="228">
        <f t="shared" si="23"/>
        <v>43053255.969999999</v>
      </c>
      <c r="J115" s="228">
        <f t="shared" si="23"/>
        <v>41029948</v>
      </c>
      <c r="K115" s="228">
        <f t="shared" si="23"/>
        <v>40388291.549999997</v>
      </c>
      <c r="L115" s="228">
        <f t="shared" si="23"/>
        <v>42077356.240000002</v>
      </c>
      <c r="M115" s="228">
        <f t="shared" si="23"/>
        <v>46362054.926801696</v>
      </c>
      <c r="N115" s="228">
        <f t="shared" si="23"/>
        <v>45724084.253699698</v>
      </c>
      <c r="O115" s="228">
        <f t="shared" si="23"/>
        <v>41947258.969554</v>
      </c>
      <c r="P115" s="228">
        <f t="shared" si="23"/>
        <v>44433442.802094899</v>
      </c>
      <c r="Q115" s="228">
        <f t="shared" si="23"/>
        <v>45788790.684398502</v>
      </c>
      <c r="R115" s="229">
        <f t="shared" si="23"/>
        <v>79938550.463845894</v>
      </c>
      <c r="S115" s="230">
        <f t="shared" si="21"/>
        <v>522253828.92039502</v>
      </c>
      <c r="T115" s="231">
        <f t="shared" si="22"/>
        <v>0.111996412049502</v>
      </c>
    </row>
    <row r="116" spans="1:20">
      <c r="A116" s="216" t="str">
        <f t="shared" si="18"/>
        <v>7121p</v>
      </c>
      <c r="B116" s="621" t="s">
        <v>136</v>
      </c>
      <c r="C116" s="622"/>
      <c r="D116" s="622"/>
      <c r="E116" s="622"/>
      <c r="F116" s="622"/>
      <c r="G116" s="225">
        <v>8994145.9900000002</v>
      </c>
      <c r="H116" s="225">
        <v>22424749.280000001</v>
      </c>
      <c r="I116" s="225">
        <v>26103027.100000001</v>
      </c>
      <c r="J116" s="225">
        <v>24891690.100000001</v>
      </c>
      <c r="K116" s="225">
        <v>24475000.460000001</v>
      </c>
      <c r="L116" s="225">
        <v>25149415.170000002</v>
      </c>
      <c r="M116" s="225">
        <v>27214533.213989999</v>
      </c>
      <c r="N116" s="225">
        <v>26766339.0617962</v>
      </c>
      <c r="O116" s="225">
        <v>24221524.2813485</v>
      </c>
      <c r="P116" s="225">
        <v>26183242.710226201</v>
      </c>
      <c r="Q116" s="225">
        <v>29430359.803999901</v>
      </c>
      <c r="R116" s="225">
        <v>48642087.791189902</v>
      </c>
      <c r="S116" s="226">
        <f t="shared" si="21"/>
        <v>314496114.962551</v>
      </c>
      <c r="T116" s="227">
        <f t="shared" si="22"/>
        <v>6.7443136897867004E-2</v>
      </c>
    </row>
    <row r="117" spans="1:20">
      <c r="A117" s="216" t="str">
        <f t="shared" si="18"/>
        <v>7122p</v>
      </c>
      <c r="B117" s="621" t="s">
        <v>137</v>
      </c>
      <c r="C117" s="622"/>
      <c r="D117" s="622"/>
      <c r="E117" s="622"/>
      <c r="F117" s="622"/>
      <c r="G117" s="225">
        <v>4907250.76</v>
      </c>
      <c r="H117" s="225">
        <v>12702016.77</v>
      </c>
      <c r="I117" s="225">
        <v>14741947.74</v>
      </c>
      <c r="J117" s="225">
        <v>14077229.140000001</v>
      </c>
      <c r="K117" s="225">
        <v>13944751.890000001</v>
      </c>
      <c r="L117" s="225">
        <v>14898396.42</v>
      </c>
      <c r="M117" s="225">
        <v>16351036.2124402</v>
      </c>
      <c r="N117" s="225">
        <v>16180831.5425945</v>
      </c>
      <c r="O117" s="225">
        <v>14961626.025683301</v>
      </c>
      <c r="P117" s="225">
        <v>15948125.3406948</v>
      </c>
      <c r="Q117" s="225">
        <v>14572835.3514536</v>
      </c>
      <c r="R117" s="225">
        <v>27610027.253725801</v>
      </c>
      <c r="S117" s="226">
        <f t="shared" si="21"/>
        <v>180896074.446592</v>
      </c>
      <c r="T117" s="227">
        <f t="shared" si="22"/>
        <v>3.8792843958155201E-2</v>
      </c>
    </row>
    <row r="118" spans="1:20">
      <c r="A118" s="216" t="str">
        <f t="shared" si="18"/>
        <v>7123p</v>
      </c>
      <c r="B118" s="621" t="s">
        <v>138</v>
      </c>
      <c r="C118" s="622"/>
      <c r="D118" s="622"/>
      <c r="E118" s="622"/>
      <c r="F118" s="622"/>
      <c r="G118" s="225">
        <v>365962.97</v>
      </c>
      <c r="H118" s="225">
        <v>960588.74</v>
      </c>
      <c r="I118" s="225">
        <v>1116426.95</v>
      </c>
      <c r="J118" s="225">
        <v>1036934.31</v>
      </c>
      <c r="K118" s="225">
        <v>1027117.44</v>
      </c>
      <c r="L118" s="225">
        <v>1092483.07</v>
      </c>
      <c r="M118" s="225">
        <v>1576115.9476078199</v>
      </c>
      <c r="N118" s="225">
        <v>1557858.7518804001</v>
      </c>
      <c r="O118" s="225">
        <v>1653902.32762074</v>
      </c>
      <c r="P118" s="225">
        <v>1132729.81607186</v>
      </c>
      <c r="Q118" s="225">
        <v>1164089.0611646499</v>
      </c>
      <c r="R118" s="225">
        <v>1464942.23899436</v>
      </c>
      <c r="S118" s="226">
        <f t="shared" si="21"/>
        <v>14149151.6233398</v>
      </c>
      <c r="T118" s="227">
        <f t="shared" si="22"/>
        <v>3.0342605982119001E-3</v>
      </c>
    </row>
    <row r="119" spans="1:20">
      <c r="A119" s="216" t="str">
        <f t="shared" si="18"/>
        <v>7124p</v>
      </c>
      <c r="B119" s="621" t="s">
        <v>139</v>
      </c>
      <c r="C119" s="622"/>
      <c r="D119" s="622"/>
      <c r="E119" s="622"/>
      <c r="F119" s="622"/>
      <c r="G119" s="225">
        <v>305317.27</v>
      </c>
      <c r="H119" s="225">
        <v>850763.28</v>
      </c>
      <c r="I119" s="225">
        <v>1091854.18</v>
      </c>
      <c r="J119" s="225">
        <v>1024094.45</v>
      </c>
      <c r="K119" s="225">
        <v>941421.76</v>
      </c>
      <c r="L119" s="225">
        <v>937061.58</v>
      </c>
      <c r="M119" s="225">
        <v>1220369.5527637301</v>
      </c>
      <c r="N119" s="225">
        <v>1219054.89742854</v>
      </c>
      <c r="O119" s="225">
        <v>1110206.3349015401</v>
      </c>
      <c r="P119" s="225">
        <v>1169344.93510205</v>
      </c>
      <c r="Q119" s="225">
        <v>621506.46778034803</v>
      </c>
      <c r="R119" s="225">
        <v>2221493.1799357999</v>
      </c>
      <c r="S119" s="226">
        <f t="shared" si="21"/>
        <v>12712487.887912</v>
      </c>
      <c r="T119" s="227">
        <f t="shared" si="22"/>
        <v>2.7261705952679898E-3</v>
      </c>
    </row>
    <row r="120" spans="1:20">
      <c r="A120" s="216" t="str">
        <f t="shared" si="18"/>
        <v>713p</v>
      </c>
      <c r="B120" s="623" t="s">
        <v>140</v>
      </c>
      <c r="C120" s="624"/>
      <c r="D120" s="624"/>
      <c r="E120" s="624"/>
      <c r="F120" s="624"/>
      <c r="G120" s="232">
        <v>785627.24</v>
      </c>
      <c r="H120" s="232">
        <v>993423.94</v>
      </c>
      <c r="I120" s="232">
        <v>1089343.29</v>
      </c>
      <c r="J120" s="232">
        <v>1198538.77</v>
      </c>
      <c r="K120" s="232">
        <v>1382138.78</v>
      </c>
      <c r="L120" s="232">
        <v>1539773.02</v>
      </c>
      <c r="M120" s="232">
        <v>1993333.20505301</v>
      </c>
      <c r="N120" s="232">
        <v>2094009.84111129</v>
      </c>
      <c r="O120" s="232">
        <v>1758705.31000694</v>
      </c>
      <c r="P120" s="232">
        <v>1756312.83536347</v>
      </c>
      <c r="Q120" s="232">
        <v>1538063.00393785</v>
      </c>
      <c r="R120" s="232">
        <v>1571199.1527513</v>
      </c>
      <c r="S120" s="230">
        <f t="shared" si="21"/>
        <v>17700468.388223901</v>
      </c>
      <c r="T120" s="231">
        <f t="shared" si="22"/>
        <v>3.7958342118328001E-3</v>
      </c>
    </row>
    <row r="121" spans="1:20">
      <c r="A121" s="216" t="str">
        <f t="shared" si="18"/>
        <v>714p</v>
      </c>
      <c r="B121" s="623" t="s">
        <v>141</v>
      </c>
      <c r="C121" s="624"/>
      <c r="D121" s="624"/>
      <c r="E121" s="624"/>
      <c r="F121" s="624"/>
      <c r="G121" s="232">
        <v>1774503.57</v>
      </c>
      <c r="H121" s="232">
        <v>1885893.46</v>
      </c>
      <c r="I121" s="232">
        <v>2001213.06</v>
      </c>
      <c r="J121" s="232">
        <v>2389766.7799999998</v>
      </c>
      <c r="K121" s="232">
        <v>1530724.52</v>
      </c>
      <c r="L121" s="232">
        <v>2860047.35</v>
      </c>
      <c r="M121" s="232">
        <v>2768982.89609381</v>
      </c>
      <c r="N121" s="232">
        <v>1878964.84687877</v>
      </c>
      <c r="O121" s="232">
        <v>2453431.09196425</v>
      </c>
      <c r="P121" s="232">
        <v>3062621.0292725498</v>
      </c>
      <c r="Q121" s="232">
        <v>2157522.02058218</v>
      </c>
      <c r="R121" s="232">
        <v>3364455.4723437298</v>
      </c>
      <c r="S121" s="230">
        <f t="shared" si="21"/>
        <v>28128126.097135302</v>
      </c>
      <c r="T121" s="231">
        <f t="shared" si="22"/>
        <v>6.0320270069964396E-3</v>
      </c>
    </row>
    <row r="122" spans="1:20">
      <c r="A122" s="216" t="str">
        <f t="shared" si="18"/>
        <v>715p</v>
      </c>
      <c r="B122" s="623" t="s">
        <v>142</v>
      </c>
      <c r="C122" s="624"/>
      <c r="D122" s="624"/>
      <c r="E122" s="624"/>
      <c r="F122" s="624"/>
      <c r="G122" s="232">
        <v>2425520.81</v>
      </c>
      <c r="H122" s="232">
        <v>1609741.96</v>
      </c>
      <c r="I122" s="232">
        <v>2046839.31</v>
      </c>
      <c r="J122" s="232">
        <v>5482431.4299999997</v>
      </c>
      <c r="K122" s="232">
        <v>2151437.83</v>
      </c>
      <c r="L122" s="232">
        <v>2740294.16</v>
      </c>
      <c r="M122" s="232">
        <v>3610099.6149460999</v>
      </c>
      <c r="N122" s="232">
        <v>2856432.7673175</v>
      </c>
      <c r="O122" s="232">
        <v>38693622.019299202</v>
      </c>
      <c r="P122" s="232">
        <v>3080614.3453884399</v>
      </c>
      <c r="Q122" s="232">
        <v>2054798.3756645599</v>
      </c>
      <c r="R122" s="232">
        <v>4981072.0471647903</v>
      </c>
      <c r="S122" s="230">
        <f t="shared" si="21"/>
        <v>71732904.669780597</v>
      </c>
      <c r="T122" s="231">
        <f t="shared" si="22"/>
        <v>1.5382994827461499E-2</v>
      </c>
    </row>
    <row r="123" spans="1:20">
      <c r="A123" s="216" t="str">
        <f t="shared" si="18"/>
        <v>73p</v>
      </c>
      <c r="B123" s="623" t="s">
        <v>143</v>
      </c>
      <c r="C123" s="624"/>
      <c r="D123" s="624"/>
      <c r="E123" s="624"/>
      <c r="F123" s="624"/>
      <c r="G123" s="232">
        <v>172043.05</v>
      </c>
      <c r="H123" s="232">
        <v>78777.210000000006</v>
      </c>
      <c r="I123" s="232">
        <v>195694.06</v>
      </c>
      <c r="J123" s="232">
        <v>433978.03</v>
      </c>
      <c r="K123" s="232">
        <v>1090667.1299999999</v>
      </c>
      <c r="L123" s="232">
        <v>2374577.77</v>
      </c>
      <c r="M123" s="232">
        <v>478781.262008716</v>
      </c>
      <c r="N123" s="232">
        <v>135623.916017354</v>
      </c>
      <c r="O123" s="232">
        <v>165878.65208433699</v>
      </c>
      <c r="P123" s="232">
        <v>490320.358924172</v>
      </c>
      <c r="Q123" s="232">
        <v>785775.496663125</v>
      </c>
      <c r="R123" s="232">
        <v>860197.30493980495</v>
      </c>
      <c r="S123" s="230">
        <f t="shared" si="21"/>
        <v>7262314.2406375101</v>
      </c>
      <c r="T123" s="231">
        <f t="shared" si="22"/>
        <v>1.5573904739172E-3</v>
      </c>
    </row>
    <row r="124" spans="1:20">
      <c r="A124" s="216" t="str">
        <f t="shared" si="18"/>
        <v>74p</v>
      </c>
      <c r="B124" s="625" t="s">
        <v>144</v>
      </c>
      <c r="C124" s="626"/>
      <c r="D124" s="626"/>
      <c r="E124" s="626"/>
      <c r="F124" s="626"/>
      <c r="G124" s="232">
        <v>1518621.66</v>
      </c>
      <c r="H124" s="232">
        <v>776556.18</v>
      </c>
      <c r="I124" s="232">
        <v>1210159.24</v>
      </c>
      <c r="J124" s="232">
        <v>8493510.6400000006</v>
      </c>
      <c r="K124" s="232">
        <v>1746477.29</v>
      </c>
      <c r="L124" s="232">
        <v>1532517.83</v>
      </c>
      <c r="M124" s="232">
        <v>2435550.5406138701</v>
      </c>
      <c r="N124" s="232">
        <v>570671.53597611003</v>
      </c>
      <c r="O124" s="232">
        <v>1353198.88018052</v>
      </c>
      <c r="P124" s="232">
        <v>2470225.20254238</v>
      </c>
      <c r="Q124" s="232">
        <v>2112933.3732640101</v>
      </c>
      <c r="R124" s="232">
        <v>7307967.0482751997</v>
      </c>
      <c r="S124" s="233">
        <f t="shared" si="21"/>
        <v>31528389.420852099</v>
      </c>
      <c r="T124" s="234">
        <f t="shared" si="22"/>
        <v>6.7612074767060097E-3</v>
      </c>
    </row>
    <row r="125" spans="1:20">
      <c r="A125" s="216" t="str">
        <f t="shared" si="18"/>
        <v>4p</v>
      </c>
      <c r="B125" s="617" t="s">
        <v>181</v>
      </c>
      <c r="C125" s="618"/>
      <c r="D125" s="618"/>
      <c r="E125" s="618"/>
      <c r="F125" s="618"/>
      <c r="G125" s="217">
        <f>+G127+G138+G144+SUM(G145:G148)</f>
        <v>145769475.380667</v>
      </c>
      <c r="H125" s="217">
        <f>+H127+H138+H144+SUM(H145:H148)</f>
        <v>145769475.380667</v>
      </c>
      <c r="I125" s="217">
        <f t="shared" ref="I125:R125" si="24">+I127+I138+I144+SUM(I145:I148)</f>
        <v>145769475.380667</v>
      </c>
      <c r="J125" s="217">
        <f t="shared" si="24"/>
        <v>148999586.37577799</v>
      </c>
      <c r="K125" s="217">
        <f t="shared" si="24"/>
        <v>149556586.02311099</v>
      </c>
      <c r="L125" s="217">
        <f t="shared" si="24"/>
        <v>148880586.49177799</v>
      </c>
      <c r="M125" s="217">
        <f t="shared" si="24"/>
        <v>158107547.35211101</v>
      </c>
      <c r="N125" s="217">
        <f t="shared" si="24"/>
        <v>158107547.35211101</v>
      </c>
      <c r="O125" s="217">
        <f t="shared" si="24"/>
        <v>174334840.490778</v>
      </c>
      <c r="P125" s="217">
        <f t="shared" si="24"/>
        <v>174334840.490778</v>
      </c>
      <c r="Q125" s="217">
        <f t="shared" si="24"/>
        <v>174834840.494111</v>
      </c>
      <c r="R125" s="217">
        <f t="shared" si="24"/>
        <v>175378273.48411101</v>
      </c>
      <c r="S125" s="235">
        <f t="shared" si="21"/>
        <v>1899843074.6966701</v>
      </c>
      <c r="T125" s="236">
        <f t="shared" si="22"/>
        <v>0.40741799492972902</v>
      </c>
    </row>
    <row r="126" spans="1:20">
      <c r="A126" s="216" t="str">
        <f t="shared" si="18"/>
        <v>40p</v>
      </c>
      <c r="B126" s="657" t="s">
        <v>182</v>
      </c>
      <c r="C126" s="658"/>
      <c r="D126" s="658"/>
      <c r="E126" s="658"/>
      <c r="F126" s="658"/>
      <c r="G126" s="237">
        <f t="shared" ref="G126:R126" si="25">+G125-G145</f>
        <v>124297392.047333</v>
      </c>
      <c r="H126" s="237">
        <f t="shared" si="25"/>
        <v>124297392.047333</v>
      </c>
      <c r="I126" s="237">
        <f t="shared" si="25"/>
        <v>124297392.047333</v>
      </c>
      <c r="J126" s="237">
        <f t="shared" si="25"/>
        <v>127527503.04244401</v>
      </c>
      <c r="K126" s="237">
        <f t="shared" si="25"/>
        <v>128084502.689778</v>
      </c>
      <c r="L126" s="237">
        <f t="shared" si="25"/>
        <v>127408503.158444</v>
      </c>
      <c r="M126" s="237">
        <f t="shared" si="25"/>
        <v>131117130.685444</v>
      </c>
      <c r="N126" s="237">
        <f t="shared" si="25"/>
        <v>131117130.685444</v>
      </c>
      <c r="O126" s="237">
        <f t="shared" si="25"/>
        <v>148019423.82411101</v>
      </c>
      <c r="P126" s="237">
        <f t="shared" si="25"/>
        <v>148019423.82411101</v>
      </c>
      <c r="Q126" s="237">
        <f t="shared" si="25"/>
        <v>148019423.82411101</v>
      </c>
      <c r="R126" s="237">
        <f t="shared" si="25"/>
        <v>148562856.82411101</v>
      </c>
      <c r="S126" s="238">
        <f t="shared" si="21"/>
        <v>1610768074.7</v>
      </c>
      <c r="T126" s="239">
        <f t="shared" si="22"/>
        <v>0.345426371278519</v>
      </c>
    </row>
    <row r="127" spans="1:20">
      <c r="A127" s="216" t="str">
        <f t="shared" si="18"/>
        <v>41p</v>
      </c>
      <c r="B127" s="627" t="s">
        <v>146</v>
      </c>
      <c r="C127" s="628"/>
      <c r="D127" s="628"/>
      <c r="E127" s="628"/>
      <c r="F127" s="628"/>
      <c r="G127" s="240">
        <f t="shared" ref="G127:R127" si="26">+SUM(G128:G137)</f>
        <v>61981026.661833301</v>
      </c>
      <c r="H127" s="240">
        <f t="shared" si="26"/>
        <v>61981026.661833301</v>
      </c>
      <c r="I127" s="240">
        <f t="shared" si="26"/>
        <v>61981026.661833301</v>
      </c>
      <c r="J127" s="240">
        <f t="shared" si="26"/>
        <v>62225471.106277801</v>
      </c>
      <c r="K127" s="240">
        <f t="shared" si="26"/>
        <v>62425471.1016111</v>
      </c>
      <c r="L127" s="240">
        <f t="shared" si="26"/>
        <v>62225471.106277801</v>
      </c>
      <c r="M127" s="240">
        <f t="shared" si="26"/>
        <v>68385342.175944403</v>
      </c>
      <c r="N127" s="240">
        <f t="shared" si="26"/>
        <v>68385342.175944403</v>
      </c>
      <c r="O127" s="240">
        <f t="shared" si="26"/>
        <v>75624240.564611107</v>
      </c>
      <c r="P127" s="240">
        <f t="shared" si="26"/>
        <v>75624240.564611107</v>
      </c>
      <c r="Q127" s="240">
        <f t="shared" si="26"/>
        <v>75624240.564611107</v>
      </c>
      <c r="R127" s="241">
        <f t="shared" si="26"/>
        <v>76167673.564611107</v>
      </c>
      <c r="S127" s="222">
        <f t="shared" si="21"/>
        <v>812630572.90999997</v>
      </c>
      <c r="T127" s="223">
        <f t="shared" si="22"/>
        <v>0.17426719240295699</v>
      </c>
    </row>
    <row r="128" spans="1:20">
      <c r="A128" s="216" t="str">
        <f t="shared" si="18"/>
        <v>411p</v>
      </c>
      <c r="B128" s="621" t="s">
        <v>147</v>
      </c>
      <c r="C128" s="622"/>
      <c r="D128" s="622"/>
      <c r="E128" s="622"/>
      <c r="F128" s="622"/>
      <c r="G128" s="225">
        <v>36581480.009166703</v>
      </c>
      <c r="H128" s="225">
        <v>36581480.009166703</v>
      </c>
      <c r="I128" s="225">
        <v>36581480.009166703</v>
      </c>
      <c r="J128" s="225">
        <v>36581480.009166703</v>
      </c>
      <c r="K128" s="225">
        <v>36581480.009166703</v>
      </c>
      <c r="L128" s="225">
        <v>36581480.009166703</v>
      </c>
      <c r="M128" s="225">
        <v>36581480.009166703</v>
      </c>
      <c r="N128" s="225">
        <v>36581480.009166703</v>
      </c>
      <c r="O128" s="225">
        <v>42330489.099166699</v>
      </c>
      <c r="P128" s="225">
        <v>42330489.099166699</v>
      </c>
      <c r="Q128" s="225">
        <v>42330489.099166699</v>
      </c>
      <c r="R128" s="225">
        <v>42330489.099166699</v>
      </c>
      <c r="S128" s="226">
        <f t="shared" si="21"/>
        <v>461973796.47000003</v>
      </c>
      <c r="T128" s="227">
        <f t="shared" si="22"/>
        <v>9.9069465459894895E-2</v>
      </c>
    </row>
    <row r="129" spans="1:20">
      <c r="A129" s="216" t="str">
        <f t="shared" si="18"/>
        <v>412p</v>
      </c>
      <c r="B129" s="621" t="s">
        <v>148</v>
      </c>
      <c r="C129" s="622"/>
      <c r="D129" s="622"/>
      <c r="E129" s="622"/>
      <c r="F129" s="622"/>
      <c r="G129" s="225">
        <v>1045765.84833333</v>
      </c>
      <c r="H129" s="225">
        <v>1045765.84833333</v>
      </c>
      <c r="I129" s="225">
        <v>1045765.84833333</v>
      </c>
      <c r="J129" s="225">
        <v>1064654.7372222201</v>
      </c>
      <c r="K129" s="225">
        <v>1064654.7372222201</v>
      </c>
      <c r="L129" s="225">
        <v>1064654.7372222201</v>
      </c>
      <c r="M129" s="225">
        <v>1064654.7372222201</v>
      </c>
      <c r="N129" s="225">
        <v>1064654.7372222201</v>
      </c>
      <c r="O129" s="225">
        <v>1064654.7372222201</v>
      </c>
      <c r="P129" s="225">
        <v>1064654.7372222201</v>
      </c>
      <c r="Q129" s="225">
        <v>1064654.7372222201</v>
      </c>
      <c r="R129" s="225">
        <v>1608087.7372222201</v>
      </c>
      <c r="S129" s="226">
        <f t="shared" si="21"/>
        <v>13262623.18</v>
      </c>
      <c r="T129" s="227">
        <f t="shared" si="22"/>
        <v>2.8441461378945002E-3</v>
      </c>
    </row>
    <row r="130" spans="1:20">
      <c r="A130" s="216" t="str">
        <f t="shared" si="18"/>
        <v>413p</v>
      </c>
      <c r="B130" s="621" t="s">
        <v>149</v>
      </c>
      <c r="C130" s="622"/>
      <c r="D130" s="622"/>
      <c r="E130" s="622"/>
      <c r="F130" s="622"/>
      <c r="G130" s="225">
        <v>2429373.3213333301</v>
      </c>
      <c r="H130" s="225">
        <v>2429373.3213333301</v>
      </c>
      <c r="I130" s="225">
        <v>2429373.3213333301</v>
      </c>
      <c r="J130" s="225">
        <v>2429373.3213333301</v>
      </c>
      <c r="K130" s="225">
        <v>2429373.3213333301</v>
      </c>
      <c r="L130" s="225">
        <v>2429373.3213333301</v>
      </c>
      <c r="M130" s="225">
        <v>3644059.9819999998</v>
      </c>
      <c r="N130" s="225">
        <v>3644059.9819999998</v>
      </c>
      <c r="O130" s="225">
        <v>4454463.4019999998</v>
      </c>
      <c r="P130" s="225">
        <v>4454463.4019999998</v>
      </c>
      <c r="Q130" s="225">
        <v>4454463.4019999998</v>
      </c>
      <c r="R130" s="225">
        <v>4454463.4019999998</v>
      </c>
      <c r="S130" s="226">
        <f t="shared" si="21"/>
        <v>39682213.5</v>
      </c>
      <c r="T130" s="227">
        <f t="shared" si="22"/>
        <v>8.5097806623448194E-3</v>
      </c>
    </row>
    <row r="131" spans="1:20">
      <c r="A131" s="216" t="str">
        <f t="shared" si="18"/>
        <v>414p</v>
      </c>
      <c r="B131" s="621" t="s">
        <v>150</v>
      </c>
      <c r="C131" s="622"/>
      <c r="D131" s="622"/>
      <c r="E131" s="622"/>
      <c r="F131" s="622"/>
      <c r="G131" s="225">
        <v>3986420.5893333298</v>
      </c>
      <c r="H131" s="225">
        <v>3986420.5893333298</v>
      </c>
      <c r="I131" s="225">
        <v>3986420.5893333298</v>
      </c>
      <c r="J131" s="225">
        <v>4097531.7004444399</v>
      </c>
      <c r="K131" s="225">
        <v>4097531.7004444399</v>
      </c>
      <c r="L131" s="225">
        <v>4097531.7004444399</v>
      </c>
      <c r="M131" s="225">
        <v>6090741.9951111097</v>
      </c>
      <c r="N131" s="225">
        <v>6090741.9951111097</v>
      </c>
      <c r="O131" s="225">
        <v>5577148.0201111203</v>
      </c>
      <c r="P131" s="225">
        <v>5577148.0201111203</v>
      </c>
      <c r="Q131" s="225">
        <v>5577148.0201111203</v>
      </c>
      <c r="R131" s="225">
        <v>5577148.0201111203</v>
      </c>
      <c r="S131" s="226">
        <f t="shared" si="21"/>
        <v>58741932.939999998</v>
      </c>
      <c r="T131" s="227">
        <f t="shared" si="22"/>
        <v>1.2597103863713899E-2</v>
      </c>
    </row>
    <row r="132" spans="1:20">
      <c r="A132" s="216" t="str">
        <f t="shared" si="18"/>
        <v>415p</v>
      </c>
      <c r="B132" s="621" t="s">
        <v>151</v>
      </c>
      <c r="C132" s="622"/>
      <c r="D132" s="622"/>
      <c r="E132" s="622"/>
      <c r="F132" s="622"/>
      <c r="G132" s="225">
        <v>1860319.3983333299</v>
      </c>
      <c r="H132" s="225">
        <v>1860319.3983333299</v>
      </c>
      <c r="I132" s="225">
        <v>1860319.3983333299</v>
      </c>
      <c r="J132" s="225">
        <v>1860319.3983333299</v>
      </c>
      <c r="K132" s="225">
        <v>1860319.3983333299</v>
      </c>
      <c r="L132" s="225">
        <v>1860319.3983333299</v>
      </c>
      <c r="M132" s="225">
        <v>1860319.3983333299</v>
      </c>
      <c r="N132" s="225">
        <v>1860319.3983333299</v>
      </c>
      <c r="O132" s="225">
        <v>1850732.90583333</v>
      </c>
      <c r="P132" s="225">
        <v>1850732.90583333</v>
      </c>
      <c r="Q132" s="225">
        <v>1850732.90583333</v>
      </c>
      <c r="R132" s="225">
        <v>1850732.90583333</v>
      </c>
      <c r="S132" s="226">
        <f t="shared" si="21"/>
        <v>22285486.809999999</v>
      </c>
      <c r="T132" s="227">
        <f t="shared" si="22"/>
        <v>4.7790833217173896E-3</v>
      </c>
    </row>
    <row r="133" spans="1:20">
      <c r="A133" s="216" t="str">
        <f t="shared" si="18"/>
        <v>416p</v>
      </c>
      <c r="B133" s="621" t="s">
        <v>152</v>
      </c>
      <c r="C133" s="622"/>
      <c r="D133" s="622"/>
      <c r="E133" s="622"/>
      <c r="F133" s="622"/>
      <c r="G133" s="225">
        <v>7122725</v>
      </c>
      <c r="H133" s="225">
        <v>7122725</v>
      </c>
      <c r="I133" s="225">
        <v>7122725</v>
      </c>
      <c r="J133" s="225">
        <v>7122725</v>
      </c>
      <c r="K133" s="225">
        <v>7122725</v>
      </c>
      <c r="L133" s="225">
        <v>7122725</v>
      </c>
      <c r="M133" s="225">
        <v>7122725</v>
      </c>
      <c r="N133" s="225">
        <v>7122725</v>
      </c>
      <c r="O133" s="225">
        <v>7615225</v>
      </c>
      <c r="P133" s="225">
        <v>7615225</v>
      </c>
      <c r="Q133" s="225">
        <v>7615225</v>
      </c>
      <c r="R133" s="225">
        <v>7615225</v>
      </c>
      <c r="S133" s="226">
        <f t="shared" si="21"/>
        <v>87442700</v>
      </c>
      <c r="T133" s="227">
        <f t="shared" si="22"/>
        <v>1.8751932714721701E-2</v>
      </c>
    </row>
    <row r="134" spans="1:20">
      <c r="A134" s="216" t="str">
        <f t="shared" si="18"/>
        <v>417p</v>
      </c>
      <c r="B134" s="621" t="s">
        <v>153</v>
      </c>
      <c r="C134" s="622"/>
      <c r="D134" s="622"/>
      <c r="E134" s="622"/>
      <c r="F134" s="622"/>
      <c r="G134" s="225">
        <v>800010.933333333</v>
      </c>
      <c r="H134" s="225">
        <v>800010.933333333</v>
      </c>
      <c r="I134" s="225">
        <v>800010.933333333</v>
      </c>
      <c r="J134" s="225">
        <v>800010.933333333</v>
      </c>
      <c r="K134" s="225">
        <v>800010.933333333</v>
      </c>
      <c r="L134" s="225">
        <v>800010.933333333</v>
      </c>
      <c r="M134" s="225">
        <v>800010.933333333</v>
      </c>
      <c r="N134" s="225">
        <v>800010.933333333</v>
      </c>
      <c r="O134" s="225">
        <v>986109.29833333299</v>
      </c>
      <c r="P134" s="225">
        <v>986109.29833333299</v>
      </c>
      <c r="Q134" s="225">
        <v>986109.29833333299</v>
      </c>
      <c r="R134" s="225">
        <v>986109.29833333299</v>
      </c>
      <c r="S134" s="226">
        <f t="shared" si="21"/>
        <v>10344524.66</v>
      </c>
      <c r="T134" s="227">
        <f t="shared" si="22"/>
        <v>2.2183650595201101E-3</v>
      </c>
    </row>
    <row r="135" spans="1:20">
      <c r="A135" s="216" t="str">
        <f t="shared" si="18"/>
        <v>418p</v>
      </c>
      <c r="B135" s="621" t="s">
        <v>154</v>
      </c>
      <c r="C135" s="622"/>
      <c r="D135" s="622"/>
      <c r="E135" s="622"/>
      <c r="F135" s="622"/>
      <c r="G135" s="225">
        <v>2250983.3333333302</v>
      </c>
      <c r="H135" s="225">
        <v>2250983.3333333302</v>
      </c>
      <c r="I135" s="225">
        <v>2250983.3333333302</v>
      </c>
      <c r="J135" s="225">
        <v>2250983.3333333302</v>
      </c>
      <c r="K135" s="225">
        <v>2250983.3333333302</v>
      </c>
      <c r="L135" s="225">
        <v>2250983.3333333302</v>
      </c>
      <c r="M135" s="225">
        <v>2250983.3333333302</v>
      </c>
      <c r="N135" s="225">
        <v>2250983.3333333302</v>
      </c>
      <c r="O135" s="225">
        <v>2180983.3333333302</v>
      </c>
      <c r="P135" s="225">
        <v>2180983.3333333302</v>
      </c>
      <c r="Q135" s="225">
        <v>2180983.3333333302</v>
      </c>
      <c r="R135" s="225">
        <v>2180983.3333333302</v>
      </c>
      <c r="S135" s="226">
        <f t="shared" si="21"/>
        <v>26731800</v>
      </c>
      <c r="T135" s="227">
        <f t="shared" si="22"/>
        <v>5.7325873394050804E-3</v>
      </c>
    </row>
    <row r="136" spans="1:20">
      <c r="A136" s="216" t="str">
        <f t="shared" si="18"/>
        <v>419p</v>
      </c>
      <c r="B136" s="621" t="s">
        <v>155</v>
      </c>
      <c r="C136" s="622"/>
      <c r="D136" s="622"/>
      <c r="E136" s="622"/>
      <c r="F136" s="622"/>
      <c r="G136" s="225">
        <v>2581823.9339999999</v>
      </c>
      <c r="H136" s="225">
        <v>2581823.9339999999</v>
      </c>
      <c r="I136" s="225">
        <v>2581823.9339999999</v>
      </c>
      <c r="J136" s="225">
        <v>2696268.3784444402</v>
      </c>
      <c r="K136" s="225">
        <v>2696268.3784444402</v>
      </c>
      <c r="L136" s="225">
        <v>2696268.3784444402</v>
      </c>
      <c r="M136" s="225">
        <v>3987180.3454444502</v>
      </c>
      <c r="N136" s="225">
        <v>3987180.3454444502</v>
      </c>
      <c r="O136" s="225">
        <v>3877323.0754444399</v>
      </c>
      <c r="P136" s="225">
        <v>3877323.0754444399</v>
      </c>
      <c r="Q136" s="225">
        <v>3877323.0754444399</v>
      </c>
      <c r="R136" s="225">
        <v>3877323.0754444399</v>
      </c>
      <c r="S136" s="226">
        <f t="shared" si="21"/>
        <v>39317929.93</v>
      </c>
      <c r="T136" s="227">
        <f t="shared" si="22"/>
        <v>8.4316606935684792E-3</v>
      </c>
    </row>
    <row r="137" spans="1:20">
      <c r="A137" s="216" t="str">
        <f t="shared" si="18"/>
        <v>440p</v>
      </c>
      <c r="B137" s="621" t="s">
        <v>199</v>
      </c>
      <c r="C137" s="622"/>
      <c r="D137" s="622"/>
      <c r="E137" s="622"/>
      <c r="F137" s="622"/>
      <c r="G137" s="225">
        <v>3322124.2946666698</v>
      </c>
      <c r="H137" s="225">
        <v>3322124.2946666698</v>
      </c>
      <c r="I137" s="225">
        <v>3322124.2946666698</v>
      </c>
      <c r="J137" s="225">
        <v>3322124.2946666698</v>
      </c>
      <c r="K137" s="225">
        <v>3522124.2900000098</v>
      </c>
      <c r="L137" s="225">
        <v>3322124.2946666698</v>
      </c>
      <c r="M137" s="225">
        <v>4983186.4419999998</v>
      </c>
      <c r="N137" s="225">
        <v>4983186.4419999998</v>
      </c>
      <c r="O137" s="225">
        <v>5687111.6931666601</v>
      </c>
      <c r="P137" s="225">
        <v>5687111.6931666601</v>
      </c>
      <c r="Q137" s="225">
        <v>5687111.6931666601</v>
      </c>
      <c r="R137" s="225">
        <v>5687111.6931666601</v>
      </c>
      <c r="S137" s="226">
        <f t="shared" si="21"/>
        <v>52847565.420000002</v>
      </c>
      <c r="T137" s="227">
        <f t="shared" si="22"/>
        <v>1.1333067150176001E-2</v>
      </c>
    </row>
    <row r="138" spans="1:20">
      <c r="A138" s="216" t="str">
        <f t="shared" si="18"/>
        <v>42p</v>
      </c>
      <c r="B138" s="649" t="s">
        <v>156</v>
      </c>
      <c r="C138" s="650"/>
      <c r="D138" s="650"/>
      <c r="E138" s="650"/>
      <c r="F138" s="650"/>
      <c r="G138" s="242">
        <f t="shared" ref="G138:R138" si="27">+SUM(G139:G143)</f>
        <v>45950724.162500001</v>
      </c>
      <c r="H138" s="242">
        <f t="shared" si="27"/>
        <v>45950724.162500001</v>
      </c>
      <c r="I138" s="242">
        <f t="shared" si="27"/>
        <v>45950724.162500001</v>
      </c>
      <c r="J138" s="242">
        <f t="shared" si="27"/>
        <v>45950724.162500001</v>
      </c>
      <c r="K138" s="242">
        <f t="shared" si="27"/>
        <v>45950724.162500001</v>
      </c>
      <c r="L138" s="242">
        <f t="shared" si="27"/>
        <v>45950724.162500001</v>
      </c>
      <c r="M138" s="242">
        <f t="shared" si="27"/>
        <v>45950724.162500001</v>
      </c>
      <c r="N138" s="242">
        <f t="shared" si="27"/>
        <v>45950724.162500001</v>
      </c>
      <c r="O138" s="242">
        <f t="shared" si="27"/>
        <v>47831745.140000001</v>
      </c>
      <c r="P138" s="242">
        <f t="shared" si="27"/>
        <v>47831745.140000001</v>
      </c>
      <c r="Q138" s="242">
        <f t="shared" si="27"/>
        <v>47831745.140000001</v>
      </c>
      <c r="R138" s="242">
        <f t="shared" si="27"/>
        <v>47831745.140000001</v>
      </c>
      <c r="S138" s="230">
        <f t="shared" si="21"/>
        <v>558932773.86000001</v>
      </c>
      <c r="T138" s="231">
        <f t="shared" si="22"/>
        <v>0.1198621470686</v>
      </c>
    </row>
    <row r="139" spans="1:20">
      <c r="A139" s="216" t="str">
        <f t="shared" si="18"/>
        <v>421p</v>
      </c>
      <c r="B139" s="621" t="s">
        <v>157</v>
      </c>
      <c r="C139" s="622"/>
      <c r="D139" s="622"/>
      <c r="E139" s="622"/>
      <c r="F139" s="622"/>
      <c r="G139" s="225">
        <v>6651000</v>
      </c>
      <c r="H139" s="225">
        <v>6651000</v>
      </c>
      <c r="I139" s="225">
        <v>6651000</v>
      </c>
      <c r="J139" s="225">
        <v>6651000</v>
      </c>
      <c r="K139" s="225">
        <v>6651000</v>
      </c>
      <c r="L139" s="225">
        <v>6651000</v>
      </c>
      <c r="M139" s="225">
        <v>6651000</v>
      </c>
      <c r="N139" s="225">
        <v>6651000</v>
      </c>
      <c r="O139" s="225">
        <v>7394520.9775</v>
      </c>
      <c r="P139" s="225">
        <v>7394520.9775</v>
      </c>
      <c r="Q139" s="225">
        <v>7394520.9775</v>
      </c>
      <c r="R139" s="225">
        <v>7394520.9775</v>
      </c>
      <c r="S139" s="226">
        <f t="shared" si="21"/>
        <v>82786083.909999996</v>
      </c>
      <c r="T139" s="227">
        <f t="shared" si="22"/>
        <v>1.77533296112268E-2</v>
      </c>
    </row>
    <row r="140" spans="1:20">
      <c r="A140" s="216" t="str">
        <f t="shared" si="18"/>
        <v>422p</v>
      </c>
      <c r="B140" s="621" t="s">
        <v>158</v>
      </c>
      <c r="C140" s="622"/>
      <c r="D140" s="622"/>
      <c r="E140" s="622"/>
      <c r="F140" s="622"/>
      <c r="G140" s="225">
        <v>1699899.96</v>
      </c>
      <c r="H140" s="225">
        <v>1699899.96</v>
      </c>
      <c r="I140" s="225">
        <v>1699899.96</v>
      </c>
      <c r="J140" s="225">
        <v>1699899.96</v>
      </c>
      <c r="K140" s="225">
        <v>1699899.96</v>
      </c>
      <c r="L140" s="225">
        <v>1699899.96</v>
      </c>
      <c r="M140" s="225">
        <v>1699899.96</v>
      </c>
      <c r="N140" s="225">
        <v>1699899.96</v>
      </c>
      <c r="O140" s="225">
        <v>924899.95999999798</v>
      </c>
      <c r="P140" s="225">
        <v>924899.95999999798</v>
      </c>
      <c r="Q140" s="225">
        <v>924899.95999999798</v>
      </c>
      <c r="R140" s="225">
        <v>924899.95999999798</v>
      </c>
      <c r="S140" s="226">
        <f t="shared" si="21"/>
        <v>17298799.52</v>
      </c>
      <c r="T140" s="227">
        <f t="shared" si="22"/>
        <v>3.7096970318219701E-3</v>
      </c>
    </row>
    <row r="141" spans="1:20">
      <c r="A141" s="216" t="str">
        <f t="shared" si="18"/>
        <v>423p</v>
      </c>
      <c r="B141" s="621" t="s">
        <v>159</v>
      </c>
      <c r="C141" s="622"/>
      <c r="D141" s="622"/>
      <c r="E141" s="622"/>
      <c r="F141" s="622"/>
      <c r="G141" s="225">
        <v>35472732.535833299</v>
      </c>
      <c r="H141" s="225">
        <v>35472732.535833299</v>
      </c>
      <c r="I141" s="225">
        <v>35472732.535833299</v>
      </c>
      <c r="J141" s="225">
        <v>35472732.535833299</v>
      </c>
      <c r="K141" s="225">
        <v>35472732.535833299</v>
      </c>
      <c r="L141" s="225">
        <v>35472732.535833299</v>
      </c>
      <c r="M141" s="225">
        <v>35472732.535833299</v>
      </c>
      <c r="N141" s="225">
        <v>35472732.535833299</v>
      </c>
      <c r="O141" s="225">
        <v>35472732.535833299</v>
      </c>
      <c r="P141" s="225">
        <v>35472732.535833299</v>
      </c>
      <c r="Q141" s="225">
        <v>35472732.535833299</v>
      </c>
      <c r="R141" s="225">
        <v>35472732.535833299</v>
      </c>
      <c r="S141" s="226">
        <f t="shared" si="21"/>
        <v>425672790.43000001</v>
      </c>
      <c r="T141" s="227">
        <f t="shared" si="22"/>
        <v>9.1284778770911401E-2</v>
      </c>
    </row>
    <row r="142" spans="1:20">
      <c r="A142" s="216" t="str">
        <f t="shared" si="18"/>
        <v>424p</v>
      </c>
      <c r="B142" s="621" t="s">
        <v>160</v>
      </c>
      <c r="C142" s="622"/>
      <c r="D142" s="622"/>
      <c r="E142" s="622"/>
      <c r="F142" s="622"/>
      <c r="G142" s="225">
        <v>1375008.33333333</v>
      </c>
      <c r="H142" s="225">
        <v>1375008.33333333</v>
      </c>
      <c r="I142" s="225">
        <v>1375008.33333333</v>
      </c>
      <c r="J142" s="225">
        <v>1375008.33333333</v>
      </c>
      <c r="K142" s="225">
        <v>1375008.33333333</v>
      </c>
      <c r="L142" s="225">
        <v>1375008.33333333</v>
      </c>
      <c r="M142" s="225">
        <v>1375008.33333333</v>
      </c>
      <c r="N142" s="225">
        <v>1375008.33333333</v>
      </c>
      <c r="O142" s="225">
        <v>2000008.33333333</v>
      </c>
      <c r="P142" s="225">
        <v>2000008.33333333</v>
      </c>
      <c r="Q142" s="225">
        <v>2000008.33333333</v>
      </c>
      <c r="R142" s="225">
        <v>2000008.33333333</v>
      </c>
      <c r="S142" s="226">
        <f t="shared" si="21"/>
        <v>19000100</v>
      </c>
      <c r="T142" s="227">
        <f t="shared" si="22"/>
        <v>4.0745379176647398E-3</v>
      </c>
    </row>
    <row r="143" spans="1:20">
      <c r="A143" s="216" t="str">
        <f t="shared" si="18"/>
        <v>425p</v>
      </c>
      <c r="B143" s="621" t="s">
        <v>161</v>
      </c>
      <c r="C143" s="622"/>
      <c r="D143" s="622"/>
      <c r="E143" s="622"/>
      <c r="F143" s="622"/>
      <c r="G143" s="225">
        <v>752083.33333333302</v>
      </c>
      <c r="H143" s="225">
        <v>752083.33333333302</v>
      </c>
      <c r="I143" s="225">
        <v>752083.33333333302</v>
      </c>
      <c r="J143" s="225">
        <v>752083.33333333302</v>
      </c>
      <c r="K143" s="225">
        <v>752083.33333333302</v>
      </c>
      <c r="L143" s="225">
        <v>752083.33333333302</v>
      </c>
      <c r="M143" s="225">
        <v>752083.33333333302</v>
      </c>
      <c r="N143" s="225">
        <v>752083.33333333302</v>
      </c>
      <c r="O143" s="225">
        <v>2039583.33333333</v>
      </c>
      <c r="P143" s="225">
        <v>2039583.33333333</v>
      </c>
      <c r="Q143" s="225">
        <v>2039583.33333333</v>
      </c>
      <c r="R143" s="225">
        <v>2039583.33333333</v>
      </c>
      <c r="S143" s="226">
        <f t="shared" si="21"/>
        <v>14175000</v>
      </c>
      <c r="T143" s="227">
        <f t="shared" si="22"/>
        <v>3.03980373697495E-3</v>
      </c>
    </row>
    <row r="144" spans="1:20">
      <c r="A144" s="216" t="str">
        <f t="shared" si="18"/>
        <v>43p</v>
      </c>
      <c r="B144" s="629" t="s">
        <v>162</v>
      </c>
      <c r="C144" s="630"/>
      <c r="D144" s="630"/>
      <c r="E144" s="630"/>
      <c r="F144" s="630"/>
      <c r="G144" s="232">
        <v>15295211.5583333</v>
      </c>
      <c r="H144" s="232">
        <v>15295211.5583333</v>
      </c>
      <c r="I144" s="232">
        <v>15295211.5583333</v>
      </c>
      <c r="J144" s="232">
        <v>18161878.225000001</v>
      </c>
      <c r="K144" s="232">
        <v>18161878.225000001</v>
      </c>
      <c r="L144" s="232">
        <v>18161878.225000001</v>
      </c>
      <c r="M144" s="232">
        <v>15295211.5583333</v>
      </c>
      <c r="N144" s="232">
        <v>15295211.5583333</v>
      </c>
      <c r="O144" s="232">
        <v>18930636.555833299</v>
      </c>
      <c r="P144" s="232">
        <v>18930636.555833299</v>
      </c>
      <c r="Q144" s="232">
        <v>18930636.555833299</v>
      </c>
      <c r="R144" s="232">
        <v>18930636.555833299</v>
      </c>
      <c r="S144" s="230">
        <f t="shared" si="21"/>
        <v>206684238.69</v>
      </c>
      <c r="T144" s="231">
        <f t="shared" si="22"/>
        <v>4.4323070274686703E-2</v>
      </c>
    </row>
    <row r="145" spans="1:20">
      <c r="A145" s="216" t="str">
        <f t="shared" si="18"/>
        <v>44p</v>
      </c>
      <c r="B145" s="629" t="s">
        <v>183</v>
      </c>
      <c r="C145" s="630"/>
      <c r="D145" s="630"/>
      <c r="E145" s="630"/>
      <c r="F145" s="630"/>
      <c r="G145" s="232">
        <v>21472083.333333299</v>
      </c>
      <c r="H145" s="232">
        <v>21472083.333333299</v>
      </c>
      <c r="I145" s="232">
        <v>21472083.333333299</v>
      </c>
      <c r="J145" s="232">
        <v>21472083.333333299</v>
      </c>
      <c r="K145" s="232">
        <v>21472083.333333299</v>
      </c>
      <c r="L145" s="232">
        <v>21472083.333333299</v>
      </c>
      <c r="M145" s="232">
        <v>26990416.666666701</v>
      </c>
      <c r="N145" s="232">
        <v>26990416.666666701</v>
      </c>
      <c r="O145" s="232">
        <v>26315416.666666701</v>
      </c>
      <c r="P145" s="232">
        <v>26315416.666666701</v>
      </c>
      <c r="Q145" s="232">
        <v>26815416.670000002</v>
      </c>
      <c r="R145" s="232">
        <v>26815416.66</v>
      </c>
      <c r="S145" s="230">
        <f t="shared" si="21"/>
        <v>289074999.99666703</v>
      </c>
      <c r="T145" s="231">
        <f t="shared" si="22"/>
        <v>6.1991623651209998E-2</v>
      </c>
    </row>
    <row r="146" spans="1:20">
      <c r="A146" s="216" t="str">
        <f t="shared" si="18"/>
        <v>451p</v>
      </c>
      <c r="B146" s="631" t="s">
        <v>22</v>
      </c>
      <c r="C146" s="632"/>
      <c r="D146" s="632"/>
      <c r="E146" s="632"/>
      <c r="F146" s="632"/>
      <c r="G146" s="225">
        <v>239583.41666666701</v>
      </c>
      <c r="H146" s="225">
        <v>239583.41666666701</v>
      </c>
      <c r="I146" s="225">
        <v>239583.41666666701</v>
      </c>
      <c r="J146" s="225">
        <v>239583.41666666701</v>
      </c>
      <c r="K146" s="225">
        <v>239583.41666666701</v>
      </c>
      <c r="L146" s="225">
        <v>239583.41666666701</v>
      </c>
      <c r="M146" s="225">
        <v>239583.41666666701</v>
      </c>
      <c r="N146" s="225">
        <v>239583.41666666701</v>
      </c>
      <c r="O146" s="225">
        <v>239583.41666666701</v>
      </c>
      <c r="P146" s="225">
        <v>239583.41666666701</v>
      </c>
      <c r="Q146" s="225">
        <v>239583.41666666701</v>
      </c>
      <c r="R146" s="225">
        <v>239583.41666666701</v>
      </c>
      <c r="S146" s="226">
        <f t="shared" si="21"/>
        <v>2875001</v>
      </c>
      <c r="T146" s="227">
        <f t="shared" si="22"/>
        <v>6.1653889125973303E-4</v>
      </c>
    </row>
    <row r="147" spans="1:20">
      <c r="A147" s="216" t="str">
        <f t="shared" si="18"/>
        <v>47p</v>
      </c>
      <c r="B147" s="631" t="s">
        <v>164</v>
      </c>
      <c r="C147" s="632"/>
      <c r="D147" s="632"/>
      <c r="E147" s="632"/>
      <c r="F147" s="632"/>
      <c r="G147" s="225">
        <v>830846.24800000002</v>
      </c>
      <c r="H147" s="225">
        <v>830846.24800000002</v>
      </c>
      <c r="I147" s="225">
        <v>830846.24800000002</v>
      </c>
      <c r="J147" s="225">
        <v>949846.13199999998</v>
      </c>
      <c r="K147" s="225">
        <v>1306845.784</v>
      </c>
      <c r="L147" s="225">
        <v>830846.24800000002</v>
      </c>
      <c r="M147" s="225">
        <v>1246269.372</v>
      </c>
      <c r="N147" s="225">
        <v>1246269.372</v>
      </c>
      <c r="O147" s="225">
        <v>5393218.1469999999</v>
      </c>
      <c r="P147" s="225">
        <v>5393218.1469999999</v>
      </c>
      <c r="Q147" s="225">
        <v>5393218.1469999999</v>
      </c>
      <c r="R147" s="225">
        <v>5393218.1469999999</v>
      </c>
      <c r="S147" s="226">
        <f t="shared" si="21"/>
        <v>29645488.239999998</v>
      </c>
      <c r="T147" s="227">
        <f t="shared" si="22"/>
        <v>6.3574226410158001E-3</v>
      </c>
    </row>
    <row r="148" spans="1:20">
      <c r="A148" s="216" t="str">
        <f t="shared" si="18"/>
        <v>462p</v>
      </c>
      <c r="B148" s="631" t="s">
        <v>165</v>
      </c>
      <c r="C148" s="632"/>
      <c r="D148" s="632"/>
      <c r="E148" s="632"/>
      <c r="F148" s="632"/>
      <c r="G148" s="225">
        <v>0</v>
      </c>
      <c r="H148" s="225">
        <v>0</v>
      </c>
      <c r="I148" s="225">
        <v>0</v>
      </c>
      <c r="J148" s="225">
        <v>0</v>
      </c>
      <c r="K148" s="225">
        <v>0</v>
      </c>
      <c r="L148" s="225">
        <v>0</v>
      </c>
      <c r="M148" s="225">
        <v>0</v>
      </c>
      <c r="N148" s="225">
        <v>0</v>
      </c>
      <c r="O148" s="225">
        <v>0</v>
      </c>
      <c r="P148" s="225">
        <v>0</v>
      </c>
      <c r="Q148" s="225">
        <v>0</v>
      </c>
      <c r="R148" s="225">
        <v>0</v>
      </c>
      <c r="S148" s="226">
        <f t="shared" si="21"/>
        <v>0</v>
      </c>
      <c r="T148" s="227">
        <f t="shared" si="22"/>
        <v>0</v>
      </c>
    </row>
    <row r="149" spans="1:20">
      <c r="A149" s="216"/>
      <c r="B149" s="245" t="s">
        <v>185</v>
      </c>
      <c r="C149" s="246"/>
      <c r="D149" s="246"/>
      <c r="E149" s="246"/>
      <c r="F149" s="246"/>
      <c r="G149" s="225">
        <v>0</v>
      </c>
      <c r="H149" s="225">
        <v>0</v>
      </c>
      <c r="I149" s="225">
        <v>0</v>
      </c>
      <c r="J149" s="225">
        <v>0</v>
      </c>
      <c r="K149" s="225">
        <v>0</v>
      </c>
      <c r="L149" s="225">
        <v>0</v>
      </c>
      <c r="M149" s="225">
        <v>0</v>
      </c>
      <c r="N149" s="225">
        <v>0</v>
      </c>
      <c r="O149" s="225">
        <v>0</v>
      </c>
      <c r="P149" s="225">
        <v>0</v>
      </c>
      <c r="Q149" s="225">
        <v>0</v>
      </c>
      <c r="R149" s="225">
        <v>0</v>
      </c>
      <c r="S149" s="184">
        <f>SUM(G149:R149)</f>
        <v>0</v>
      </c>
      <c r="T149" s="185">
        <f t="shared" si="22"/>
        <v>0</v>
      </c>
    </row>
    <row r="150" spans="1:20">
      <c r="A150" s="247" t="str">
        <f>+CONCATENATE(A55,"p")</f>
        <v>1000p</v>
      </c>
      <c r="B150" s="645" t="s">
        <v>168</v>
      </c>
      <c r="C150" s="646"/>
      <c r="D150" s="646"/>
      <c r="E150" s="646"/>
      <c r="F150" s="646"/>
      <c r="G150" s="217">
        <f t="shared" ref="G150:R150" si="28">+G106-G125</f>
        <v>-64224630.550666697</v>
      </c>
      <c r="H150" s="217">
        <f t="shared" si="28"/>
        <v>-38689367.230666697</v>
      </c>
      <c r="I150" s="217">
        <f t="shared" si="28"/>
        <v>-6911119.8406666797</v>
      </c>
      <c r="J150" s="217">
        <f t="shared" si="28"/>
        <v>7828380.3542222399</v>
      </c>
      <c r="K150" s="217">
        <f t="shared" si="28"/>
        <v>-10713497.853111099</v>
      </c>
      <c r="L150" s="217">
        <f t="shared" si="28"/>
        <v>-8252765.6917777704</v>
      </c>
      <c r="M150" s="217">
        <f t="shared" si="28"/>
        <v>-1060945.4237637201</v>
      </c>
      <c r="N150" s="217">
        <f t="shared" si="28"/>
        <v>5510010.1587502696</v>
      </c>
      <c r="O150" s="217">
        <f t="shared" si="28"/>
        <v>14130301.5910365</v>
      </c>
      <c r="P150" s="217">
        <f t="shared" si="28"/>
        <v>-23342791.087903399</v>
      </c>
      <c r="Q150" s="217">
        <f t="shared" si="28"/>
        <v>-37972128.493116602</v>
      </c>
      <c r="R150" s="217">
        <f t="shared" si="28"/>
        <v>20858700.505209401</v>
      </c>
      <c r="S150" s="248">
        <f t="shared" si="21"/>
        <v>-142839853.56245399</v>
      </c>
      <c r="T150" s="249">
        <f t="shared" si="22"/>
        <v>-3.0631754543076099E-2</v>
      </c>
    </row>
    <row r="151" spans="1:20">
      <c r="A151" s="247" t="str">
        <f>+CONCATENATE(A57,"p")</f>
        <v>1001p</v>
      </c>
      <c r="B151" s="647" t="s">
        <v>186</v>
      </c>
      <c r="C151" s="648"/>
      <c r="D151" s="648"/>
      <c r="E151" s="648"/>
      <c r="F151" s="648"/>
      <c r="G151" s="250">
        <f t="shared" ref="G151:R151" si="29">+G150+G133</f>
        <v>-57101905.550666697</v>
      </c>
      <c r="H151" s="250">
        <f t="shared" si="29"/>
        <v>-31566642.230666701</v>
      </c>
      <c r="I151" s="250">
        <f t="shared" si="29"/>
        <v>211605.15933331801</v>
      </c>
      <c r="J151" s="250">
        <f t="shared" si="29"/>
        <v>14951105.354222201</v>
      </c>
      <c r="K151" s="250">
        <f t="shared" si="29"/>
        <v>-3590772.8531111502</v>
      </c>
      <c r="L151" s="250">
        <f t="shared" si="29"/>
        <v>-1130040.6917777699</v>
      </c>
      <c r="M151" s="250">
        <f t="shared" si="29"/>
        <v>6061779.5762362797</v>
      </c>
      <c r="N151" s="250">
        <f t="shared" si="29"/>
        <v>12632735.158750299</v>
      </c>
      <c r="O151" s="250">
        <f t="shared" si="29"/>
        <v>21745526.591036499</v>
      </c>
      <c r="P151" s="250">
        <f t="shared" si="29"/>
        <v>-15727566.087903401</v>
      </c>
      <c r="Q151" s="250">
        <f t="shared" si="29"/>
        <v>-30356903.493116599</v>
      </c>
      <c r="R151" s="250">
        <f t="shared" si="29"/>
        <v>28473925.505209401</v>
      </c>
      <c r="S151" s="248">
        <f t="shared" si="21"/>
        <v>-55397153.562454298</v>
      </c>
      <c r="T151" s="249">
        <f t="shared" si="22"/>
        <v>-1.1879821828354399E-2</v>
      </c>
    </row>
    <row r="152" spans="1:20">
      <c r="A152" s="247" t="str">
        <f>+CONCATENATE(A58,"p")</f>
        <v>46p</v>
      </c>
      <c r="B152" s="649" t="s">
        <v>170</v>
      </c>
      <c r="C152" s="650"/>
      <c r="D152" s="650"/>
      <c r="E152" s="650"/>
      <c r="F152" s="650"/>
      <c r="G152" s="242">
        <f t="shared" ref="G152:R152" si="30">+SUM(G153:G155)</f>
        <v>3995985.3412436899</v>
      </c>
      <c r="H152" s="242">
        <f t="shared" si="30"/>
        <v>5612183.5020401897</v>
      </c>
      <c r="I152" s="242">
        <f t="shared" si="30"/>
        <v>22206461.854907401</v>
      </c>
      <c r="J152" s="242">
        <f t="shared" si="30"/>
        <v>23720356.079574201</v>
      </c>
      <c r="K152" s="242">
        <f t="shared" si="30"/>
        <v>19949382.8927573</v>
      </c>
      <c r="L152" s="242">
        <f t="shared" si="30"/>
        <v>18025387.761243701</v>
      </c>
      <c r="M152" s="242">
        <f t="shared" si="30"/>
        <v>6006605.7712436896</v>
      </c>
      <c r="N152" s="242">
        <f t="shared" si="30"/>
        <v>17160148.0020402</v>
      </c>
      <c r="O152" s="242">
        <f t="shared" si="30"/>
        <v>21286585.1595621</v>
      </c>
      <c r="P152" s="242">
        <f t="shared" si="30"/>
        <v>8472904.0295741893</v>
      </c>
      <c r="Q152" s="242">
        <f t="shared" si="30"/>
        <v>10599232.0245697</v>
      </c>
      <c r="R152" s="242">
        <f t="shared" si="30"/>
        <v>385397542.39124399</v>
      </c>
      <c r="S152" s="251">
        <f t="shared" si="21"/>
        <v>542432774.80999994</v>
      </c>
      <c r="T152" s="252">
        <f t="shared" si="22"/>
        <v>0.116323751388016</v>
      </c>
    </row>
    <row r="153" spans="1:20">
      <c r="A153" s="247" t="str">
        <f>+CONCATENATE(A59,"p")</f>
        <v>4611p</v>
      </c>
      <c r="B153" s="635" t="s">
        <v>171</v>
      </c>
      <c r="C153" s="636"/>
      <c r="D153" s="636"/>
      <c r="E153" s="636"/>
      <c r="F153" s="636"/>
      <c r="G153" s="253">
        <v>116701.86</v>
      </c>
      <c r="H153" s="253">
        <v>867332.36</v>
      </c>
      <c r="I153" s="253">
        <v>7801367.0199999996</v>
      </c>
      <c r="J153" s="253">
        <v>4481623.79</v>
      </c>
      <c r="K153" s="253">
        <v>2831467.37</v>
      </c>
      <c r="L153" s="253">
        <v>7170000.0800000001</v>
      </c>
      <c r="M153" s="253">
        <v>82322.3</v>
      </c>
      <c r="N153" s="253">
        <v>10832753.109999999</v>
      </c>
      <c r="O153" s="253">
        <v>1958366.01</v>
      </c>
      <c r="P153" s="253">
        <v>1510132.11</v>
      </c>
      <c r="Q153" s="253">
        <v>834059.15</v>
      </c>
      <c r="R153" s="253">
        <v>12202154.65</v>
      </c>
      <c r="S153" s="254">
        <f t="shared" si="21"/>
        <v>50688279.810000002</v>
      </c>
      <c r="T153" s="255">
        <f t="shared" si="22"/>
        <v>1.08700121613594E-2</v>
      </c>
    </row>
    <row r="154" spans="1:20">
      <c r="A154" s="247" t="str">
        <f>+CONCATENATE(A60,"p")</f>
        <v>4612p</v>
      </c>
      <c r="B154" s="631" t="s">
        <v>172</v>
      </c>
      <c r="C154" s="632"/>
      <c r="D154" s="632"/>
      <c r="E154" s="632"/>
      <c r="F154" s="632"/>
      <c r="G154" s="253">
        <v>2071825.56457702</v>
      </c>
      <c r="H154" s="253">
        <v>2862393.2253735201</v>
      </c>
      <c r="I154" s="253">
        <v>12467636.9182407</v>
      </c>
      <c r="J154" s="253">
        <v>17326274.372907501</v>
      </c>
      <c r="K154" s="253">
        <v>15150457.6060907</v>
      </c>
      <c r="L154" s="253">
        <v>8947929.76457702</v>
      </c>
      <c r="M154" s="253">
        <v>2071825.55457702</v>
      </c>
      <c r="N154" s="253">
        <v>2989936.9753735201</v>
      </c>
      <c r="O154" s="253">
        <v>16625761.232895499</v>
      </c>
      <c r="P154" s="253">
        <v>4165314.0029075202</v>
      </c>
      <c r="Q154" s="253">
        <v>6972714.9579030201</v>
      </c>
      <c r="R154" s="253">
        <v>369847929.82457697</v>
      </c>
      <c r="S154" s="254">
        <f t="shared" si="21"/>
        <v>461500000</v>
      </c>
      <c r="T154" s="255">
        <f t="shared" si="22"/>
        <v>9.8967860642958705E-2</v>
      </c>
    </row>
    <row r="155" spans="1:20">
      <c r="A155" s="247" t="str">
        <f>+CONCATENATE(A53,"p")</f>
        <v>4630p</v>
      </c>
      <c r="B155" s="631" t="s">
        <v>184</v>
      </c>
      <c r="C155" s="632"/>
      <c r="D155" s="632"/>
      <c r="E155" s="632"/>
      <c r="F155" s="632"/>
      <c r="G155" s="253">
        <v>1807457.91666667</v>
      </c>
      <c r="H155" s="253">
        <v>1882457.91666667</v>
      </c>
      <c r="I155" s="253">
        <v>1937457.91666667</v>
      </c>
      <c r="J155" s="253">
        <v>1912457.91666667</v>
      </c>
      <c r="K155" s="253">
        <v>1967457.91666667</v>
      </c>
      <c r="L155" s="253">
        <v>1907457.91666667</v>
      </c>
      <c r="M155" s="253">
        <v>3852457.9166666698</v>
      </c>
      <c r="N155" s="253">
        <v>3337457.9166666698</v>
      </c>
      <c r="O155" s="253">
        <v>2702457.9166666698</v>
      </c>
      <c r="P155" s="253">
        <v>2797457.9166666698</v>
      </c>
      <c r="Q155" s="253">
        <v>2792457.9166666698</v>
      </c>
      <c r="R155" s="253">
        <v>3347457.9166666698</v>
      </c>
      <c r="S155" s="254">
        <f t="shared" si="21"/>
        <v>30244495</v>
      </c>
      <c r="T155" s="255">
        <f t="shared" si="22"/>
        <v>6.4858785836980799E-3</v>
      </c>
    </row>
    <row r="156" spans="1:20">
      <c r="A156" s="247"/>
      <c r="B156" s="245" t="s">
        <v>202</v>
      </c>
      <c r="C156" s="246"/>
      <c r="D156" s="246"/>
      <c r="E156" s="246"/>
      <c r="F156" s="246"/>
      <c r="G156" s="256">
        <v>0</v>
      </c>
      <c r="H156" s="256">
        <v>0</v>
      </c>
      <c r="I156" s="256">
        <v>0</v>
      </c>
      <c r="J156" s="256">
        <v>0</v>
      </c>
      <c r="K156" s="256">
        <v>70000000</v>
      </c>
      <c r="L156" s="256">
        <v>0</v>
      </c>
      <c r="M156" s="256">
        <v>0</v>
      </c>
      <c r="N156" s="256">
        <v>0</v>
      </c>
      <c r="O156" s="256">
        <v>0</v>
      </c>
      <c r="P156" s="256">
        <v>0</v>
      </c>
      <c r="Q156" s="256">
        <v>0</v>
      </c>
      <c r="R156" s="256">
        <v>0</v>
      </c>
      <c r="S156" s="254">
        <f t="shared" si="21"/>
        <v>70000000</v>
      </c>
      <c r="T156" s="255">
        <f t="shared" si="22"/>
        <v>1.5011376478888601E-2</v>
      </c>
    </row>
    <row r="157" spans="1:20">
      <c r="A157" s="247" t="str">
        <f t="shared" ref="A157:A162" si="31">+CONCATENATE(A62,"p")</f>
        <v>1002p</v>
      </c>
      <c r="B157" s="633" t="s">
        <v>174</v>
      </c>
      <c r="C157" s="634"/>
      <c r="D157" s="634"/>
      <c r="E157" s="634"/>
      <c r="F157" s="634"/>
      <c r="G157" s="257">
        <f>+G150-G152-G156</f>
        <v>-68220615.891910404</v>
      </c>
      <c r="H157" s="257">
        <f t="shared" ref="H157:R157" si="32">+H150-H152-H156</f>
        <v>-44301550.732706897</v>
      </c>
      <c r="I157" s="257">
        <f t="shared" si="32"/>
        <v>-29117581.695574</v>
      </c>
      <c r="J157" s="257">
        <f t="shared" si="32"/>
        <v>-15891975.725352</v>
      </c>
      <c r="K157" s="257">
        <f t="shared" si="32"/>
        <v>-100662880.745868</v>
      </c>
      <c r="L157" s="257">
        <f t="shared" si="32"/>
        <v>-26278153.4530215</v>
      </c>
      <c r="M157" s="257">
        <f t="shared" si="32"/>
        <v>-7067551.1950074099</v>
      </c>
      <c r="N157" s="257">
        <f t="shared" si="32"/>
        <v>-11650137.843289901</v>
      </c>
      <c r="O157" s="257">
        <f t="shared" si="32"/>
        <v>-7156283.5685256701</v>
      </c>
      <c r="P157" s="257">
        <f t="shared" si="32"/>
        <v>-31815695.1174776</v>
      </c>
      <c r="Q157" s="257">
        <f t="shared" si="32"/>
        <v>-48571360.517686203</v>
      </c>
      <c r="R157" s="257">
        <f t="shared" si="32"/>
        <v>-364538841.88603401</v>
      </c>
      <c r="S157" s="258">
        <f t="shared" si="21"/>
        <v>-755272628.37245405</v>
      </c>
      <c r="T157" s="259">
        <f t="shared" si="22"/>
        <v>-0.161966882409981</v>
      </c>
    </row>
    <row r="158" spans="1:20">
      <c r="A158" s="247" t="str">
        <f t="shared" si="31"/>
        <v>1003p</v>
      </c>
      <c r="B158" s="617" t="s">
        <v>175</v>
      </c>
      <c r="C158" s="618"/>
      <c r="D158" s="618"/>
      <c r="E158" s="618"/>
      <c r="F158" s="618"/>
      <c r="G158" s="217">
        <f t="shared" ref="G158:R158" si="33">+SUM(G159:G162)</f>
        <v>68220615.891910404</v>
      </c>
      <c r="H158" s="217">
        <f t="shared" si="33"/>
        <v>44301550.732706897</v>
      </c>
      <c r="I158" s="217">
        <f t="shared" si="33"/>
        <v>29117581.695574</v>
      </c>
      <c r="J158" s="217">
        <f t="shared" si="33"/>
        <v>15891975.725352</v>
      </c>
      <c r="K158" s="217">
        <f t="shared" si="33"/>
        <v>100662880.745868</v>
      </c>
      <c r="L158" s="217">
        <f t="shared" si="33"/>
        <v>26278153.4530215</v>
      </c>
      <c r="M158" s="217">
        <f t="shared" si="33"/>
        <v>7067551.1950074099</v>
      </c>
      <c r="N158" s="217">
        <f t="shared" si="33"/>
        <v>11650137.843289901</v>
      </c>
      <c r="O158" s="217">
        <f t="shared" si="33"/>
        <v>7156283.5685256701</v>
      </c>
      <c r="P158" s="217">
        <f t="shared" si="33"/>
        <v>31815695.1174776</v>
      </c>
      <c r="Q158" s="217">
        <f t="shared" si="33"/>
        <v>48571360.517686203</v>
      </c>
      <c r="R158" s="217">
        <f t="shared" si="33"/>
        <v>364538841.88603401</v>
      </c>
      <c r="S158" s="260">
        <f t="shared" si="21"/>
        <v>755272628.37245405</v>
      </c>
      <c r="T158" s="261">
        <f t="shared" si="22"/>
        <v>0.161966882409981</v>
      </c>
    </row>
    <row r="159" spans="1:20">
      <c r="A159" s="247" t="str">
        <f t="shared" si="31"/>
        <v>7511p</v>
      </c>
      <c r="B159" s="635" t="s">
        <v>176</v>
      </c>
      <c r="C159" s="636"/>
      <c r="D159" s="636"/>
      <c r="E159" s="636"/>
      <c r="F159" s="636"/>
      <c r="G159" s="253">
        <v>0</v>
      </c>
      <c r="H159" s="253">
        <v>0</v>
      </c>
      <c r="I159" s="253">
        <v>0</v>
      </c>
      <c r="J159" s="253">
        <v>0</v>
      </c>
      <c r="K159" s="253">
        <v>0</v>
      </c>
      <c r="L159" s="253">
        <v>0</v>
      </c>
      <c r="M159" s="253">
        <v>0</v>
      </c>
      <c r="N159" s="253">
        <v>0</v>
      </c>
      <c r="O159" s="253">
        <v>0</v>
      </c>
      <c r="P159" s="253">
        <v>0</v>
      </c>
      <c r="Q159" s="253">
        <v>0</v>
      </c>
      <c r="R159" s="253">
        <v>0</v>
      </c>
      <c r="S159" s="254">
        <f t="shared" si="21"/>
        <v>0</v>
      </c>
      <c r="T159" s="255">
        <f t="shared" si="22"/>
        <v>0</v>
      </c>
    </row>
    <row r="160" spans="1:20">
      <c r="A160" s="247" t="str">
        <f t="shared" si="31"/>
        <v>7512p</v>
      </c>
      <c r="B160" s="631" t="s">
        <v>177</v>
      </c>
      <c r="C160" s="632"/>
      <c r="D160" s="632"/>
      <c r="E160" s="632"/>
      <c r="F160" s="632"/>
      <c r="G160" s="253">
        <v>24658333.329999998</v>
      </c>
      <c r="H160" s="253">
        <v>24658333.329999998</v>
      </c>
      <c r="I160" s="253">
        <v>24658333.329999998</v>
      </c>
      <c r="J160" s="253">
        <v>24658333.329999998</v>
      </c>
      <c r="K160" s="253">
        <v>24658333.329999998</v>
      </c>
      <c r="L160" s="253">
        <v>24658333.329999998</v>
      </c>
      <c r="M160" s="253">
        <v>24658333.329999998</v>
      </c>
      <c r="N160" s="253">
        <v>24658333.329999998</v>
      </c>
      <c r="O160" s="253">
        <v>24658333.329999998</v>
      </c>
      <c r="P160" s="253">
        <v>24658333.329999998</v>
      </c>
      <c r="Q160" s="253">
        <v>24658333.329999998</v>
      </c>
      <c r="R160" s="253">
        <v>468022681.93578702</v>
      </c>
      <c r="S160" s="254">
        <f t="shared" si="21"/>
        <v>739264348.56578696</v>
      </c>
      <c r="T160" s="255">
        <f t="shared" si="22"/>
        <v>0.15853393505344901</v>
      </c>
    </row>
    <row r="161" spans="1:20">
      <c r="A161" s="247" t="str">
        <f t="shared" si="31"/>
        <v>72p</v>
      </c>
      <c r="B161" s="631" t="s">
        <v>178</v>
      </c>
      <c r="C161" s="632"/>
      <c r="D161" s="632"/>
      <c r="E161" s="632"/>
      <c r="F161" s="632"/>
      <c r="G161" s="253">
        <v>0</v>
      </c>
      <c r="H161" s="253">
        <v>0</v>
      </c>
      <c r="I161" s="253">
        <v>0</v>
      </c>
      <c r="J161" s="253">
        <v>0</v>
      </c>
      <c r="K161" s="253">
        <v>0</v>
      </c>
      <c r="L161" s="253">
        <v>0</v>
      </c>
      <c r="M161" s="253">
        <v>0</v>
      </c>
      <c r="N161" s="253">
        <v>0</v>
      </c>
      <c r="O161" s="253">
        <v>0</v>
      </c>
      <c r="P161" s="253">
        <v>0</v>
      </c>
      <c r="Q161" s="253">
        <v>0</v>
      </c>
      <c r="R161" s="253">
        <v>16000000</v>
      </c>
      <c r="S161" s="254">
        <f t="shared" si="21"/>
        <v>16000000</v>
      </c>
      <c r="T161" s="255">
        <f t="shared" si="22"/>
        <v>3.4311717666031202E-3</v>
      </c>
    </row>
    <row r="162" spans="1:20">
      <c r="A162" s="247" t="str">
        <f t="shared" si="31"/>
        <v>1004p</v>
      </c>
      <c r="B162" s="262" t="s">
        <v>179</v>
      </c>
      <c r="C162" s="263"/>
      <c r="D162" s="263"/>
      <c r="E162" s="263"/>
      <c r="F162" s="263"/>
      <c r="G162" s="264">
        <f t="shared" ref="G162:R162" si="34">-G157-SUM(G159:G161)</f>
        <v>43562282.561910398</v>
      </c>
      <c r="H162" s="264">
        <f t="shared" si="34"/>
        <v>19643217.402706899</v>
      </c>
      <c r="I162" s="264">
        <f t="shared" si="34"/>
        <v>4459248.3655740405</v>
      </c>
      <c r="J162" s="264">
        <f t="shared" si="34"/>
        <v>-8766357.6046480499</v>
      </c>
      <c r="K162" s="264">
        <f t="shared" si="34"/>
        <v>76004547.415868506</v>
      </c>
      <c r="L162" s="264">
        <f t="shared" si="34"/>
        <v>1619820.1230214599</v>
      </c>
      <c r="M162" s="264">
        <f t="shared" si="34"/>
        <v>-17590782.134992599</v>
      </c>
      <c r="N162" s="264">
        <f t="shared" si="34"/>
        <v>-13008195.4867101</v>
      </c>
      <c r="O162" s="264">
        <f t="shared" si="34"/>
        <v>-17502049.7614743</v>
      </c>
      <c r="P162" s="264">
        <f t="shared" si="34"/>
        <v>7157361.7874776097</v>
      </c>
      <c r="Q162" s="264">
        <f t="shared" si="34"/>
        <v>23913027.187686201</v>
      </c>
      <c r="R162" s="264">
        <f t="shared" si="34"/>
        <v>-119483840.049753</v>
      </c>
      <c r="S162" s="265">
        <f t="shared" si="21"/>
        <v>8279.8066668957508</v>
      </c>
      <c r="T162" s="266">
        <f t="shared" si="22"/>
        <v>1.77558992927406E-6</v>
      </c>
    </row>
  </sheetData>
  <mergeCells count="116">
    <mergeCell ref="B155:F155"/>
    <mergeCell ref="B157:F157"/>
    <mergeCell ref="B158:F158"/>
    <mergeCell ref="B159:F159"/>
    <mergeCell ref="B160:F160"/>
    <mergeCell ref="B161:F161"/>
    <mergeCell ref="B103:F105"/>
    <mergeCell ref="B7:F9"/>
    <mergeCell ref="B145:F145"/>
    <mergeCell ref="B146:F146"/>
    <mergeCell ref="B147:F147"/>
    <mergeCell ref="B148:F148"/>
    <mergeCell ref="B150:F150"/>
    <mergeCell ref="B151:F151"/>
    <mergeCell ref="B152:F152"/>
    <mergeCell ref="B153:F153"/>
    <mergeCell ref="B154:F154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44:F144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35:F135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26:F126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63:F63"/>
    <mergeCell ref="B64:F64"/>
    <mergeCell ref="B65:F65"/>
    <mergeCell ref="B66:F66"/>
    <mergeCell ref="G103:R103"/>
    <mergeCell ref="S104:T104"/>
    <mergeCell ref="B106:F106"/>
    <mergeCell ref="B107:F107"/>
    <mergeCell ref="B108:F108"/>
    <mergeCell ref="B53:F53"/>
    <mergeCell ref="B54:F54"/>
    <mergeCell ref="B55:F55"/>
    <mergeCell ref="B57:F57"/>
    <mergeCell ref="B58:F58"/>
    <mergeCell ref="B59:F59"/>
    <mergeCell ref="B60:F60"/>
    <mergeCell ref="B61:F61"/>
    <mergeCell ref="B62:F62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G7:R7"/>
    <mergeCell ref="S8:T8"/>
    <mergeCell ref="B10:F10"/>
    <mergeCell ref="B11:F11"/>
    <mergeCell ref="B12:F12"/>
    <mergeCell ref="B13:F13"/>
    <mergeCell ref="B14:F14"/>
    <mergeCell ref="B15:F15"/>
    <mergeCell ref="B16:F16"/>
  </mergeCells>
  <pageMargins left="0" right="0" top="0" bottom="0" header="0.31496062992126" footer="0.31496062992126"/>
  <pageSetup paperSize="9" scale="75" orientation="landscape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0657" r:id="rId3" name="Option Button 1">
              <controlPr defaultSiz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8" r:id="rId4" name="Option Button 2">
              <controlPr defaultSiz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2:LI401"/>
  <sheetViews>
    <sheetView workbookViewId="0">
      <pane xSplit="5" ySplit="7" topLeftCell="FR86" activePane="bottomRight" state="frozen"/>
      <selection pane="topRight"/>
      <selection pane="bottomLeft"/>
      <selection pane="bottomRight" activeCell="GA40" sqref="GA40"/>
    </sheetView>
  </sheetViews>
  <sheetFormatPr defaultColWidth="9.140625" defaultRowHeight="15"/>
  <cols>
    <col min="1" max="1" width="1.85546875" style="59" customWidth="1"/>
    <col min="2" max="2" width="2.7109375" style="59" customWidth="1"/>
    <col min="3" max="3" width="3.5703125" style="59" customWidth="1"/>
    <col min="4" max="4" width="5.7109375" style="59" customWidth="1"/>
    <col min="5" max="5" width="30.5703125" style="60" customWidth="1"/>
    <col min="6" max="124" width="14.28515625" style="1" hidden="1" customWidth="1"/>
    <col min="125" max="125" width="19.7109375" style="1" hidden="1" customWidth="1"/>
    <col min="126" max="131" width="12.7109375" style="61" hidden="1" customWidth="1"/>
    <col min="132" max="132" width="14" style="61" hidden="1" customWidth="1"/>
    <col min="133" max="134" width="12.7109375" style="61" hidden="1" customWidth="1"/>
    <col min="135" max="135" width="15.28515625" style="61" hidden="1" customWidth="1"/>
    <col min="136" max="136" width="11.5703125" style="61" hidden="1" customWidth="1"/>
    <col min="137" max="137" width="14" style="61" hidden="1" customWidth="1"/>
    <col min="138" max="138" width="14" style="1" hidden="1" customWidth="1"/>
    <col min="139" max="148" width="13.7109375" style="1" hidden="1" customWidth="1"/>
    <col min="149" max="149" width="13.5703125" style="1" hidden="1" customWidth="1"/>
    <col min="150" max="150" width="14" style="1" hidden="1" customWidth="1"/>
    <col min="151" max="151" width="14.28515625" style="1" hidden="1" customWidth="1"/>
    <col min="152" max="152" width="13.42578125" style="1" hidden="1" customWidth="1"/>
    <col min="153" max="153" width="13.85546875" style="1" hidden="1" customWidth="1"/>
    <col min="154" max="154" width="13.5703125" style="1" hidden="1" customWidth="1"/>
    <col min="155" max="155" width="12.7109375" style="1" hidden="1" customWidth="1"/>
    <col min="156" max="158" width="13.7109375" style="1" hidden="1" customWidth="1"/>
    <col min="159" max="159" width="12.85546875" style="1" hidden="1" customWidth="1"/>
    <col min="160" max="161" width="12.7109375" style="1" hidden="1" customWidth="1"/>
    <col min="162" max="162" width="13.85546875" style="1" hidden="1" customWidth="1"/>
    <col min="163" max="163" width="11.140625" style="1" hidden="1" customWidth="1"/>
    <col min="164" max="164" width="13.85546875" style="1" hidden="1" customWidth="1"/>
    <col min="165" max="165" width="12.7109375" style="1" hidden="1" customWidth="1"/>
    <col min="166" max="166" width="13.85546875" style="1" hidden="1" customWidth="1"/>
    <col min="167" max="173" width="12.7109375" style="1" hidden="1" customWidth="1"/>
    <col min="174" max="174" width="12.85546875" style="1" customWidth="1"/>
    <col min="175" max="175" width="13.85546875" style="1" customWidth="1"/>
    <col min="176" max="176" width="14" style="1" customWidth="1"/>
    <col min="177" max="178" width="13.85546875" style="1" customWidth="1"/>
    <col min="179" max="179" width="12.85546875" style="1" customWidth="1"/>
    <col min="180" max="183" width="13.85546875" style="1" customWidth="1"/>
    <col min="184" max="184" width="12.85546875" style="1" customWidth="1"/>
    <col min="185" max="185" width="13.85546875" style="1" customWidth="1"/>
    <col min="186" max="186" width="3.42578125" style="1" customWidth="1"/>
    <col min="187" max="187" width="15.42578125" style="62" customWidth="1"/>
    <col min="188" max="16384" width="9.140625" style="1"/>
  </cols>
  <sheetData>
    <row r="2" spans="1:321"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</row>
    <row r="3" spans="1:321"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</row>
    <row r="4" spans="1:321">
      <c r="CX4" s="63">
        <f>+CX5-CX9</f>
        <v>-98</v>
      </c>
      <c r="CY4" s="63">
        <f t="shared" ref="CY4:DI4" si="0">+CY5-CY9</f>
        <v>0</v>
      </c>
      <c r="CZ4" s="63">
        <f t="shared" si="0"/>
        <v>0</v>
      </c>
      <c r="DA4" s="63">
        <f t="shared" si="0"/>
        <v>-4549</v>
      </c>
      <c r="DB4" s="63">
        <f t="shared" si="0"/>
        <v>0</v>
      </c>
      <c r="DC4" s="63">
        <f t="shared" si="0"/>
        <v>90211.559999987498</v>
      </c>
      <c r="DD4" s="63">
        <f t="shared" si="0"/>
        <v>0</v>
      </c>
      <c r="DE4" s="63">
        <f t="shared" si="0"/>
        <v>0</v>
      </c>
      <c r="DF4" s="63">
        <f t="shared" si="0"/>
        <v>0</v>
      </c>
      <c r="DG4" s="63">
        <f t="shared" si="0"/>
        <v>-5504.1899999976204</v>
      </c>
      <c r="DH4" s="63">
        <f t="shared" si="0"/>
        <v>-1201.09999999404</v>
      </c>
      <c r="DI4" s="63">
        <f t="shared" si="0"/>
        <v>2607573.0499999798</v>
      </c>
      <c r="DJ4" s="63"/>
    </row>
    <row r="5" spans="1:321">
      <c r="CX5" s="63">
        <f t="shared" ref="CX5:DI5" si="1">+CX10+CX18+CX23+CX28+CX35+CX43+CX46</f>
        <v>70781935.379999995</v>
      </c>
      <c r="CY5" s="63">
        <f t="shared" si="1"/>
        <v>82127760.799999997</v>
      </c>
      <c r="CZ5" s="63">
        <f t="shared" si="1"/>
        <v>100708163.93000001</v>
      </c>
      <c r="DA5" s="63">
        <f t="shared" si="1"/>
        <v>109079836.15000001</v>
      </c>
      <c r="DB5" s="63">
        <f t="shared" si="1"/>
        <v>102078548.78</v>
      </c>
      <c r="DC5" s="63">
        <f t="shared" si="1"/>
        <v>109931818.73999999</v>
      </c>
      <c r="DD5" s="63">
        <f t="shared" si="1"/>
        <v>120720236.03</v>
      </c>
      <c r="DE5" s="63">
        <f t="shared" si="1"/>
        <v>126556297.33</v>
      </c>
      <c r="DF5" s="63">
        <f t="shared" si="1"/>
        <v>117901924.08</v>
      </c>
      <c r="DG5" s="63">
        <f t="shared" si="1"/>
        <v>158205030.05000001</v>
      </c>
      <c r="DH5" s="63">
        <f t="shared" si="1"/>
        <v>98495259.030000001</v>
      </c>
      <c r="DI5" s="63">
        <f t="shared" si="1"/>
        <v>157038700.81999999</v>
      </c>
      <c r="DJ5" s="63"/>
    </row>
    <row r="6" spans="1:321">
      <c r="E6" s="668" t="s">
        <v>203</v>
      </c>
      <c r="F6" s="665">
        <v>2006</v>
      </c>
      <c r="G6" s="666"/>
      <c r="H6" s="666"/>
      <c r="I6" s="666"/>
      <c r="J6" s="666"/>
      <c r="K6" s="666"/>
      <c r="L6" s="666"/>
      <c r="M6" s="666"/>
      <c r="N6" s="666"/>
      <c r="O6" s="666"/>
      <c r="P6" s="666"/>
      <c r="Q6" s="667"/>
      <c r="R6" s="665">
        <v>2007</v>
      </c>
      <c r="S6" s="666"/>
      <c r="T6" s="666"/>
      <c r="U6" s="666"/>
      <c r="V6" s="666"/>
      <c r="W6" s="666"/>
      <c r="X6" s="666"/>
      <c r="Y6" s="666"/>
      <c r="Z6" s="666"/>
      <c r="AA6" s="666"/>
      <c r="AB6" s="666"/>
      <c r="AC6" s="667"/>
      <c r="AD6" s="665">
        <v>2008</v>
      </c>
      <c r="AE6" s="666"/>
      <c r="AF6" s="666"/>
      <c r="AG6" s="666"/>
      <c r="AH6" s="666"/>
      <c r="AI6" s="666"/>
      <c r="AJ6" s="666"/>
      <c r="AK6" s="666"/>
      <c r="AL6" s="666"/>
      <c r="AM6" s="666"/>
      <c r="AN6" s="666"/>
      <c r="AO6" s="667"/>
      <c r="AP6" s="665">
        <v>2009</v>
      </c>
      <c r="AQ6" s="666"/>
      <c r="AR6" s="666"/>
      <c r="AS6" s="666"/>
      <c r="AT6" s="666"/>
      <c r="AU6" s="666"/>
      <c r="AV6" s="666"/>
      <c r="AW6" s="666"/>
      <c r="AX6" s="666"/>
      <c r="AY6" s="666"/>
      <c r="AZ6" s="666"/>
      <c r="BA6" s="667"/>
      <c r="BB6" s="665">
        <v>2010</v>
      </c>
      <c r="BC6" s="666"/>
      <c r="BD6" s="666"/>
      <c r="BE6" s="666"/>
      <c r="BF6" s="666"/>
      <c r="BG6" s="666"/>
      <c r="BH6" s="666"/>
      <c r="BI6" s="666"/>
      <c r="BJ6" s="666"/>
      <c r="BK6" s="666"/>
      <c r="BL6" s="666"/>
      <c r="BM6" s="667"/>
      <c r="BN6" s="665">
        <v>2011</v>
      </c>
      <c r="BO6" s="666"/>
      <c r="BP6" s="666"/>
      <c r="BQ6" s="666"/>
      <c r="BR6" s="666"/>
      <c r="BS6" s="666"/>
      <c r="BT6" s="666"/>
      <c r="BU6" s="666"/>
      <c r="BV6" s="666"/>
      <c r="BW6" s="666"/>
      <c r="BX6" s="666"/>
      <c r="BY6" s="667"/>
      <c r="BZ6" s="666">
        <v>2012</v>
      </c>
      <c r="CA6" s="666"/>
      <c r="CB6" s="666"/>
      <c r="CC6" s="666"/>
      <c r="CD6" s="666"/>
      <c r="CE6" s="666"/>
      <c r="CF6" s="666"/>
      <c r="CG6" s="666"/>
      <c r="CH6" s="666"/>
      <c r="CI6" s="666"/>
      <c r="CJ6" s="666"/>
      <c r="CK6" s="666"/>
      <c r="CL6" s="665">
        <v>2013</v>
      </c>
      <c r="CM6" s="666"/>
      <c r="CN6" s="666"/>
      <c r="CO6" s="666"/>
      <c r="CP6" s="666"/>
      <c r="CQ6" s="666"/>
      <c r="CR6" s="666"/>
      <c r="CS6" s="666"/>
      <c r="CT6" s="666"/>
      <c r="CU6" s="666"/>
      <c r="CV6" s="666"/>
      <c r="CW6" s="667"/>
      <c r="CX6" s="665">
        <v>2014</v>
      </c>
      <c r="CY6" s="666"/>
      <c r="CZ6" s="666"/>
      <c r="DA6" s="666"/>
      <c r="DB6" s="666"/>
      <c r="DC6" s="666"/>
      <c r="DD6" s="666"/>
      <c r="DE6" s="666"/>
      <c r="DF6" s="666"/>
      <c r="DG6" s="666"/>
      <c r="DH6" s="666"/>
      <c r="DI6" s="667"/>
      <c r="DJ6" s="665">
        <v>2015</v>
      </c>
      <c r="DK6" s="666"/>
      <c r="DL6" s="666"/>
      <c r="DM6" s="666"/>
      <c r="DN6" s="666"/>
      <c r="DO6" s="666"/>
      <c r="DP6" s="666"/>
      <c r="DQ6" s="666"/>
      <c r="DR6" s="666"/>
      <c r="DS6" s="666"/>
      <c r="DT6" s="666"/>
      <c r="DU6" s="667"/>
    </row>
    <row r="7" spans="1:321">
      <c r="E7" s="668"/>
      <c r="F7" s="65" t="s">
        <v>204</v>
      </c>
      <c r="G7" s="1" t="s">
        <v>205</v>
      </c>
      <c r="H7" s="1" t="s">
        <v>206</v>
      </c>
      <c r="I7" s="1" t="s">
        <v>207</v>
      </c>
      <c r="J7" s="1" t="s">
        <v>208</v>
      </c>
      <c r="K7" s="1" t="s">
        <v>209</v>
      </c>
      <c r="L7" s="1" t="s">
        <v>210</v>
      </c>
      <c r="M7" s="1" t="s">
        <v>211</v>
      </c>
      <c r="N7" s="1" t="s">
        <v>212</v>
      </c>
      <c r="O7" s="1" t="s">
        <v>213</v>
      </c>
      <c r="P7" s="1" t="s">
        <v>214</v>
      </c>
      <c r="Q7" s="66" t="s">
        <v>215</v>
      </c>
      <c r="R7" s="65" t="s">
        <v>216</v>
      </c>
      <c r="S7" s="1" t="s">
        <v>217</v>
      </c>
      <c r="T7" s="1" t="s">
        <v>218</v>
      </c>
      <c r="U7" s="1" t="s">
        <v>219</v>
      </c>
      <c r="V7" s="1" t="s">
        <v>220</v>
      </c>
      <c r="W7" s="1" t="s">
        <v>221</v>
      </c>
      <c r="X7" s="1" t="s">
        <v>222</v>
      </c>
      <c r="Y7" s="1" t="s">
        <v>223</v>
      </c>
      <c r="Z7" s="1" t="s">
        <v>224</v>
      </c>
      <c r="AA7" s="1" t="s">
        <v>225</v>
      </c>
      <c r="AB7" s="1" t="s">
        <v>226</v>
      </c>
      <c r="AC7" s="66" t="s">
        <v>227</v>
      </c>
      <c r="AD7" s="65" t="s">
        <v>228</v>
      </c>
      <c r="AE7" s="1" t="s">
        <v>229</v>
      </c>
      <c r="AF7" s="1" t="s">
        <v>230</v>
      </c>
      <c r="AG7" s="1" t="s">
        <v>231</v>
      </c>
      <c r="AH7" s="1" t="s">
        <v>232</v>
      </c>
      <c r="AI7" s="1" t="s">
        <v>233</v>
      </c>
      <c r="AJ7" s="1" t="s">
        <v>234</v>
      </c>
      <c r="AK7" s="1" t="s">
        <v>235</v>
      </c>
      <c r="AL7" s="1" t="s">
        <v>236</v>
      </c>
      <c r="AM7" s="1" t="s">
        <v>237</v>
      </c>
      <c r="AN7" s="1" t="s">
        <v>238</v>
      </c>
      <c r="AO7" s="66" t="s">
        <v>239</v>
      </c>
      <c r="AP7" s="65" t="s">
        <v>240</v>
      </c>
      <c r="AQ7" s="1" t="s">
        <v>241</v>
      </c>
      <c r="AR7" s="1" t="s">
        <v>242</v>
      </c>
      <c r="AS7" s="1" t="s">
        <v>243</v>
      </c>
      <c r="AT7" s="1" t="s">
        <v>244</v>
      </c>
      <c r="AU7" s="1" t="s">
        <v>245</v>
      </c>
      <c r="AV7" s="1" t="s">
        <v>246</v>
      </c>
      <c r="AW7" s="1" t="s">
        <v>247</v>
      </c>
      <c r="AX7" s="1" t="s">
        <v>248</v>
      </c>
      <c r="AY7" s="1" t="s">
        <v>249</v>
      </c>
      <c r="AZ7" s="1" t="s">
        <v>250</v>
      </c>
      <c r="BA7" s="66" t="s">
        <v>251</v>
      </c>
      <c r="BB7" s="65" t="s">
        <v>252</v>
      </c>
      <c r="BC7" s="1" t="s">
        <v>253</v>
      </c>
      <c r="BD7" s="1" t="s">
        <v>254</v>
      </c>
      <c r="BE7" s="1" t="s">
        <v>255</v>
      </c>
      <c r="BF7" s="1" t="s">
        <v>256</v>
      </c>
      <c r="BG7" s="1" t="s">
        <v>257</v>
      </c>
      <c r="BH7" s="1" t="s">
        <v>258</v>
      </c>
      <c r="BI7" s="1" t="s">
        <v>259</v>
      </c>
      <c r="BJ7" s="1" t="s">
        <v>260</v>
      </c>
      <c r="BK7" s="1" t="s">
        <v>261</v>
      </c>
      <c r="BL7" s="1" t="s">
        <v>262</v>
      </c>
      <c r="BM7" s="66" t="s">
        <v>263</v>
      </c>
      <c r="BN7" s="65" t="s">
        <v>264</v>
      </c>
      <c r="BO7" s="1" t="s">
        <v>265</v>
      </c>
      <c r="BP7" s="1" t="s">
        <v>266</v>
      </c>
      <c r="BQ7" s="1" t="s">
        <v>267</v>
      </c>
      <c r="BR7" s="1" t="s">
        <v>268</v>
      </c>
      <c r="BS7" s="1" t="s">
        <v>269</v>
      </c>
      <c r="BT7" s="1" t="s">
        <v>270</v>
      </c>
      <c r="BU7" s="1" t="s">
        <v>271</v>
      </c>
      <c r="BV7" s="1" t="s">
        <v>272</v>
      </c>
      <c r="BW7" s="1" t="s">
        <v>273</v>
      </c>
      <c r="BX7" s="1" t="s">
        <v>274</v>
      </c>
      <c r="BY7" s="66" t="s">
        <v>275</v>
      </c>
      <c r="BZ7" s="1" t="s">
        <v>276</v>
      </c>
      <c r="CA7" s="1" t="s">
        <v>277</v>
      </c>
      <c r="CB7" s="1" t="s">
        <v>278</v>
      </c>
      <c r="CC7" s="1" t="s">
        <v>279</v>
      </c>
      <c r="CD7" s="1" t="s">
        <v>280</v>
      </c>
      <c r="CE7" s="1" t="s">
        <v>281</v>
      </c>
      <c r="CF7" s="1" t="s">
        <v>282</v>
      </c>
      <c r="CG7" s="1" t="s">
        <v>283</v>
      </c>
      <c r="CH7" s="1" t="s">
        <v>284</v>
      </c>
      <c r="CI7" s="1" t="s">
        <v>285</v>
      </c>
      <c r="CJ7" s="1" t="s">
        <v>286</v>
      </c>
      <c r="CK7" s="1" t="s">
        <v>287</v>
      </c>
      <c r="CL7" s="65" t="s">
        <v>288</v>
      </c>
      <c r="CM7" s="1" t="s">
        <v>289</v>
      </c>
      <c r="CN7" s="1" t="s">
        <v>290</v>
      </c>
      <c r="CO7" s="1" t="s">
        <v>291</v>
      </c>
      <c r="CP7" s="1" t="s">
        <v>292</v>
      </c>
      <c r="CQ7" s="1" t="s">
        <v>293</v>
      </c>
      <c r="CR7" s="1" t="s">
        <v>294</v>
      </c>
      <c r="CS7" s="1" t="s">
        <v>295</v>
      </c>
      <c r="CT7" s="1" t="s">
        <v>296</v>
      </c>
      <c r="CU7" s="1" t="s">
        <v>297</v>
      </c>
      <c r="CV7" s="1" t="s">
        <v>298</v>
      </c>
      <c r="CW7" s="66" t="s">
        <v>299</v>
      </c>
      <c r="CX7" s="65" t="s">
        <v>300</v>
      </c>
      <c r="CY7" s="1" t="s">
        <v>301</v>
      </c>
      <c r="CZ7" s="1" t="s">
        <v>302</v>
      </c>
      <c r="DA7" s="1" t="s">
        <v>303</v>
      </c>
      <c r="DB7" s="1" t="s">
        <v>304</v>
      </c>
      <c r="DC7" s="1" t="s">
        <v>305</v>
      </c>
      <c r="DD7" s="1" t="s">
        <v>306</v>
      </c>
      <c r="DE7" s="1" t="s">
        <v>307</v>
      </c>
      <c r="DF7" s="1" t="s">
        <v>308</v>
      </c>
      <c r="DG7" s="1" t="s">
        <v>309</v>
      </c>
      <c r="DH7" s="1" t="s">
        <v>310</v>
      </c>
      <c r="DI7" s="66" t="s">
        <v>311</v>
      </c>
      <c r="DJ7" s="65" t="s">
        <v>312</v>
      </c>
      <c r="DK7" s="1" t="s">
        <v>313</v>
      </c>
      <c r="DL7" s="1" t="s">
        <v>314</v>
      </c>
      <c r="DM7" s="1" t="s">
        <v>315</v>
      </c>
      <c r="DN7" s="1" t="s">
        <v>316</v>
      </c>
      <c r="DO7" s="1" t="s">
        <v>317</v>
      </c>
      <c r="DP7" s="1" t="s">
        <v>318</v>
      </c>
      <c r="DQ7" s="1" t="s">
        <v>319</v>
      </c>
      <c r="DR7" s="1" t="s">
        <v>320</v>
      </c>
      <c r="DS7" s="1" t="s">
        <v>321</v>
      </c>
      <c r="DT7" s="1" t="s">
        <v>322</v>
      </c>
      <c r="DU7" s="66" t="s">
        <v>323</v>
      </c>
      <c r="DV7" s="1" t="s">
        <v>324</v>
      </c>
      <c r="DW7" s="1" t="s">
        <v>325</v>
      </c>
      <c r="DX7" s="1" t="s">
        <v>326</v>
      </c>
      <c r="DY7" s="1" t="s">
        <v>327</v>
      </c>
      <c r="DZ7" s="1" t="s">
        <v>328</v>
      </c>
      <c r="EA7" s="1" t="s">
        <v>329</v>
      </c>
      <c r="EB7" s="1" t="s">
        <v>330</v>
      </c>
      <c r="EC7" s="1" t="s">
        <v>331</v>
      </c>
      <c r="ED7" s="1" t="s">
        <v>332</v>
      </c>
      <c r="EE7" s="1" t="s">
        <v>333</v>
      </c>
      <c r="EF7" s="1" t="s">
        <v>334</v>
      </c>
      <c r="EG7" s="1" t="s">
        <v>335</v>
      </c>
      <c r="EH7" s="1" t="s">
        <v>336</v>
      </c>
      <c r="EI7" s="1" t="s">
        <v>337</v>
      </c>
      <c r="EJ7" s="1" t="s">
        <v>338</v>
      </c>
      <c r="EK7" s="1" t="s">
        <v>339</v>
      </c>
      <c r="EL7" s="1" t="s">
        <v>340</v>
      </c>
      <c r="EM7" s="1" t="s">
        <v>341</v>
      </c>
      <c r="EN7" s="1" t="s">
        <v>342</v>
      </c>
      <c r="EO7" s="1" t="s">
        <v>343</v>
      </c>
      <c r="EP7" s="1" t="s">
        <v>344</v>
      </c>
      <c r="EQ7" s="1" t="s">
        <v>345</v>
      </c>
      <c r="ER7" s="1" t="s">
        <v>346</v>
      </c>
      <c r="ES7" s="1" t="s">
        <v>347</v>
      </c>
      <c r="ET7" s="62" t="s">
        <v>187</v>
      </c>
      <c r="EU7" s="62" t="s">
        <v>188</v>
      </c>
      <c r="EV7" s="62" t="s">
        <v>189</v>
      </c>
      <c r="EW7" s="62" t="s">
        <v>190</v>
      </c>
      <c r="EX7" s="62" t="s">
        <v>191</v>
      </c>
      <c r="EY7" s="62" t="s">
        <v>192</v>
      </c>
      <c r="EZ7" s="62" t="s">
        <v>193</v>
      </c>
      <c r="FA7" s="62" t="s">
        <v>194</v>
      </c>
      <c r="FB7" s="62" t="s">
        <v>195</v>
      </c>
      <c r="FC7" s="62" t="s">
        <v>196</v>
      </c>
      <c r="FD7" s="62" t="s">
        <v>197</v>
      </c>
      <c r="FE7" s="62" t="s">
        <v>198</v>
      </c>
      <c r="FF7" s="62" t="s">
        <v>99</v>
      </c>
      <c r="FG7" s="62" t="s">
        <v>100</v>
      </c>
      <c r="FH7" s="62" t="s">
        <v>101</v>
      </c>
      <c r="FI7" s="62" t="s">
        <v>102</v>
      </c>
      <c r="FJ7" s="62" t="s">
        <v>103</v>
      </c>
      <c r="FK7" s="62" t="s">
        <v>104</v>
      </c>
      <c r="FL7" s="62" t="s">
        <v>105</v>
      </c>
      <c r="FM7" s="62" t="s">
        <v>106</v>
      </c>
      <c r="FN7" s="62" t="s">
        <v>107</v>
      </c>
      <c r="FO7" s="62" t="s">
        <v>108</v>
      </c>
      <c r="FP7" s="62" t="s">
        <v>109</v>
      </c>
      <c r="FQ7" s="62" t="s">
        <v>110</v>
      </c>
      <c r="FR7" s="62" t="s">
        <v>84</v>
      </c>
      <c r="FS7" s="62" t="s">
        <v>85</v>
      </c>
      <c r="FT7" s="62" t="s">
        <v>86</v>
      </c>
      <c r="FU7" s="62" t="s">
        <v>87</v>
      </c>
      <c r="FV7" s="62" t="s">
        <v>88</v>
      </c>
      <c r="FW7" s="62" t="s">
        <v>89</v>
      </c>
      <c r="FX7" s="62" t="s">
        <v>90</v>
      </c>
      <c r="FY7" s="62" t="s">
        <v>91</v>
      </c>
      <c r="FZ7" s="62" t="s">
        <v>92</v>
      </c>
      <c r="GA7" s="62" t="s">
        <v>93</v>
      </c>
      <c r="GB7" s="62" t="s">
        <v>94</v>
      </c>
      <c r="GC7" s="62" t="s">
        <v>95</v>
      </c>
    </row>
    <row r="8" spans="1:321">
      <c r="A8" s="59">
        <v>7</v>
      </c>
      <c r="B8" s="59" t="s">
        <v>6</v>
      </c>
      <c r="D8" s="59">
        <v>7</v>
      </c>
      <c r="E8" s="60" t="s">
        <v>348</v>
      </c>
      <c r="F8" s="67"/>
      <c r="G8" s="68"/>
      <c r="H8" s="68"/>
      <c r="I8" s="68"/>
      <c r="J8" s="68"/>
      <c r="K8" s="68"/>
      <c r="L8" s="68"/>
      <c r="M8" s="68"/>
      <c r="N8" s="68"/>
      <c r="O8" s="68"/>
      <c r="P8" s="68"/>
      <c r="Q8" s="69"/>
      <c r="R8" s="67"/>
      <c r="S8" s="68"/>
      <c r="T8" s="68"/>
      <c r="U8" s="68"/>
      <c r="V8" s="68"/>
      <c r="W8" s="68"/>
      <c r="X8" s="68"/>
      <c r="Y8" s="68"/>
      <c r="Z8" s="68"/>
      <c r="AA8" s="68"/>
      <c r="AB8" s="68"/>
      <c r="AC8" s="69"/>
      <c r="AD8" s="67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9"/>
      <c r="AP8" s="67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9"/>
      <c r="BB8" s="67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9"/>
      <c r="BN8" s="67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9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7">
        <v>90333686.040000007</v>
      </c>
      <c r="CM8" s="68">
        <v>81138013.659999996</v>
      </c>
      <c r="CN8" s="68">
        <v>113028593.42</v>
      </c>
      <c r="CO8" s="68">
        <v>119482956.75</v>
      </c>
      <c r="CP8" s="68">
        <v>100070912.16</v>
      </c>
      <c r="CQ8" s="68">
        <v>111620460.61</v>
      </c>
      <c r="CR8" s="68">
        <v>193780471.63</v>
      </c>
      <c r="CS8" s="68">
        <v>171436997.09</v>
      </c>
      <c r="CT8" s="68">
        <v>133557985.89</v>
      </c>
      <c r="CU8" s="68">
        <v>119466755.63</v>
      </c>
      <c r="CV8" s="68">
        <v>97738756.370000005</v>
      </c>
      <c r="CW8" s="69">
        <v>257597115.53999999</v>
      </c>
      <c r="CX8" s="67">
        <v>79368083.709999993</v>
      </c>
      <c r="CY8" s="68">
        <v>83446112.569999993</v>
      </c>
      <c r="CZ8" s="68">
        <v>169756699.25999999</v>
      </c>
      <c r="DA8" s="68">
        <v>130376903.58</v>
      </c>
      <c r="DB8" s="68">
        <v>297216178.98000002</v>
      </c>
      <c r="DC8" s="68">
        <v>110529753.06999999</v>
      </c>
      <c r="DD8" s="68">
        <v>123131448.20999999</v>
      </c>
      <c r="DE8" s="68">
        <v>128054657.09</v>
      </c>
      <c r="DF8" s="68">
        <v>120504779.09</v>
      </c>
      <c r="DG8" s="68">
        <v>158989888.06</v>
      </c>
      <c r="DH8" s="68">
        <v>101756605.19</v>
      </c>
      <c r="DI8" s="69">
        <v>161885152.09</v>
      </c>
      <c r="DJ8" s="67">
        <v>106730598.20999999</v>
      </c>
      <c r="DK8" s="68">
        <v>128789050.12</v>
      </c>
      <c r="DL8" s="68">
        <v>623084631.08000004</v>
      </c>
      <c r="DM8" s="68">
        <v>182297570.15000001</v>
      </c>
      <c r="DN8" s="68">
        <v>103320694.31999999</v>
      </c>
      <c r="DO8" s="68">
        <v>187991741.99000001</v>
      </c>
      <c r="DP8" s="68">
        <v>147633530.78</v>
      </c>
      <c r="DQ8" s="68">
        <v>166968807.55000001</v>
      </c>
      <c r="DR8" s="68">
        <v>145552524.33000001</v>
      </c>
      <c r="DS8" s="68">
        <v>117131377.59999999</v>
      </c>
      <c r="DT8" s="68">
        <v>97194967.489999995</v>
      </c>
      <c r="DU8" s="69">
        <v>160047843.99000001</v>
      </c>
      <c r="DV8" s="61">
        <v>67777580.170000002</v>
      </c>
      <c r="DW8" s="61">
        <v>97500102.209999993</v>
      </c>
      <c r="DX8" s="61">
        <v>427173040.08999997</v>
      </c>
      <c r="DY8" s="61">
        <v>114841065.19</v>
      </c>
      <c r="DZ8" s="61">
        <v>110713491.84</v>
      </c>
      <c r="EA8" s="61">
        <v>135275960.19999999</v>
      </c>
      <c r="EB8" s="61">
        <v>137180856.41</v>
      </c>
      <c r="EC8" s="61">
        <v>191358316.03</v>
      </c>
      <c r="ED8" s="61">
        <v>134034657.84</v>
      </c>
      <c r="EE8" s="61">
        <v>121457573.11</v>
      </c>
      <c r="EF8" s="61">
        <v>196253592.55000001</v>
      </c>
      <c r="EG8" s="61">
        <v>198878890.66</v>
      </c>
      <c r="EH8" s="62">
        <v>74035484.650000006</v>
      </c>
      <c r="EI8" s="62">
        <v>111911440.43000001</v>
      </c>
      <c r="EJ8" s="62">
        <v>194526698.77000001</v>
      </c>
      <c r="EK8" s="62">
        <v>154580255.34999999</v>
      </c>
      <c r="EL8" s="62">
        <v>126340160.72</v>
      </c>
      <c r="EM8" s="62">
        <v>164632827.80000001</v>
      </c>
      <c r="EN8" s="62">
        <v>172154696.31999999</v>
      </c>
      <c r="EO8" s="62">
        <v>225754210.33000001</v>
      </c>
      <c r="EP8" s="62">
        <v>181876726.09</v>
      </c>
      <c r="EQ8" s="62">
        <v>159511265.75999999</v>
      </c>
      <c r="ER8" s="62">
        <v>154084828.09999999</v>
      </c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  <c r="FE8" s="62"/>
      <c r="FF8" s="62"/>
      <c r="FG8" s="62"/>
      <c r="FH8" s="62"/>
      <c r="FI8" s="62"/>
      <c r="FJ8" s="62"/>
      <c r="FK8" s="62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62"/>
      <c r="GB8" s="62"/>
      <c r="GC8" s="62"/>
      <c r="GD8" s="62"/>
      <c r="GF8" s="62"/>
      <c r="GG8" s="62"/>
      <c r="GH8" s="62"/>
      <c r="GI8" s="62"/>
      <c r="GJ8" s="62"/>
      <c r="GK8" s="62"/>
      <c r="GL8" s="62"/>
      <c r="GM8" s="62"/>
      <c r="GN8" s="62"/>
      <c r="GO8" s="62"/>
      <c r="GP8" s="62"/>
      <c r="GQ8" s="62"/>
      <c r="GR8" s="62"/>
      <c r="GS8" s="62"/>
      <c r="GT8" s="62"/>
      <c r="GU8" s="62"/>
      <c r="GV8" s="62"/>
      <c r="GW8" s="62"/>
      <c r="GX8" s="62"/>
      <c r="GY8" s="62"/>
      <c r="GZ8" s="62"/>
      <c r="HA8" s="62"/>
      <c r="HB8" s="62"/>
      <c r="HC8" s="62"/>
      <c r="HD8" s="62"/>
      <c r="HE8" s="62"/>
      <c r="HF8" s="62"/>
      <c r="HG8" s="62"/>
      <c r="HH8" s="62"/>
      <c r="HI8" s="62"/>
      <c r="HJ8" s="62"/>
      <c r="HK8" s="62"/>
      <c r="HL8" s="62"/>
      <c r="HM8" s="62"/>
      <c r="HN8" s="62"/>
      <c r="HO8" s="62"/>
      <c r="HP8" s="62"/>
      <c r="HQ8" s="62"/>
      <c r="HR8" s="62"/>
      <c r="HS8" s="62"/>
      <c r="HT8" s="62"/>
      <c r="HU8" s="62"/>
      <c r="HV8" s="62"/>
      <c r="HW8" s="62"/>
      <c r="HX8" s="62"/>
      <c r="HY8" s="62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  <c r="IU8" s="62"/>
      <c r="IV8" s="62"/>
      <c r="IW8" s="62"/>
      <c r="IX8" s="62"/>
      <c r="IY8" s="62"/>
      <c r="IZ8" s="62"/>
      <c r="JA8" s="62"/>
      <c r="JB8" s="62"/>
      <c r="JC8" s="62"/>
      <c r="JD8" s="62"/>
      <c r="JE8" s="62"/>
      <c r="JF8" s="62"/>
      <c r="JG8" s="62"/>
      <c r="JH8" s="62"/>
      <c r="JI8" s="62"/>
      <c r="JJ8" s="62"/>
      <c r="JK8" s="62"/>
      <c r="JL8" s="62"/>
      <c r="JM8" s="62"/>
      <c r="JN8" s="62"/>
      <c r="JO8" s="62"/>
      <c r="JP8" s="62"/>
      <c r="JQ8" s="62"/>
      <c r="JR8" s="62"/>
      <c r="JS8" s="62"/>
      <c r="JT8" s="62"/>
      <c r="JU8" s="62"/>
      <c r="JV8" s="62"/>
      <c r="JW8" s="62"/>
      <c r="JX8" s="62"/>
      <c r="JY8" s="62"/>
      <c r="JZ8" s="62"/>
      <c r="KA8" s="62"/>
      <c r="KB8" s="62"/>
      <c r="KC8" s="62"/>
      <c r="KD8" s="62"/>
      <c r="KE8" s="62"/>
      <c r="KF8" s="62"/>
      <c r="KG8" s="62"/>
      <c r="KH8" s="62"/>
      <c r="KI8" s="62"/>
      <c r="KJ8" s="62"/>
      <c r="KK8" s="62"/>
      <c r="KL8" s="62"/>
      <c r="KM8" s="62"/>
      <c r="KN8" s="62"/>
      <c r="KO8" s="62"/>
      <c r="KP8" s="62"/>
      <c r="KQ8" s="62"/>
      <c r="KR8" s="62"/>
      <c r="KS8" s="62"/>
      <c r="KT8" s="62"/>
      <c r="KU8" s="62"/>
      <c r="KV8" s="62"/>
      <c r="KW8" s="62"/>
      <c r="KX8" s="62"/>
      <c r="KY8" s="62"/>
      <c r="KZ8" s="62"/>
      <c r="LA8" s="62"/>
      <c r="LB8" s="62"/>
      <c r="LC8" s="62"/>
      <c r="LD8" s="62"/>
      <c r="LE8" s="62"/>
      <c r="LF8" s="62"/>
      <c r="LG8" s="62"/>
      <c r="LH8" s="62"/>
      <c r="LI8" s="62"/>
    </row>
    <row r="9" spans="1:321">
      <c r="B9" s="59">
        <v>71</v>
      </c>
      <c r="D9" s="59">
        <v>71</v>
      </c>
      <c r="E9" s="60" t="s">
        <v>349</v>
      </c>
      <c r="F9" s="67"/>
      <c r="G9" s="68"/>
      <c r="H9" s="68"/>
      <c r="I9" s="68"/>
      <c r="J9" s="68"/>
      <c r="K9" s="68"/>
      <c r="L9" s="68"/>
      <c r="M9" s="68"/>
      <c r="N9" s="68"/>
      <c r="O9" s="68"/>
      <c r="P9" s="68"/>
      <c r="Q9" s="69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9"/>
      <c r="AD9" s="67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9"/>
      <c r="AP9" s="67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9"/>
      <c r="BB9" s="67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9"/>
      <c r="BN9" s="67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9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7">
        <v>55007549.07</v>
      </c>
      <c r="CM9" s="68">
        <v>75835326.769999996</v>
      </c>
      <c r="CN9" s="68">
        <v>88914651.390000001</v>
      </c>
      <c r="CO9" s="68">
        <v>104091401.67</v>
      </c>
      <c r="CP9" s="68">
        <v>94325584.909999996</v>
      </c>
      <c r="CQ9" s="68">
        <v>99966900.379999995</v>
      </c>
      <c r="CR9" s="68">
        <v>122481083.36</v>
      </c>
      <c r="CS9" s="68">
        <v>125279368.25</v>
      </c>
      <c r="CT9" s="68">
        <v>117134830.11</v>
      </c>
      <c r="CU9" s="68">
        <v>118761640.25</v>
      </c>
      <c r="CV9" s="68">
        <v>96518169.450000003</v>
      </c>
      <c r="CW9" s="69">
        <v>145120002.58000001</v>
      </c>
      <c r="CX9" s="67">
        <v>70782033.379999995</v>
      </c>
      <c r="CY9" s="68">
        <v>82127760.799999997</v>
      </c>
      <c r="CZ9" s="68">
        <v>100708163.93000001</v>
      </c>
      <c r="DA9" s="68">
        <v>109084385.15000001</v>
      </c>
      <c r="DB9" s="68">
        <v>102078548.78</v>
      </c>
      <c r="DC9" s="68">
        <v>109841607.18000001</v>
      </c>
      <c r="DD9" s="68">
        <v>120720236.03</v>
      </c>
      <c r="DE9" s="68">
        <v>126556297.33</v>
      </c>
      <c r="DF9" s="68">
        <v>117901924.08</v>
      </c>
      <c r="DG9" s="68">
        <v>158210534.24000001</v>
      </c>
      <c r="DH9" s="68">
        <v>98496460.129999995</v>
      </c>
      <c r="DI9" s="69">
        <v>154431127.77000001</v>
      </c>
      <c r="DJ9" s="67">
        <v>71181339.670000002</v>
      </c>
      <c r="DK9" s="68">
        <v>86812905.099999994</v>
      </c>
      <c r="DL9" s="68">
        <v>100426756.40000001</v>
      </c>
      <c r="DM9" s="68">
        <v>111553536.67</v>
      </c>
      <c r="DN9" s="68">
        <v>99802277.799999997</v>
      </c>
      <c r="DO9" s="68">
        <v>118164247.59</v>
      </c>
      <c r="DP9" s="68">
        <v>127513546.68000001</v>
      </c>
      <c r="DQ9" s="68">
        <v>124403393.31999999</v>
      </c>
      <c r="DR9" s="68">
        <v>123697136.31</v>
      </c>
      <c r="DS9" s="68">
        <v>110697450.34</v>
      </c>
      <c r="DT9" s="68">
        <v>95953862.829999998</v>
      </c>
      <c r="DU9" s="69">
        <v>156411772.80000001</v>
      </c>
      <c r="DV9" s="61">
        <v>67415694.689999998</v>
      </c>
      <c r="DW9" s="61">
        <v>95779987.890000001</v>
      </c>
      <c r="DX9" s="61">
        <v>121569715.29000001</v>
      </c>
      <c r="DY9" s="61">
        <v>114117602.84999999</v>
      </c>
      <c r="DZ9" s="61">
        <v>109929481.12</v>
      </c>
      <c r="EA9" s="61">
        <v>124386958.84999999</v>
      </c>
      <c r="EB9" s="61">
        <v>126209907.59999999</v>
      </c>
      <c r="EC9" s="61">
        <v>190949979.50999999</v>
      </c>
      <c r="ED9" s="61">
        <v>132898529.40000001</v>
      </c>
      <c r="EE9" s="61">
        <v>120689605.48999999</v>
      </c>
      <c r="EF9" s="61">
        <v>112516780.98999999</v>
      </c>
      <c r="EG9" s="61">
        <v>169975515</v>
      </c>
      <c r="EH9" s="62">
        <v>73679382.079999998</v>
      </c>
      <c r="EI9" s="62">
        <v>88768620.049999997</v>
      </c>
      <c r="EJ9" s="62">
        <v>135184988.80000001</v>
      </c>
      <c r="EK9" s="62">
        <v>124911661.67</v>
      </c>
      <c r="EL9" s="62">
        <v>125356661.59</v>
      </c>
      <c r="EM9" s="62">
        <v>134055955.01000001</v>
      </c>
      <c r="EN9" s="62">
        <v>145961895.21000001</v>
      </c>
      <c r="EO9" s="62">
        <v>149426896.58000001</v>
      </c>
      <c r="EP9" s="62">
        <v>138688866.59</v>
      </c>
      <c r="EQ9" s="62">
        <v>135552744.59</v>
      </c>
      <c r="ER9" s="62">
        <v>122189011.15000001</v>
      </c>
      <c r="ES9" s="62"/>
      <c r="ET9" s="62">
        <v>79855347.849999994</v>
      </c>
      <c r="EU9" s="62">
        <v>106190042</v>
      </c>
      <c r="EV9" s="62">
        <v>137417391.37</v>
      </c>
      <c r="EW9" s="62">
        <v>147833434.00999999</v>
      </c>
      <c r="EX9" s="62">
        <v>135934065.38</v>
      </c>
      <c r="EY9" s="70"/>
      <c r="EZ9" s="70"/>
      <c r="FA9" s="70"/>
      <c r="FB9" s="70"/>
      <c r="FC9" s="70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2"/>
      <c r="GD9" s="62"/>
      <c r="GF9" s="62"/>
      <c r="GG9" s="62"/>
      <c r="GH9" s="62"/>
      <c r="GI9" s="62"/>
      <c r="GJ9" s="62"/>
      <c r="GK9" s="62"/>
      <c r="GL9" s="62"/>
      <c r="GM9" s="62"/>
      <c r="GN9" s="62"/>
      <c r="GO9" s="62"/>
      <c r="GP9" s="62"/>
      <c r="GQ9" s="62"/>
      <c r="GR9" s="62"/>
      <c r="GS9" s="62"/>
      <c r="GT9" s="62"/>
      <c r="GU9" s="62"/>
      <c r="GV9" s="62"/>
      <c r="GW9" s="62"/>
      <c r="GX9" s="62"/>
      <c r="GY9" s="62"/>
      <c r="GZ9" s="62"/>
      <c r="HA9" s="62"/>
      <c r="HB9" s="62"/>
      <c r="HC9" s="62"/>
      <c r="HD9" s="62"/>
      <c r="HE9" s="62"/>
      <c r="HF9" s="62"/>
      <c r="HG9" s="62"/>
      <c r="HH9" s="62"/>
      <c r="HI9" s="62"/>
      <c r="HJ9" s="62"/>
      <c r="HK9" s="62"/>
      <c r="HL9" s="62"/>
      <c r="HM9" s="62"/>
      <c r="HN9" s="62"/>
      <c r="HO9" s="62"/>
      <c r="HP9" s="62"/>
      <c r="HQ9" s="62"/>
      <c r="HR9" s="62"/>
      <c r="HS9" s="62"/>
      <c r="HT9" s="62"/>
      <c r="HU9" s="62"/>
      <c r="HV9" s="62"/>
      <c r="HW9" s="62"/>
      <c r="HX9" s="62"/>
      <c r="HY9" s="62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  <c r="IU9" s="62"/>
      <c r="IV9" s="62"/>
      <c r="IW9" s="62"/>
      <c r="IX9" s="62"/>
      <c r="IY9" s="62"/>
      <c r="IZ9" s="62"/>
      <c r="JA9" s="62"/>
      <c r="JB9" s="62"/>
      <c r="JC9" s="62"/>
      <c r="JD9" s="62"/>
      <c r="JE9" s="62"/>
      <c r="JF9" s="62"/>
      <c r="JG9" s="62"/>
      <c r="JH9" s="62"/>
      <c r="JI9" s="62"/>
      <c r="JJ9" s="62"/>
      <c r="JK9" s="62"/>
      <c r="JL9" s="62"/>
      <c r="JM9" s="62"/>
      <c r="JN9" s="62"/>
      <c r="JO9" s="62"/>
      <c r="JP9" s="62"/>
      <c r="JQ9" s="62"/>
      <c r="JR9" s="62"/>
      <c r="JS9" s="62"/>
      <c r="JT9" s="62"/>
      <c r="JU9" s="62"/>
      <c r="JV9" s="62"/>
      <c r="JW9" s="62"/>
      <c r="JX9" s="62"/>
      <c r="JY9" s="62"/>
      <c r="JZ9" s="62"/>
      <c r="KA9" s="62"/>
      <c r="KB9" s="62"/>
      <c r="KC9" s="62"/>
      <c r="KD9" s="62"/>
      <c r="KE9" s="62"/>
      <c r="KF9" s="62"/>
      <c r="KG9" s="62"/>
      <c r="KH9" s="62"/>
      <c r="KI9" s="62"/>
      <c r="KJ9" s="62"/>
      <c r="KK9" s="62"/>
      <c r="KL9" s="62"/>
      <c r="KM9" s="62"/>
      <c r="KN9" s="62"/>
      <c r="KO9" s="62"/>
      <c r="KP9" s="62"/>
      <c r="KQ9" s="62"/>
      <c r="KR9" s="62"/>
      <c r="KS9" s="62"/>
      <c r="KT9" s="62"/>
      <c r="KU9" s="62"/>
      <c r="KV9" s="62"/>
      <c r="KW9" s="62"/>
      <c r="KX9" s="62"/>
      <c r="KY9" s="62"/>
      <c r="KZ9" s="62"/>
      <c r="LA9" s="62"/>
      <c r="LB9" s="62"/>
      <c r="LC9" s="62"/>
      <c r="LD9" s="62"/>
      <c r="LE9" s="62"/>
      <c r="LF9" s="62"/>
      <c r="LG9" s="62"/>
      <c r="LH9" s="62"/>
      <c r="LI9" s="62"/>
    </row>
    <row r="10" spans="1:321" s="2" customFormat="1">
      <c r="A10" s="71"/>
      <c r="B10" s="71"/>
      <c r="C10" s="71">
        <v>711</v>
      </c>
      <c r="D10" s="71">
        <v>711</v>
      </c>
      <c r="E10" s="72" t="s">
        <v>127</v>
      </c>
      <c r="F10" s="73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5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5"/>
      <c r="AD10" s="73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5"/>
      <c r="AP10" s="73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5"/>
      <c r="BB10" s="73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5"/>
      <c r="BN10" s="73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5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3">
        <v>38651682.140000001</v>
      </c>
      <c r="CM10" s="74">
        <v>43074559.130000003</v>
      </c>
      <c r="CN10" s="74">
        <v>53935470.890000001</v>
      </c>
      <c r="CO10" s="74">
        <v>70397095.140000001</v>
      </c>
      <c r="CP10" s="74">
        <v>59487673.049999997</v>
      </c>
      <c r="CQ10" s="74">
        <v>61991252.850000001</v>
      </c>
      <c r="CR10" s="74">
        <v>78155438.859999999</v>
      </c>
      <c r="CS10" s="74">
        <v>82426236.730000004</v>
      </c>
      <c r="CT10" s="74">
        <v>71970399.340000004</v>
      </c>
      <c r="CU10" s="74">
        <v>66404277.469999999</v>
      </c>
      <c r="CV10" s="74">
        <v>57024205.149999999</v>
      </c>
      <c r="CW10" s="75">
        <v>72178168.760000005</v>
      </c>
      <c r="CX10" s="73">
        <v>48388139.909999996</v>
      </c>
      <c r="CY10" s="74">
        <v>48891680.689999998</v>
      </c>
      <c r="CZ10" s="74">
        <v>66983401.859999999</v>
      </c>
      <c r="DA10" s="74">
        <v>71590015.019999996</v>
      </c>
      <c r="DB10" s="74">
        <v>59304955.359999999</v>
      </c>
      <c r="DC10" s="74">
        <v>65704527.310000002</v>
      </c>
      <c r="DD10" s="74">
        <v>79435217.060000002</v>
      </c>
      <c r="DE10" s="74">
        <v>84181706.099999994</v>
      </c>
      <c r="DF10" s="74">
        <v>79682673.109999999</v>
      </c>
      <c r="DG10" s="74">
        <v>102761223.56</v>
      </c>
      <c r="DH10" s="74">
        <v>56236155.619999997</v>
      </c>
      <c r="DI10" s="75">
        <v>70043886.920000002</v>
      </c>
      <c r="DJ10" s="73">
        <v>48650345.920000002</v>
      </c>
      <c r="DK10" s="74">
        <v>51592469.18</v>
      </c>
      <c r="DL10" s="74">
        <v>60361034.990000002</v>
      </c>
      <c r="DM10" s="74">
        <v>69639815.219999999</v>
      </c>
      <c r="DN10" s="74">
        <v>62514260.399999999</v>
      </c>
      <c r="DO10" s="74">
        <v>73370468.569999993</v>
      </c>
      <c r="DP10" s="74">
        <v>77525685.450000003</v>
      </c>
      <c r="DQ10" s="74">
        <v>77946419.109999999</v>
      </c>
      <c r="DR10" s="74">
        <v>78770043.420000002</v>
      </c>
      <c r="DS10" s="74">
        <v>63111454.090000004</v>
      </c>
      <c r="DT10" s="74">
        <v>61933489.369999997</v>
      </c>
      <c r="DU10" s="75">
        <v>80122100.640000001</v>
      </c>
      <c r="DV10" s="76">
        <v>49873109.479999997</v>
      </c>
      <c r="DW10" s="76">
        <v>55731541.770000003</v>
      </c>
      <c r="DX10" s="76">
        <v>74814586.950000003</v>
      </c>
      <c r="DY10" s="76">
        <v>72317902.650000006</v>
      </c>
      <c r="DZ10" s="76">
        <v>67796504.099999994</v>
      </c>
      <c r="EA10" s="76">
        <v>77725350.840000004</v>
      </c>
      <c r="EB10" s="76">
        <v>84660750.019999996</v>
      </c>
      <c r="EC10" s="77">
        <v>95610203.920000002</v>
      </c>
      <c r="ED10" s="77">
        <v>84436328.609999999</v>
      </c>
      <c r="EE10" s="77">
        <v>76418294.650000006</v>
      </c>
      <c r="EF10" s="77">
        <v>66580660.090000004</v>
      </c>
      <c r="EG10" s="77">
        <v>80561502.650000006</v>
      </c>
      <c r="EH10" s="78">
        <v>53512170.450000003</v>
      </c>
      <c r="EI10" s="78">
        <v>50615120.200000003</v>
      </c>
      <c r="EJ10" s="78">
        <v>90524246.909999996</v>
      </c>
      <c r="EK10" s="78">
        <v>81677988.170000002</v>
      </c>
      <c r="EL10" s="78">
        <v>77800336.480000004</v>
      </c>
      <c r="EM10" s="78">
        <v>85282444.409999996</v>
      </c>
      <c r="EN10" s="78">
        <v>89248400.650000006</v>
      </c>
      <c r="EO10" s="78">
        <v>99153787.180000007</v>
      </c>
      <c r="EP10" s="78">
        <v>92913520.620000005</v>
      </c>
      <c r="EQ10" s="78">
        <v>86378572.319999993</v>
      </c>
      <c r="ER10" s="78">
        <v>74654697.829999998</v>
      </c>
      <c r="ES10" s="78">
        <v>89394289.060000002</v>
      </c>
      <c r="ET10" s="78">
        <v>60295851.509999998</v>
      </c>
      <c r="EU10" s="78">
        <v>64797597.329999998</v>
      </c>
      <c r="EV10" s="78">
        <v>89261850.609999999</v>
      </c>
      <c r="EW10" s="78">
        <v>97799793.079999998</v>
      </c>
      <c r="EX10" s="78">
        <v>90553351.069999993</v>
      </c>
      <c r="EY10" s="78">
        <v>87503254.430000007</v>
      </c>
      <c r="EZ10" s="78">
        <v>105015545.47</v>
      </c>
      <c r="FA10" s="78">
        <v>107951400.73999999</v>
      </c>
      <c r="FB10" s="78">
        <v>102839740.52</v>
      </c>
      <c r="FC10" s="78">
        <v>89707200.510000005</v>
      </c>
      <c r="FD10" s="78">
        <v>81788199.120000005</v>
      </c>
      <c r="FE10" s="78">
        <v>91433416.909999996</v>
      </c>
      <c r="FF10" s="78">
        <v>72429730.420000002</v>
      </c>
      <c r="FG10" s="78">
        <v>68470908.439999998</v>
      </c>
      <c r="FH10" s="78">
        <v>98709545.510000005</v>
      </c>
      <c r="FI10" s="78">
        <v>106791818.52</v>
      </c>
      <c r="FJ10" s="78">
        <v>94372185.030000001</v>
      </c>
      <c r="FK10" s="78">
        <v>89389439.689999998</v>
      </c>
      <c r="FL10" s="78">
        <v>115363471.45</v>
      </c>
      <c r="FM10" s="78">
        <v>118817091.44</v>
      </c>
      <c r="FN10" s="78">
        <v>114500270.97</v>
      </c>
      <c r="FO10" s="78">
        <v>101600991.11</v>
      </c>
      <c r="FP10" s="78">
        <v>87468589.950000003</v>
      </c>
      <c r="FQ10" s="78">
        <v>104834610.59</v>
      </c>
      <c r="FR10" s="78">
        <f t="shared" ref="FR10:GC10" si="2">SUM(FR11:FR17)</f>
        <v>73320205.209999993</v>
      </c>
      <c r="FS10" s="78">
        <f t="shared" si="2"/>
        <v>69683087.400000006</v>
      </c>
      <c r="FT10" s="78">
        <f t="shared" si="2"/>
        <v>105613736.66</v>
      </c>
      <c r="FU10" s="78">
        <f t="shared" si="2"/>
        <v>83521974.920000002</v>
      </c>
      <c r="FV10" s="78">
        <f t="shared" si="2"/>
        <v>69752758.120000005</v>
      </c>
      <c r="FW10" s="78">
        <f t="shared" si="2"/>
        <v>79960950.920000002</v>
      </c>
      <c r="FX10" s="78">
        <f t="shared" si="2"/>
        <v>80621752.299999997</v>
      </c>
      <c r="FY10" s="78">
        <f t="shared" si="2"/>
        <v>79984790.799999997</v>
      </c>
      <c r="FZ10" s="78">
        <f t="shared" si="2"/>
        <v>80764606.510000005</v>
      </c>
      <c r="GA10" s="78">
        <f t="shared" si="2"/>
        <v>81734836.819999993</v>
      </c>
      <c r="GB10" s="78">
        <f t="shared" si="2"/>
        <v>72792310.129999995</v>
      </c>
      <c r="GC10" s="78">
        <f t="shared" si="2"/>
        <v>88352824.489999995</v>
      </c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  <c r="IU10" s="78"/>
      <c r="IV10" s="78"/>
      <c r="IW10" s="78"/>
      <c r="IX10" s="78"/>
      <c r="IY10" s="78"/>
      <c r="IZ10" s="78"/>
      <c r="JA10" s="78"/>
      <c r="JB10" s="78"/>
      <c r="JC10" s="78"/>
      <c r="JD10" s="78"/>
      <c r="JE10" s="78"/>
      <c r="JF10" s="78"/>
      <c r="JG10" s="78"/>
      <c r="JH10" s="78"/>
      <c r="JI10" s="78"/>
      <c r="JJ10" s="78"/>
      <c r="JK10" s="78"/>
      <c r="JL10" s="78"/>
      <c r="JM10" s="78"/>
      <c r="JN10" s="78"/>
      <c r="JO10" s="78"/>
      <c r="JP10" s="78"/>
      <c r="JQ10" s="78"/>
      <c r="JR10" s="78"/>
      <c r="JS10" s="78"/>
      <c r="JT10" s="78"/>
      <c r="JU10" s="78"/>
      <c r="JV10" s="78"/>
      <c r="JW10" s="78"/>
      <c r="JX10" s="78"/>
      <c r="JY10" s="78"/>
      <c r="JZ10" s="78"/>
      <c r="KA10" s="78"/>
      <c r="KB10" s="78"/>
      <c r="KC10" s="78"/>
      <c r="KD10" s="78"/>
      <c r="KE10" s="78"/>
      <c r="KF10" s="78"/>
      <c r="KG10" s="78"/>
      <c r="KH10" s="78"/>
      <c r="KI10" s="78"/>
      <c r="KJ10" s="78"/>
      <c r="KK10" s="78"/>
      <c r="KL10" s="78"/>
      <c r="KM10" s="78"/>
      <c r="KN10" s="78"/>
      <c r="KO10" s="78"/>
      <c r="KP10" s="78"/>
      <c r="KQ10" s="78"/>
      <c r="KR10" s="78"/>
      <c r="KS10" s="78"/>
      <c r="KT10" s="78"/>
      <c r="KU10" s="78"/>
      <c r="KV10" s="78"/>
      <c r="KW10" s="78"/>
      <c r="KX10" s="78"/>
      <c r="KY10" s="78"/>
      <c r="KZ10" s="78"/>
      <c r="LA10" s="78"/>
      <c r="LB10" s="78"/>
      <c r="LC10" s="78"/>
      <c r="LD10" s="78"/>
      <c r="LE10" s="78"/>
      <c r="LF10" s="78"/>
      <c r="LG10" s="78"/>
      <c r="LH10" s="78"/>
      <c r="LI10" s="78"/>
    </row>
    <row r="11" spans="1:321">
      <c r="D11" s="59">
        <v>7111</v>
      </c>
      <c r="E11" s="60" t="s">
        <v>128</v>
      </c>
      <c r="F11" s="67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9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9"/>
      <c r="AD11" s="67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9"/>
      <c r="AP11" s="67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9"/>
      <c r="BB11" s="67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9"/>
      <c r="BN11" s="67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9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7">
        <v>2526434.27</v>
      </c>
      <c r="CM11" s="68">
        <v>6576693.6499999901</v>
      </c>
      <c r="CN11" s="68">
        <v>6649607.6900000004</v>
      </c>
      <c r="CO11" s="68">
        <v>6878624.96</v>
      </c>
      <c r="CP11" s="68">
        <v>7715762.9900000095</v>
      </c>
      <c r="CQ11" s="68">
        <v>6905575.8099999996</v>
      </c>
      <c r="CR11" s="68">
        <v>7544499.1699999999</v>
      </c>
      <c r="CS11" s="68">
        <v>8683203.9299999997</v>
      </c>
      <c r="CT11" s="68">
        <v>9021711.1099999994</v>
      </c>
      <c r="CU11" s="68">
        <v>10279942.17</v>
      </c>
      <c r="CV11" s="68">
        <v>7302700.2599999998</v>
      </c>
      <c r="CW11" s="69">
        <v>15533677.9</v>
      </c>
      <c r="CX11" s="67">
        <v>3618675.86</v>
      </c>
      <c r="CY11" s="68">
        <v>6667541.54</v>
      </c>
      <c r="CZ11" s="68">
        <v>8194536.0300000003</v>
      </c>
      <c r="DA11" s="68">
        <v>8012567.7000000002</v>
      </c>
      <c r="DB11" s="68">
        <v>8930235.6400000006</v>
      </c>
      <c r="DC11" s="68">
        <v>8873002.2799999993</v>
      </c>
      <c r="DD11" s="68">
        <v>8846190.8499999996</v>
      </c>
      <c r="DE11" s="68">
        <v>9451996.9199999999</v>
      </c>
      <c r="DF11" s="68">
        <v>8133658.2199999997</v>
      </c>
      <c r="DG11" s="68">
        <v>10375239.68</v>
      </c>
      <c r="DH11" s="68">
        <v>7680183.6100000003</v>
      </c>
      <c r="DI11" s="69">
        <v>15621993.34</v>
      </c>
      <c r="DJ11" s="67">
        <v>4124772.21999999</v>
      </c>
      <c r="DK11" s="68">
        <v>6382588.3899999997</v>
      </c>
      <c r="DL11" s="68">
        <v>7348323.9500000002</v>
      </c>
      <c r="DM11" s="68">
        <v>7769463.1900000004</v>
      </c>
      <c r="DN11" s="68">
        <v>6638534.7300000004</v>
      </c>
      <c r="DO11" s="68">
        <v>7851015.5500000101</v>
      </c>
      <c r="DP11" s="68">
        <v>8602485.6799999997</v>
      </c>
      <c r="DQ11" s="68">
        <v>7987492.7400000002</v>
      </c>
      <c r="DR11" s="68">
        <v>7895000.8600000096</v>
      </c>
      <c r="DS11" s="68">
        <v>12558044.720000001</v>
      </c>
      <c r="DT11" s="68">
        <v>10620418.34</v>
      </c>
      <c r="DU11" s="69">
        <v>16988178.789999999</v>
      </c>
      <c r="DV11" s="61">
        <v>3378459.01</v>
      </c>
      <c r="DW11" s="61">
        <v>8966879.7300000004</v>
      </c>
      <c r="DX11" s="61">
        <v>9924140.9199999999</v>
      </c>
      <c r="DY11" s="61">
        <v>8377077.25</v>
      </c>
      <c r="DZ11" s="61">
        <v>8563145.8100000005</v>
      </c>
      <c r="EA11" s="61">
        <v>9760165.0700000003</v>
      </c>
      <c r="EB11" s="61">
        <v>12597996.66</v>
      </c>
      <c r="EC11" s="79">
        <v>11738543.99</v>
      </c>
      <c r="ED11" s="79">
        <v>12658379.98</v>
      </c>
      <c r="EE11" s="79">
        <v>10220885.41</v>
      </c>
      <c r="EF11" s="79">
        <v>8748146.6300000008</v>
      </c>
      <c r="EG11" s="79">
        <v>18197782.010000002</v>
      </c>
      <c r="EH11" s="62">
        <v>3855468.97</v>
      </c>
      <c r="EI11" s="62">
        <v>7751521.5300000003</v>
      </c>
      <c r="EJ11" s="62">
        <v>9093379.6300000008</v>
      </c>
      <c r="EK11" s="62">
        <v>8729072.4399999995</v>
      </c>
      <c r="EL11" s="62">
        <v>9825835.5299999993</v>
      </c>
      <c r="EM11" s="62">
        <v>9719543.6799999997</v>
      </c>
      <c r="EN11" s="62">
        <v>10577855.74</v>
      </c>
      <c r="EO11" s="62">
        <v>10476522.35</v>
      </c>
      <c r="EP11" s="62">
        <v>9609655.3800000008</v>
      </c>
      <c r="EQ11" s="62">
        <v>10226839.18</v>
      </c>
      <c r="ER11" s="62">
        <v>7670634.21</v>
      </c>
      <c r="ES11" s="62">
        <v>14446111.9</v>
      </c>
      <c r="ET11" s="62">
        <v>3496624.83</v>
      </c>
      <c r="EU11" s="62">
        <v>8897390.9499999993</v>
      </c>
      <c r="EV11" s="62">
        <v>10001520.890000001</v>
      </c>
      <c r="EW11" s="62">
        <v>9899613.5099999998</v>
      </c>
      <c r="EX11" s="62">
        <v>10330673.77</v>
      </c>
      <c r="EY11" s="62">
        <v>10475384.99</v>
      </c>
      <c r="EZ11" s="62">
        <v>11318576.82</v>
      </c>
      <c r="FA11" s="62">
        <v>11227078</v>
      </c>
      <c r="FB11" s="62">
        <v>9598204.1500000004</v>
      </c>
      <c r="FC11" s="62">
        <v>10275884.26</v>
      </c>
      <c r="FD11" s="62">
        <v>10504970.310000001</v>
      </c>
      <c r="FE11" s="62">
        <v>18872459.579999998</v>
      </c>
      <c r="FF11" s="62">
        <v>4240913.8099999996</v>
      </c>
      <c r="FG11" s="62">
        <v>9361661.1500000004</v>
      </c>
      <c r="FH11" s="62">
        <v>9044961.5800000001</v>
      </c>
      <c r="FI11" s="62">
        <v>10767101.800000001</v>
      </c>
      <c r="FJ11" s="62">
        <v>10210712.41</v>
      </c>
      <c r="FK11" s="62">
        <v>10125793.029999999</v>
      </c>
      <c r="FL11" s="62">
        <v>10986746.67</v>
      </c>
      <c r="FM11" s="62">
        <v>10477204.85</v>
      </c>
      <c r="FN11" s="62">
        <v>10332018.109999999</v>
      </c>
      <c r="FO11" s="62">
        <v>10824900.91</v>
      </c>
      <c r="FP11" s="62">
        <v>9987863.9000000004</v>
      </c>
      <c r="FQ11" s="62">
        <v>18641048.940000001</v>
      </c>
      <c r="FR11" s="62">
        <v>4317755.12</v>
      </c>
      <c r="FS11" s="62">
        <v>9514934.0399999991</v>
      </c>
      <c r="FT11" s="62">
        <v>9988296.0800000001</v>
      </c>
      <c r="FU11" s="62">
        <v>6960084.75</v>
      </c>
      <c r="FV11" s="62">
        <v>10104597.5</v>
      </c>
      <c r="FW11" s="62">
        <v>10236771.470000001</v>
      </c>
      <c r="FX11" s="62">
        <v>9980163.0299999993</v>
      </c>
      <c r="FY11" s="62">
        <v>11586739.1</v>
      </c>
      <c r="FZ11" s="62">
        <v>10038474.75</v>
      </c>
      <c r="GA11" s="62">
        <v>8848138.8900000006</v>
      </c>
      <c r="GB11" s="62">
        <v>9295535.8699999992</v>
      </c>
      <c r="GC11" s="62">
        <v>17470538.280000001</v>
      </c>
      <c r="GD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62"/>
      <c r="HJ11" s="62"/>
      <c r="HK11" s="62"/>
      <c r="HL11" s="62"/>
      <c r="HM11" s="62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62"/>
      <c r="IF11" s="62"/>
      <c r="IG11" s="62"/>
      <c r="IH11" s="62"/>
      <c r="II11" s="62"/>
      <c r="IJ11" s="62"/>
      <c r="IK11" s="62"/>
      <c r="IL11" s="62"/>
      <c r="IM11" s="62"/>
      <c r="IN11" s="62"/>
      <c r="IO11" s="62"/>
      <c r="IP11" s="62"/>
      <c r="IQ11" s="62"/>
      <c r="IR11" s="62"/>
      <c r="IS11" s="62"/>
      <c r="IT11" s="62"/>
      <c r="IU11" s="62"/>
      <c r="IV11" s="62"/>
      <c r="IW11" s="62"/>
      <c r="IX11" s="62"/>
      <c r="IY11" s="62"/>
      <c r="IZ11" s="62"/>
      <c r="JA11" s="62"/>
      <c r="JB11" s="62"/>
      <c r="JC11" s="62"/>
      <c r="JD11" s="62"/>
      <c r="JE11" s="62"/>
      <c r="JF11" s="62"/>
      <c r="JG11" s="62"/>
      <c r="JH11" s="62"/>
      <c r="JI11" s="62"/>
      <c r="JJ11" s="62"/>
      <c r="JK11" s="62"/>
      <c r="JL11" s="62"/>
      <c r="JM11" s="62"/>
      <c r="JN11" s="62"/>
      <c r="JO11" s="62"/>
      <c r="JP11" s="62"/>
      <c r="JQ11" s="62"/>
      <c r="JR11" s="62"/>
      <c r="JS11" s="62"/>
      <c r="JT11" s="62"/>
      <c r="JU11" s="62"/>
      <c r="JV11" s="62"/>
      <c r="JW11" s="62"/>
      <c r="JX11" s="62"/>
      <c r="JY11" s="62"/>
      <c r="JZ11" s="62"/>
      <c r="KA11" s="62"/>
      <c r="KB11" s="62"/>
      <c r="KC11" s="62"/>
      <c r="KD11" s="62"/>
      <c r="KE11" s="62"/>
      <c r="KF11" s="62"/>
      <c r="KG11" s="62"/>
      <c r="KH11" s="62"/>
      <c r="KI11" s="62"/>
      <c r="KJ11" s="62"/>
      <c r="KK11" s="62"/>
      <c r="KL11" s="62"/>
      <c r="KM11" s="62"/>
      <c r="KN11" s="62"/>
      <c r="KO11" s="62"/>
      <c r="KP11" s="62"/>
      <c r="KQ11" s="62"/>
      <c r="KR11" s="62"/>
      <c r="KS11" s="62"/>
      <c r="KT11" s="62"/>
      <c r="KU11" s="62"/>
      <c r="KV11" s="62"/>
      <c r="KW11" s="62"/>
      <c r="KX11" s="62"/>
      <c r="KY11" s="62"/>
      <c r="KZ11" s="62"/>
      <c r="LA11" s="62"/>
      <c r="LB11" s="62"/>
      <c r="LC11" s="62"/>
      <c r="LD11" s="62"/>
      <c r="LE11" s="62"/>
      <c r="LF11" s="62"/>
      <c r="LG11" s="62"/>
      <c r="LH11" s="62"/>
      <c r="LI11" s="62"/>
    </row>
    <row r="12" spans="1:321">
      <c r="D12" s="59">
        <v>7112</v>
      </c>
      <c r="E12" s="60" t="s">
        <v>129</v>
      </c>
      <c r="F12" s="67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9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67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9"/>
      <c r="AP12" s="67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9"/>
      <c r="BB12" s="67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9"/>
      <c r="BN12" s="67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9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7">
        <v>496276.24</v>
      </c>
      <c r="CM12" s="68">
        <v>1055200.6000000001</v>
      </c>
      <c r="CN12" s="68">
        <v>5089275.75</v>
      </c>
      <c r="CO12" s="68">
        <v>14799003.470000001</v>
      </c>
      <c r="CP12" s="68">
        <v>3059202.23</v>
      </c>
      <c r="CQ12" s="68">
        <v>3636920.85</v>
      </c>
      <c r="CR12" s="68">
        <v>3866755.9</v>
      </c>
      <c r="CS12" s="68">
        <v>2838435.42</v>
      </c>
      <c r="CT12" s="68">
        <v>2334594.66</v>
      </c>
      <c r="CU12" s="68">
        <v>1290368.17</v>
      </c>
      <c r="CV12" s="68">
        <v>1131477.26</v>
      </c>
      <c r="CW12" s="69">
        <v>1041215.84</v>
      </c>
      <c r="CX12" s="67">
        <v>1541172.27</v>
      </c>
      <c r="CY12" s="68">
        <v>956251.9</v>
      </c>
      <c r="CZ12" s="68">
        <v>12105724.380000001</v>
      </c>
      <c r="DA12" s="68">
        <v>11308140.51</v>
      </c>
      <c r="DB12" s="68">
        <v>2493246.79</v>
      </c>
      <c r="DC12" s="68">
        <v>2382596.06</v>
      </c>
      <c r="DD12" s="68">
        <v>5915301.0899999999</v>
      </c>
      <c r="DE12" s="68">
        <v>2518646.2200000002</v>
      </c>
      <c r="DF12" s="68">
        <v>2054396.39</v>
      </c>
      <c r="DG12" s="68">
        <v>1764157.95</v>
      </c>
      <c r="DH12" s="68">
        <v>495961.62</v>
      </c>
      <c r="DI12" s="69">
        <v>1484776.32</v>
      </c>
      <c r="DJ12" s="67">
        <v>500820.53</v>
      </c>
      <c r="DK12" s="68">
        <v>776411.72</v>
      </c>
      <c r="DL12" s="68">
        <v>9846873.8100000005</v>
      </c>
      <c r="DM12" s="68">
        <v>15145224.380000001</v>
      </c>
      <c r="DN12" s="68">
        <v>2278350.0299999998</v>
      </c>
      <c r="DO12" s="68">
        <v>4095208.36</v>
      </c>
      <c r="DP12" s="68">
        <v>2969829.04</v>
      </c>
      <c r="DQ12" s="68">
        <v>1709846.55</v>
      </c>
      <c r="DR12" s="68">
        <v>2279121.88</v>
      </c>
      <c r="DS12" s="68">
        <v>629921.89</v>
      </c>
      <c r="DT12" s="68">
        <v>477921.05</v>
      </c>
      <c r="DU12" s="69">
        <v>1442198.94</v>
      </c>
      <c r="DV12" s="61">
        <v>308497.07</v>
      </c>
      <c r="DW12" s="61">
        <v>1230342</v>
      </c>
      <c r="DX12" s="61">
        <v>15051954.65</v>
      </c>
      <c r="DY12" s="61">
        <v>11458551.32</v>
      </c>
      <c r="DZ12" s="61">
        <v>2599087.38</v>
      </c>
      <c r="EA12" s="61">
        <v>4450921.9400000004</v>
      </c>
      <c r="EB12" s="61">
        <v>2550814.71</v>
      </c>
      <c r="EC12" s="79">
        <v>2816513.59</v>
      </c>
      <c r="ED12" s="79">
        <v>1745433.32</v>
      </c>
      <c r="EE12" s="79">
        <v>1556300.93</v>
      </c>
      <c r="EF12" s="79">
        <v>521816.19</v>
      </c>
      <c r="EG12" s="79">
        <v>964356.93</v>
      </c>
      <c r="EH12" s="62">
        <v>632316.18999999994</v>
      </c>
      <c r="EI12" s="62">
        <v>1242026.04</v>
      </c>
      <c r="EJ12" s="62">
        <v>17612665.690000001</v>
      </c>
      <c r="EK12" s="62">
        <v>14506801.98</v>
      </c>
      <c r="EL12" s="62">
        <v>2683183.94</v>
      </c>
      <c r="EM12" s="62">
        <v>2493382.48</v>
      </c>
      <c r="EN12" s="62">
        <v>2422592.44</v>
      </c>
      <c r="EO12" s="62">
        <v>2511333.39</v>
      </c>
      <c r="EP12" s="62">
        <v>1103662</v>
      </c>
      <c r="EQ12" s="62">
        <v>1688078.63</v>
      </c>
      <c r="ER12" s="62">
        <v>667573.11</v>
      </c>
      <c r="ES12" s="62">
        <v>1664886.32</v>
      </c>
      <c r="ET12" s="62">
        <v>475602.8</v>
      </c>
      <c r="EU12" s="62">
        <v>1641570.62</v>
      </c>
      <c r="EV12" s="62">
        <v>22262597.649999999</v>
      </c>
      <c r="EW12" s="62">
        <v>18095823.48</v>
      </c>
      <c r="EX12" s="62">
        <v>3730435.57</v>
      </c>
      <c r="EY12" s="62">
        <v>3402383.37</v>
      </c>
      <c r="EZ12" s="62">
        <v>4232537.58</v>
      </c>
      <c r="FA12" s="62">
        <v>3499255.87</v>
      </c>
      <c r="FB12" s="62">
        <v>7173346.1399999997</v>
      </c>
      <c r="FC12" s="62">
        <v>1043872.54</v>
      </c>
      <c r="FD12" s="62">
        <v>802479.78</v>
      </c>
      <c r="FE12" s="62">
        <v>1812573.03</v>
      </c>
      <c r="FF12" s="62">
        <v>936843.13</v>
      </c>
      <c r="FG12" s="62">
        <v>1962550.32</v>
      </c>
      <c r="FH12" s="62">
        <v>22465664.23</v>
      </c>
      <c r="FI12" s="62">
        <v>20408432.98</v>
      </c>
      <c r="FJ12" s="62">
        <v>4781744.7</v>
      </c>
      <c r="FK12" s="62">
        <v>3678815</v>
      </c>
      <c r="FL12" s="62">
        <v>3890710.55</v>
      </c>
      <c r="FM12" s="62">
        <v>3092994.24</v>
      </c>
      <c r="FN12" s="62">
        <v>2242778.35</v>
      </c>
      <c r="FO12" s="62">
        <v>690017.25</v>
      </c>
      <c r="FP12" s="62">
        <v>879657.72</v>
      </c>
      <c r="FQ12" s="62">
        <v>7785764.6100000003</v>
      </c>
      <c r="FR12" s="62">
        <v>673739.6</v>
      </c>
      <c r="FS12" s="62">
        <v>2402403.02</v>
      </c>
      <c r="FT12" s="62">
        <v>21201257.989999998</v>
      </c>
      <c r="FU12" s="62">
        <v>24401832.57</v>
      </c>
      <c r="FV12" s="62">
        <v>4691004.47</v>
      </c>
      <c r="FW12" s="62">
        <v>6326893.6900000004</v>
      </c>
      <c r="FX12" s="62">
        <v>5478270.2599999998</v>
      </c>
      <c r="FY12" s="62">
        <v>4513120.37</v>
      </c>
      <c r="FZ12" s="62">
        <v>3946291.24</v>
      </c>
      <c r="GA12" s="62">
        <v>2191915.17</v>
      </c>
      <c r="GB12" s="62">
        <v>1030775.31</v>
      </c>
      <c r="GC12" s="62">
        <v>1567852.92</v>
      </c>
      <c r="GD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62"/>
      <c r="HJ12" s="62"/>
      <c r="HK12" s="62"/>
      <c r="HL12" s="62"/>
      <c r="HM12" s="62"/>
      <c r="HN12" s="62"/>
      <c r="HO12" s="62"/>
      <c r="HP12" s="62"/>
      <c r="HQ12" s="62"/>
      <c r="HR12" s="62"/>
      <c r="HS12" s="62"/>
      <c r="HT12" s="62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62"/>
      <c r="IF12" s="62"/>
      <c r="IG12" s="62"/>
      <c r="IH12" s="62"/>
      <c r="II12" s="62"/>
      <c r="IJ12" s="62"/>
      <c r="IK12" s="62"/>
      <c r="IL12" s="62"/>
      <c r="IM12" s="62"/>
      <c r="IN12" s="62"/>
      <c r="IO12" s="62"/>
      <c r="IP12" s="62"/>
      <c r="IQ12" s="62"/>
      <c r="IR12" s="62"/>
      <c r="IS12" s="62"/>
      <c r="IT12" s="62"/>
      <c r="IU12" s="62"/>
      <c r="IV12" s="62"/>
      <c r="IW12" s="62"/>
      <c r="IX12" s="62"/>
      <c r="IY12" s="62"/>
      <c r="IZ12" s="62"/>
      <c r="JA12" s="62"/>
      <c r="JB12" s="62"/>
      <c r="JC12" s="62"/>
      <c r="JD12" s="62"/>
      <c r="JE12" s="62"/>
      <c r="JF12" s="62"/>
      <c r="JG12" s="62"/>
      <c r="JH12" s="62"/>
      <c r="JI12" s="62"/>
      <c r="JJ12" s="62"/>
      <c r="JK12" s="62"/>
      <c r="JL12" s="62"/>
      <c r="JM12" s="62"/>
      <c r="JN12" s="62"/>
      <c r="JO12" s="62"/>
      <c r="JP12" s="62"/>
      <c r="JQ12" s="62"/>
      <c r="JR12" s="62"/>
      <c r="JS12" s="62"/>
      <c r="JT12" s="62"/>
      <c r="JU12" s="62"/>
      <c r="JV12" s="62"/>
      <c r="JW12" s="62"/>
      <c r="JX12" s="62"/>
      <c r="JY12" s="62"/>
      <c r="JZ12" s="62"/>
      <c r="KA12" s="62"/>
      <c r="KB12" s="62"/>
      <c r="KC12" s="62"/>
      <c r="KD12" s="62"/>
      <c r="KE12" s="62"/>
      <c r="KF12" s="62"/>
      <c r="KG12" s="62"/>
      <c r="KH12" s="62"/>
      <c r="KI12" s="62"/>
      <c r="KJ12" s="62"/>
      <c r="KK12" s="62"/>
      <c r="KL12" s="62"/>
      <c r="KM12" s="62"/>
      <c r="KN12" s="62"/>
      <c r="KO12" s="62"/>
      <c r="KP12" s="62"/>
      <c r="KQ12" s="62"/>
      <c r="KR12" s="62"/>
      <c r="KS12" s="62"/>
      <c r="KT12" s="62"/>
      <c r="KU12" s="62"/>
      <c r="KV12" s="62"/>
      <c r="KW12" s="62"/>
      <c r="KX12" s="62"/>
      <c r="KY12" s="62"/>
      <c r="KZ12" s="62"/>
      <c r="LA12" s="62"/>
      <c r="LB12" s="62"/>
      <c r="LC12" s="62"/>
      <c r="LD12" s="62"/>
      <c r="LE12" s="62"/>
      <c r="LF12" s="62"/>
      <c r="LG12" s="62"/>
      <c r="LH12" s="62"/>
      <c r="LI12" s="62"/>
    </row>
    <row r="13" spans="1:321">
      <c r="D13" s="59">
        <v>7113</v>
      </c>
      <c r="E13" s="60" t="s">
        <v>130</v>
      </c>
      <c r="F13" s="67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67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9"/>
      <c r="AP13" s="67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9"/>
      <c r="BB13" s="67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9"/>
      <c r="BN13" s="67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9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7">
        <v>115652.5</v>
      </c>
      <c r="CM13" s="68">
        <v>124226.81</v>
      </c>
      <c r="CN13" s="68">
        <v>132357.70000000001</v>
      </c>
      <c r="CO13" s="68">
        <v>115457.95</v>
      </c>
      <c r="CP13" s="68">
        <v>67705.259999999995</v>
      </c>
      <c r="CQ13" s="68">
        <v>72081.91</v>
      </c>
      <c r="CR13" s="68">
        <v>126831.7</v>
      </c>
      <c r="CS13" s="68">
        <v>162557.79</v>
      </c>
      <c r="CT13" s="68">
        <v>100652.07</v>
      </c>
      <c r="CU13" s="68">
        <v>168549.68</v>
      </c>
      <c r="CV13" s="68">
        <v>113492.53</v>
      </c>
      <c r="CW13" s="69">
        <v>140999.42000000001</v>
      </c>
      <c r="CX13" s="67">
        <v>101912.43</v>
      </c>
      <c r="CY13" s="68">
        <v>108443.93</v>
      </c>
      <c r="CZ13" s="68">
        <v>147063.39000000001</v>
      </c>
      <c r="DA13" s="68">
        <v>141709.28</v>
      </c>
      <c r="DB13" s="68">
        <v>99243.1</v>
      </c>
      <c r="DC13" s="68">
        <v>122243.61</v>
      </c>
      <c r="DD13" s="68">
        <v>137366.94</v>
      </c>
      <c r="DE13" s="68">
        <v>107633.93</v>
      </c>
      <c r="DF13" s="68">
        <v>124234.63</v>
      </c>
      <c r="DG13" s="68">
        <v>120976.32000000001</v>
      </c>
      <c r="DH13" s="68">
        <v>104566.49</v>
      </c>
      <c r="DI13" s="69">
        <v>164005.82999999999</v>
      </c>
      <c r="DJ13" s="67">
        <v>64332.39</v>
      </c>
      <c r="DK13" s="68">
        <v>156323.32</v>
      </c>
      <c r="DL13" s="68">
        <v>109018.21</v>
      </c>
      <c r="DM13" s="68">
        <v>92127.28</v>
      </c>
      <c r="DN13" s="68">
        <v>84167.93</v>
      </c>
      <c r="DO13" s="68">
        <v>129133.9</v>
      </c>
      <c r="DP13" s="68">
        <v>107539.78</v>
      </c>
      <c r="DQ13" s="68">
        <v>98669.24</v>
      </c>
      <c r="DR13" s="68">
        <v>145821.66</v>
      </c>
      <c r="DS13" s="68">
        <v>120068.57</v>
      </c>
      <c r="DT13" s="68">
        <v>133190.98000000001</v>
      </c>
      <c r="DU13" s="69">
        <v>246402.12</v>
      </c>
      <c r="DV13" s="61">
        <v>84789.68</v>
      </c>
      <c r="DW13" s="61">
        <v>116811.6</v>
      </c>
      <c r="DX13" s="61">
        <v>93474.83</v>
      </c>
      <c r="DY13" s="61">
        <v>89942.54</v>
      </c>
      <c r="DZ13" s="61">
        <v>95910.8</v>
      </c>
      <c r="EA13" s="61">
        <v>125863.94</v>
      </c>
      <c r="EB13" s="61">
        <v>87863.37</v>
      </c>
      <c r="EC13" s="79">
        <v>133027.82999999999</v>
      </c>
      <c r="ED13" s="79">
        <v>160261.85</v>
      </c>
      <c r="EE13" s="79">
        <v>102926.91</v>
      </c>
      <c r="EF13" s="79">
        <v>121571.98</v>
      </c>
      <c r="EG13" s="79">
        <v>117604.66</v>
      </c>
      <c r="EH13" s="62">
        <v>58790.3</v>
      </c>
      <c r="EI13" s="62">
        <v>107978.26</v>
      </c>
      <c r="EJ13" s="62">
        <v>88556.13</v>
      </c>
      <c r="EK13" s="62">
        <v>93919.51</v>
      </c>
      <c r="EL13" s="62">
        <v>178761.83</v>
      </c>
      <c r="EM13" s="62">
        <v>96074.04</v>
      </c>
      <c r="EN13" s="62">
        <v>140635.43</v>
      </c>
      <c r="EO13" s="62">
        <v>152546.72</v>
      </c>
      <c r="EP13" s="62">
        <v>115920.43</v>
      </c>
      <c r="EQ13" s="62">
        <v>195735.62</v>
      </c>
      <c r="ER13" s="62">
        <v>165720.76</v>
      </c>
      <c r="ES13" s="62">
        <v>130025.67</v>
      </c>
      <c r="ET13" s="62">
        <v>93380.49</v>
      </c>
      <c r="EU13" s="62">
        <v>116565.53</v>
      </c>
      <c r="EV13" s="62">
        <v>203411.31</v>
      </c>
      <c r="EW13" s="62">
        <v>117398.62</v>
      </c>
      <c r="EX13" s="62">
        <v>143886.48000000001</v>
      </c>
      <c r="EY13" s="62">
        <v>122124.66</v>
      </c>
      <c r="EZ13" s="62">
        <v>114234.91</v>
      </c>
      <c r="FA13" s="62">
        <v>218611.11</v>
      </c>
      <c r="FB13" s="62">
        <v>148315.04999999999</v>
      </c>
      <c r="FC13" s="62">
        <v>155540.06</v>
      </c>
      <c r="FD13" s="62">
        <v>193671.67</v>
      </c>
      <c r="FE13" s="62">
        <v>208954.63</v>
      </c>
      <c r="FF13" s="62">
        <v>118243.45</v>
      </c>
      <c r="FG13" s="62">
        <v>169568.16</v>
      </c>
      <c r="FH13" s="62">
        <v>146352.49</v>
      </c>
      <c r="FI13" s="62">
        <v>204359.36</v>
      </c>
      <c r="FJ13" s="62">
        <v>147510.5</v>
      </c>
      <c r="FK13" s="62">
        <v>158253.64000000001</v>
      </c>
      <c r="FL13" s="62">
        <v>152687.82</v>
      </c>
      <c r="FM13" s="62">
        <v>172408.19</v>
      </c>
      <c r="FN13" s="62">
        <v>131658.57</v>
      </c>
      <c r="FO13" s="62">
        <v>174049.01</v>
      </c>
      <c r="FP13" s="62">
        <v>172799.49</v>
      </c>
      <c r="FQ13" s="62">
        <v>289363.09000000003</v>
      </c>
      <c r="FR13" s="62">
        <v>185009.31</v>
      </c>
      <c r="FS13" s="62">
        <v>168097.86</v>
      </c>
      <c r="FT13" s="62">
        <v>129165.08</v>
      </c>
      <c r="FU13" s="62">
        <v>48149.33</v>
      </c>
      <c r="FV13" s="62">
        <v>95187.63</v>
      </c>
      <c r="FW13" s="62">
        <v>117335.46</v>
      </c>
      <c r="FX13" s="62">
        <v>98676.45</v>
      </c>
      <c r="FY13" s="62">
        <v>114304.56</v>
      </c>
      <c r="FZ13" s="62">
        <v>136583.79</v>
      </c>
      <c r="GA13" s="62">
        <v>204159.6</v>
      </c>
      <c r="GB13" s="62">
        <v>97080.29</v>
      </c>
      <c r="GC13" s="62">
        <v>149701.35999999999</v>
      </c>
      <c r="GD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62"/>
      <c r="HJ13" s="62"/>
      <c r="HK13" s="62"/>
      <c r="HL13" s="62"/>
      <c r="HM13" s="62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  <c r="IO13" s="62"/>
      <c r="IP13" s="62"/>
      <c r="IQ13" s="62"/>
      <c r="IR13" s="62"/>
      <c r="IS13" s="62"/>
      <c r="IT13" s="62"/>
      <c r="IU13" s="62"/>
      <c r="IV13" s="62"/>
      <c r="IW13" s="62"/>
      <c r="IX13" s="62"/>
      <c r="IY13" s="62"/>
      <c r="IZ13" s="62"/>
      <c r="JA13" s="62"/>
      <c r="JB13" s="62"/>
      <c r="JC13" s="62"/>
      <c r="JD13" s="62"/>
      <c r="JE13" s="62"/>
      <c r="JF13" s="62"/>
      <c r="JG13" s="62"/>
      <c r="JH13" s="62"/>
      <c r="JI13" s="62"/>
      <c r="JJ13" s="62"/>
      <c r="JK13" s="62"/>
      <c r="JL13" s="62"/>
      <c r="JM13" s="62"/>
      <c r="JN13" s="62"/>
      <c r="JO13" s="62"/>
      <c r="JP13" s="62"/>
      <c r="JQ13" s="62"/>
      <c r="JR13" s="62"/>
      <c r="JS13" s="62"/>
      <c r="JT13" s="62"/>
      <c r="JU13" s="62"/>
      <c r="JV13" s="62"/>
      <c r="JW13" s="62"/>
      <c r="JX13" s="62"/>
      <c r="JY13" s="62"/>
      <c r="JZ13" s="62"/>
      <c r="KA13" s="62"/>
      <c r="KB13" s="62"/>
      <c r="KC13" s="62"/>
      <c r="KD13" s="62"/>
      <c r="KE13" s="62"/>
      <c r="KF13" s="62"/>
      <c r="KG13" s="62"/>
      <c r="KH13" s="62"/>
      <c r="KI13" s="62"/>
      <c r="KJ13" s="62"/>
      <c r="KK13" s="62"/>
      <c r="KL13" s="62"/>
      <c r="KM13" s="62"/>
      <c r="KN13" s="62"/>
      <c r="KO13" s="62"/>
      <c r="KP13" s="62"/>
      <c r="KQ13" s="62"/>
      <c r="KR13" s="62"/>
      <c r="KS13" s="62"/>
      <c r="KT13" s="62"/>
      <c r="KU13" s="62"/>
      <c r="KV13" s="62"/>
      <c r="KW13" s="62"/>
      <c r="KX13" s="62"/>
      <c r="KY13" s="62"/>
      <c r="KZ13" s="62"/>
      <c r="LA13" s="62"/>
      <c r="LB13" s="62"/>
      <c r="LC13" s="62"/>
      <c r="LD13" s="62"/>
      <c r="LE13" s="62"/>
      <c r="LF13" s="62"/>
      <c r="LG13" s="62"/>
      <c r="LH13" s="62"/>
      <c r="LI13" s="62"/>
    </row>
    <row r="14" spans="1:321">
      <c r="D14" s="59">
        <v>7114</v>
      </c>
      <c r="E14" s="60" t="s">
        <v>131</v>
      </c>
      <c r="F14" s="67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9"/>
      <c r="R14" s="67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67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9"/>
      <c r="AP14" s="67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9"/>
      <c r="BB14" s="67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9"/>
      <c r="BN14" s="67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9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7">
        <v>24859352.079999998</v>
      </c>
      <c r="CM14" s="68">
        <v>24747849.059999999</v>
      </c>
      <c r="CN14" s="68">
        <v>29494568</v>
      </c>
      <c r="CO14" s="68">
        <v>33764031.280000001</v>
      </c>
      <c r="CP14" s="68">
        <v>34164912.100000001</v>
      </c>
      <c r="CQ14" s="68">
        <v>35865076.689999998</v>
      </c>
      <c r="CR14" s="68">
        <v>47181978.859999999</v>
      </c>
      <c r="CS14" s="68">
        <v>47065903.329999998</v>
      </c>
      <c r="CT14" s="68">
        <v>40694228.75</v>
      </c>
      <c r="CU14" s="68">
        <v>37652216.649999999</v>
      </c>
      <c r="CV14" s="68">
        <v>33512039.469999999</v>
      </c>
      <c r="CW14" s="69">
        <v>40192913.060000002</v>
      </c>
      <c r="CX14" s="67">
        <v>32174209.809999999</v>
      </c>
      <c r="CY14" s="68">
        <v>31155049.949999999</v>
      </c>
      <c r="CZ14" s="68">
        <v>34924206.759999998</v>
      </c>
      <c r="DA14" s="68">
        <v>39010711.420000002</v>
      </c>
      <c r="DB14" s="68">
        <v>33083866.59</v>
      </c>
      <c r="DC14" s="68">
        <v>37063129.880000003</v>
      </c>
      <c r="DD14" s="68">
        <v>45610499.039999999</v>
      </c>
      <c r="DE14" s="68">
        <v>49644681.740000002</v>
      </c>
      <c r="DF14" s="68">
        <v>49308851.600000001</v>
      </c>
      <c r="DG14" s="68">
        <v>74541408.469999999</v>
      </c>
      <c r="DH14" s="68">
        <v>33888254.93</v>
      </c>
      <c r="DI14" s="69">
        <v>37184322.609999999</v>
      </c>
      <c r="DJ14" s="67">
        <v>31202700.219999999</v>
      </c>
      <c r="DK14" s="68">
        <v>32500382.550000001</v>
      </c>
      <c r="DL14" s="68">
        <v>29666863.010000002</v>
      </c>
      <c r="DM14" s="68">
        <v>33285867.309999999</v>
      </c>
      <c r="DN14" s="68">
        <v>38310409.780000001</v>
      </c>
      <c r="DO14" s="68">
        <v>44764837.369999997</v>
      </c>
      <c r="DP14" s="68">
        <v>45939444.719999999</v>
      </c>
      <c r="DQ14" s="68">
        <v>45420402.369999997</v>
      </c>
      <c r="DR14" s="68">
        <v>48200089.810000002</v>
      </c>
      <c r="DS14" s="68">
        <v>32697450.309999999</v>
      </c>
      <c r="DT14" s="68">
        <v>34204989.409999996</v>
      </c>
      <c r="DU14" s="69">
        <v>40922044.359999999</v>
      </c>
      <c r="DV14" s="61">
        <v>33402847.57</v>
      </c>
      <c r="DW14" s="61">
        <v>32832195.190000001</v>
      </c>
      <c r="DX14" s="61">
        <v>34901875.719999999</v>
      </c>
      <c r="DY14" s="61">
        <v>36772461.840000004</v>
      </c>
      <c r="DZ14" s="61">
        <v>39500513.950000003</v>
      </c>
      <c r="EA14" s="61">
        <v>44189336.990000002</v>
      </c>
      <c r="EB14" s="61">
        <v>48332253.479999997</v>
      </c>
      <c r="EC14" s="79">
        <v>55987960.810000002</v>
      </c>
      <c r="ED14" s="79">
        <v>46312840.030000001</v>
      </c>
      <c r="EE14" s="79">
        <v>44771417.82</v>
      </c>
      <c r="EF14" s="79">
        <v>40192729.450000003</v>
      </c>
      <c r="EG14" s="79">
        <v>43460100.479999997</v>
      </c>
      <c r="EH14" s="62">
        <v>33352018.879999999</v>
      </c>
      <c r="EI14" s="62">
        <v>26961493.609999999</v>
      </c>
      <c r="EJ14" s="62">
        <v>45891894.880000003</v>
      </c>
      <c r="EK14" s="62">
        <v>39843066.039999999</v>
      </c>
      <c r="EL14" s="62">
        <v>44329065.979999997</v>
      </c>
      <c r="EM14" s="62">
        <v>51058078.640000001</v>
      </c>
      <c r="EN14" s="62">
        <v>51792411.350000001</v>
      </c>
      <c r="EO14" s="62">
        <v>56845360.840000004</v>
      </c>
      <c r="EP14" s="62">
        <v>53436415.75</v>
      </c>
      <c r="EQ14" s="62">
        <v>50058448.369999997</v>
      </c>
      <c r="ER14" s="62">
        <v>44942136.68</v>
      </c>
      <c r="ES14" s="62">
        <v>50200125.439999998</v>
      </c>
      <c r="ET14" s="62">
        <v>40926868.810000002</v>
      </c>
      <c r="EU14" s="62">
        <v>38270122.18</v>
      </c>
      <c r="EV14" s="62">
        <v>40510183.409999996</v>
      </c>
      <c r="EW14" s="62">
        <v>50343037.649999999</v>
      </c>
      <c r="EX14" s="62">
        <v>53847636.579999998</v>
      </c>
      <c r="EY14" s="62">
        <v>52130099.289999999</v>
      </c>
      <c r="EZ14" s="62">
        <v>63886169.009999998</v>
      </c>
      <c r="FA14" s="62">
        <v>64152277.310000002</v>
      </c>
      <c r="FB14" s="62">
        <v>57402321.350000001</v>
      </c>
      <c r="FC14" s="62">
        <v>56740213.189999998</v>
      </c>
      <c r="FD14" s="62">
        <v>47812481.689999998</v>
      </c>
      <c r="FE14" s="62">
        <v>50892268.439999998</v>
      </c>
      <c r="FF14" s="62">
        <v>49847223.18</v>
      </c>
      <c r="FG14" s="62">
        <v>38958365.399999999</v>
      </c>
      <c r="FH14" s="62">
        <v>50498218.18</v>
      </c>
      <c r="FI14" s="62">
        <v>55142838.460000001</v>
      </c>
      <c r="FJ14" s="62">
        <v>56428341.859999999</v>
      </c>
      <c r="FK14" s="62">
        <v>52810087.229999997</v>
      </c>
      <c r="FL14" s="62">
        <v>71626480.939999998</v>
      </c>
      <c r="FM14" s="62">
        <v>71690318.180000007</v>
      </c>
      <c r="FN14" s="62">
        <v>70816309.909999996</v>
      </c>
      <c r="FO14" s="62">
        <v>65908952.759999998</v>
      </c>
      <c r="FP14" s="62">
        <v>54764641.939999998</v>
      </c>
      <c r="FQ14" s="62">
        <v>57237175.490000002</v>
      </c>
      <c r="FR14" s="62">
        <v>47781207.189999998</v>
      </c>
      <c r="FS14" s="62">
        <v>40097544.82</v>
      </c>
      <c r="FT14" s="62">
        <v>54963852.219999999</v>
      </c>
      <c r="FU14" s="62">
        <v>35570662.579999998</v>
      </c>
      <c r="FV14" s="62">
        <v>38250745.619999997</v>
      </c>
      <c r="FW14" s="62">
        <v>42474174.049999997</v>
      </c>
      <c r="FX14" s="62">
        <v>43390988.630000003</v>
      </c>
      <c r="FY14" s="62">
        <v>42329458.939999998</v>
      </c>
      <c r="FZ14" s="62">
        <v>44008916.039999999</v>
      </c>
      <c r="GA14" s="62">
        <v>50214319.770000003</v>
      </c>
      <c r="GB14" s="62">
        <v>43083981.810000002</v>
      </c>
      <c r="GC14" s="62">
        <v>47614560.32</v>
      </c>
      <c r="GD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  <c r="IS14" s="62"/>
      <c r="IT14" s="62"/>
      <c r="IU14" s="62"/>
      <c r="IV14" s="62"/>
      <c r="IW14" s="62"/>
      <c r="IX14" s="62"/>
      <c r="IY14" s="62"/>
      <c r="IZ14" s="62"/>
      <c r="JA14" s="62"/>
      <c r="JB14" s="62"/>
      <c r="JC14" s="62"/>
      <c r="JD14" s="62"/>
      <c r="JE14" s="62"/>
      <c r="JF14" s="62"/>
      <c r="JG14" s="62"/>
      <c r="JH14" s="62"/>
      <c r="JI14" s="62"/>
      <c r="JJ14" s="62"/>
      <c r="JK14" s="62"/>
      <c r="JL14" s="62"/>
      <c r="JM14" s="62"/>
      <c r="JN14" s="62"/>
      <c r="JO14" s="62"/>
      <c r="JP14" s="62"/>
      <c r="JQ14" s="62"/>
      <c r="JR14" s="62"/>
      <c r="JS14" s="62"/>
      <c r="JT14" s="62"/>
      <c r="JU14" s="62"/>
      <c r="JV14" s="62"/>
      <c r="JW14" s="62"/>
      <c r="JX14" s="62"/>
      <c r="JY14" s="62"/>
      <c r="JZ14" s="62"/>
      <c r="KA14" s="62"/>
      <c r="KB14" s="62"/>
      <c r="KC14" s="62"/>
      <c r="KD14" s="62"/>
      <c r="KE14" s="62"/>
      <c r="KF14" s="62"/>
      <c r="KG14" s="62"/>
      <c r="KH14" s="62"/>
      <c r="KI14" s="62"/>
      <c r="KJ14" s="62"/>
      <c r="KK14" s="62"/>
      <c r="KL14" s="62"/>
      <c r="KM14" s="62"/>
      <c r="KN14" s="62"/>
      <c r="KO14" s="62"/>
      <c r="KP14" s="62"/>
      <c r="KQ14" s="62"/>
      <c r="KR14" s="62"/>
      <c r="KS14" s="62"/>
      <c r="KT14" s="62"/>
      <c r="KU14" s="62"/>
      <c r="KV14" s="62"/>
      <c r="KW14" s="62"/>
      <c r="KX14" s="62"/>
      <c r="KY14" s="62"/>
      <c r="KZ14" s="62"/>
      <c r="LA14" s="62"/>
      <c r="LB14" s="62"/>
      <c r="LC14" s="62"/>
      <c r="LD14" s="62"/>
      <c r="LE14" s="62"/>
      <c r="LF14" s="62"/>
      <c r="LG14" s="62"/>
      <c r="LH14" s="62"/>
      <c r="LI14" s="62"/>
    </row>
    <row r="15" spans="1:321">
      <c r="D15" s="59">
        <v>7115</v>
      </c>
      <c r="E15" s="60" t="s">
        <v>132</v>
      </c>
      <c r="F15" s="67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9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67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9"/>
      <c r="AP15" s="67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9"/>
      <c r="BB15" s="67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9"/>
      <c r="BN15" s="67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9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7">
        <v>9255849.1899999902</v>
      </c>
      <c r="CM15" s="68">
        <v>8985711.9700000007</v>
      </c>
      <c r="CN15" s="68">
        <v>10357645.699999999</v>
      </c>
      <c r="CO15" s="68">
        <v>12315837.07</v>
      </c>
      <c r="CP15" s="68">
        <v>12029998.560000001</v>
      </c>
      <c r="CQ15" s="68">
        <v>13029212.49</v>
      </c>
      <c r="CR15" s="68">
        <v>16425719.380000001</v>
      </c>
      <c r="CS15" s="68">
        <v>20976976.140000001</v>
      </c>
      <c r="CT15" s="68">
        <v>17250832.809999999</v>
      </c>
      <c r="CU15" s="68">
        <v>14547164.49</v>
      </c>
      <c r="CV15" s="68">
        <v>13082725.300000001</v>
      </c>
      <c r="CW15" s="69">
        <v>13187797.07</v>
      </c>
      <c r="CX15" s="67">
        <v>9737815.5600000005</v>
      </c>
      <c r="CY15" s="68">
        <v>8372894.3799999999</v>
      </c>
      <c r="CZ15" s="68">
        <v>9529436.2400000002</v>
      </c>
      <c r="DA15" s="68">
        <v>10780925.279999999</v>
      </c>
      <c r="DB15" s="68">
        <v>12293075.98</v>
      </c>
      <c r="DC15" s="68">
        <v>14553419.619999999</v>
      </c>
      <c r="DD15" s="68">
        <v>15754067.460000001</v>
      </c>
      <c r="DE15" s="68">
        <v>19490192.98</v>
      </c>
      <c r="DF15" s="68">
        <v>17281700.260000002</v>
      </c>
      <c r="DG15" s="68">
        <v>13399782.050000001</v>
      </c>
      <c r="DH15" s="68">
        <v>12177293.33</v>
      </c>
      <c r="DI15" s="69">
        <v>13096343.609999999</v>
      </c>
      <c r="DJ15" s="67">
        <v>11276886.99</v>
      </c>
      <c r="DK15" s="68">
        <v>9929984.3499999996</v>
      </c>
      <c r="DL15" s="68">
        <v>10877770.98</v>
      </c>
      <c r="DM15" s="68">
        <v>11002378.41</v>
      </c>
      <c r="DN15" s="68">
        <v>12787560.77</v>
      </c>
      <c r="DO15" s="68">
        <v>14052956.08</v>
      </c>
      <c r="DP15" s="68">
        <v>16782489.129999999</v>
      </c>
      <c r="DQ15" s="68">
        <v>19718089.16</v>
      </c>
      <c r="DR15" s="68">
        <v>17464956.870000001</v>
      </c>
      <c r="DS15" s="68">
        <v>14295919.869999999</v>
      </c>
      <c r="DT15" s="68">
        <v>14228009.039999999</v>
      </c>
      <c r="DU15" s="69">
        <v>17593236.670000002</v>
      </c>
      <c r="DV15" s="61">
        <v>11189049.66</v>
      </c>
      <c r="DW15" s="61">
        <v>10518357.289999999</v>
      </c>
      <c r="DX15" s="61">
        <v>12038089.529999999</v>
      </c>
      <c r="DY15" s="61">
        <v>12679799.32</v>
      </c>
      <c r="DZ15" s="61">
        <v>14146687.77</v>
      </c>
      <c r="EA15" s="61">
        <v>16150649.140000001</v>
      </c>
      <c r="EB15" s="61">
        <v>17832974.68</v>
      </c>
      <c r="EC15" s="79">
        <v>21188493.210000001</v>
      </c>
      <c r="ED15" s="79">
        <v>20370273.57</v>
      </c>
      <c r="EE15" s="79">
        <v>16959705.550000001</v>
      </c>
      <c r="EF15" s="79">
        <v>14552987.24</v>
      </c>
      <c r="EG15" s="79">
        <v>15043855.42</v>
      </c>
      <c r="EH15" s="62">
        <v>13972593.029999999</v>
      </c>
      <c r="EI15" s="62">
        <v>12356371.449999999</v>
      </c>
      <c r="EJ15" s="62">
        <v>14808666.49</v>
      </c>
      <c r="EK15" s="62">
        <v>15647198.060000001</v>
      </c>
      <c r="EL15" s="62">
        <v>17742897.41</v>
      </c>
      <c r="EM15" s="62">
        <v>18687302.640000001</v>
      </c>
      <c r="EN15" s="62">
        <v>20939541.420000002</v>
      </c>
      <c r="EO15" s="62">
        <v>25506175.510000002</v>
      </c>
      <c r="EP15" s="62">
        <v>25706299.34</v>
      </c>
      <c r="EQ15" s="62">
        <v>21225508.199999999</v>
      </c>
      <c r="ER15" s="62">
        <v>18614457.170000002</v>
      </c>
      <c r="ES15" s="62">
        <v>19877899.5</v>
      </c>
      <c r="ET15" s="62">
        <v>13370061.67</v>
      </c>
      <c r="EU15" s="62">
        <v>13585674.48</v>
      </c>
      <c r="EV15" s="62">
        <v>13376493.630000001</v>
      </c>
      <c r="EW15" s="62">
        <v>16425170.310000001</v>
      </c>
      <c r="EX15" s="62">
        <v>19160303.329999998</v>
      </c>
      <c r="EY15" s="62">
        <v>18124078.879999999</v>
      </c>
      <c r="EZ15" s="62">
        <v>21799989.129999999</v>
      </c>
      <c r="FA15" s="62">
        <v>25150486.629999999</v>
      </c>
      <c r="FB15" s="62">
        <v>25504339.800000001</v>
      </c>
      <c r="FC15" s="62">
        <v>18141856.039999999</v>
      </c>
      <c r="FD15" s="62">
        <v>19778303.699999999</v>
      </c>
      <c r="FE15" s="62">
        <v>16761286.810000001</v>
      </c>
      <c r="FF15" s="62">
        <v>15141217.210000001</v>
      </c>
      <c r="FG15" s="62">
        <v>13186126.23</v>
      </c>
      <c r="FH15" s="62">
        <v>13315087.640000001</v>
      </c>
      <c r="FI15" s="62">
        <v>16826313.73</v>
      </c>
      <c r="FJ15" s="62">
        <v>19442485.359999999</v>
      </c>
      <c r="FK15" s="62">
        <v>19205497.870000001</v>
      </c>
      <c r="FL15" s="62">
        <v>24612824.059999999</v>
      </c>
      <c r="FM15" s="62">
        <v>29562766.32</v>
      </c>
      <c r="FN15" s="62">
        <v>27417042.280000001</v>
      </c>
      <c r="FO15" s="62">
        <v>20585777.449999999</v>
      </c>
      <c r="FP15" s="62">
        <v>18663851.199999999</v>
      </c>
      <c r="FQ15" s="62">
        <v>17559308.390000001</v>
      </c>
      <c r="FR15" s="62">
        <v>18070145.100000001</v>
      </c>
      <c r="FS15" s="62">
        <v>14831752.550000001</v>
      </c>
      <c r="FT15" s="62">
        <v>16111610.99</v>
      </c>
      <c r="FU15" s="62">
        <v>14097368.300000001</v>
      </c>
      <c r="FV15" s="62">
        <v>14366315.76</v>
      </c>
      <c r="FW15" s="62">
        <v>17821548.199999999</v>
      </c>
      <c r="FX15" s="62">
        <v>18726969.449999999</v>
      </c>
      <c r="FY15" s="62">
        <v>18817685.98</v>
      </c>
      <c r="FZ15" s="62">
        <v>19832898.530000001</v>
      </c>
      <c r="GA15" s="62">
        <v>17308311.120000001</v>
      </c>
      <c r="GB15" s="62">
        <v>16609981.27</v>
      </c>
      <c r="GC15" s="62">
        <v>18798010.52</v>
      </c>
      <c r="GD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  <c r="IS15" s="62"/>
      <c r="IT15" s="62"/>
      <c r="IU15" s="62"/>
      <c r="IV15" s="62"/>
      <c r="IW15" s="62"/>
      <c r="IX15" s="62"/>
      <c r="IY15" s="62"/>
      <c r="IZ15" s="62"/>
      <c r="JA15" s="62"/>
      <c r="JB15" s="62"/>
      <c r="JC15" s="62"/>
      <c r="JD15" s="62"/>
      <c r="JE15" s="62"/>
      <c r="JF15" s="62"/>
      <c r="JG15" s="62"/>
      <c r="JH15" s="62"/>
      <c r="JI15" s="62"/>
      <c r="JJ15" s="62"/>
      <c r="JK15" s="62"/>
      <c r="JL15" s="62"/>
      <c r="JM15" s="62"/>
      <c r="JN15" s="62"/>
      <c r="JO15" s="62"/>
      <c r="JP15" s="62"/>
      <c r="JQ15" s="62"/>
      <c r="JR15" s="62"/>
      <c r="JS15" s="62"/>
      <c r="JT15" s="62"/>
      <c r="JU15" s="62"/>
      <c r="JV15" s="62"/>
      <c r="JW15" s="62"/>
      <c r="JX15" s="62"/>
      <c r="JY15" s="62"/>
      <c r="JZ15" s="62"/>
      <c r="KA15" s="62"/>
      <c r="KB15" s="62"/>
      <c r="KC15" s="62"/>
      <c r="KD15" s="62"/>
      <c r="KE15" s="62"/>
      <c r="KF15" s="62"/>
      <c r="KG15" s="62"/>
      <c r="KH15" s="62"/>
      <c r="KI15" s="62"/>
      <c r="KJ15" s="62"/>
      <c r="KK15" s="62"/>
      <c r="KL15" s="62"/>
      <c r="KM15" s="62"/>
      <c r="KN15" s="62"/>
      <c r="KO15" s="62"/>
      <c r="KP15" s="62"/>
      <c r="KQ15" s="62"/>
      <c r="KR15" s="62"/>
      <c r="KS15" s="62"/>
      <c r="KT15" s="62"/>
      <c r="KU15" s="62"/>
      <c r="KV15" s="62"/>
      <c r="KW15" s="62"/>
      <c r="KX15" s="62"/>
      <c r="KY15" s="62"/>
      <c r="KZ15" s="62"/>
      <c r="LA15" s="62"/>
      <c r="LB15" s="62"/>
      <c r="LC15" s="62"/>
      <c r="LD15" s="62"/>
      <c r="LE15" s="62"/>
      <c r="LF15" s="62"/>
      <c r="LG15" s="62"/>
      <c r="LH15" s="62"/>
      <c r="LI15" s="62"/>
    </row>
    <row r="16" spans="1:321" ht="30">
      <c r="D16" s="59">
        <v>7116</v>
      </c>
      <c r="E16" s="60" t="s">
        <v>133</v>
      </c>
      <c r="F16" s="67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9"/>
      <c r="R16" s="67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67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9"/>
      <c r="AP16" s="67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9"/>
      <c r="BB16" s="67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9"/>
      <c r="BN16" s="67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9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7">
        <v>1102894.92</v>
      </c>
      <c r="CM16" s="68">
        <v>1314712.1299999999</v>
      </c>
      <c r="CN16" s="68">
        <v>1860387.34</v>
      </c>
      <c r="CO16" s="68">
        <v>2089824.5</v>
      </c>
      <c r="CP16" s="68">
        <v>1988387.88</v>
      </c>
      <c r="CQ16" s="68">
        <v>1996988.03</v>
      </c>
      <c r="CR16" s="68">
        <v>2464457.46</v>
      </c>
      <c r="CS16" s="68">
        <v>2205770.9</v>
      </c>
      <c r="CT16" s="68">
        <v>2039547.65</v>
      </c>
      <c r="CU16" s="68">
        <v>2036206.12</v>
      </c>
      <c r="CV16" s="68">
        <v>1479074.48</v>
      </c>
      <c r="CW16" s="69">
        <v>1691131.23</v>
      </c>
      <c r="CX16" s="67">
        <v>956509.68</v>
      </c>
      <c r="CY16" s="68">
        <v>1301360.32</v>
      </c>
      <c r="CZ16" s="68">
        <v>1639263.5</v>
      </c>
      <c r="DA16" s="68">
        <v>1828424.62</v>
      </c>
      <c r="DB16" s="68">
        <v>1872868.86</v>
      </c>
      <c r="DC16" s="68">
        <v>2141367.04</v>
      </c>
      <c r="DD16" s="68">
        <v>2584330.91</v>
      </c>
      <c r="DE16" s="68">
        <v>2351659.09</v>
      </c>
      <c r="DF16" s="68">
        <v>2203205.1</v>
      </c>
      <c r="DG16" s="68">
        <v>1997978.87</v>
      </c>
      <c r="DH16" s="68">
        <v>1427993.66</v>
      </c>
      <c r="DI16" s="69">
        <v>1965267.81</v>
      </c>
      <c r="DJ16" s="67">
        <v>1071213.92</v>
      </c>
      <c r="DK16" s="68">
        <v>1444482.95</v>
      </c>
      <c r="DL16" s="68">
        <v>2074964.34</v>
      </c>
      <c r="DM16" s="68">
        <v>1815828.53</v>
      </c>
      <c r="DN16" s="68">
        <v>1872861.03</v>
      </c>
      <c r="DO16" s="68">
        <v>1899753.93</v>
      </c>
      <c r="DP16" s="68">
        <v>2390343.21</v>
      </c>
      <c r="DQ16" s="68">
        <v>2290094.37</v>
      </c>
      <c r="DR16" s="68">
        <v>2132226.08</v>
      </c>
      <c r="DS16" s="68">
        <v>2264852.35</v>
      </c>
      <c r="DT16" s="68">
        <v>1654729.28</v>
      </c>
      <c r="DU16" s="69">
        <v>1976131.93</v>
      </c>
      <c r="DV16" s="61">
        <v>1014140.86</v>
      </c>
      <c r="DW16" s="61">
        <v>1540490.17</v>
      </c>
      <c r="DX16" s="61">
        <v>1983786.94</v>
      </c>
      <c r="DY16" s="61">
        <v>2062637.22</v>
      </c>
      <c r="DZ16" s="61">
        <v>2073939.87</v>
      </c>
      <c r="EA16" s="61">
        <v>2201013.2200000002</v>
      </c>
      <c r="EB16" s="61">
        <v>2455559.5</v>
      </c>
      <c r="EC16" s="79">
        <v>2776408.9</v>
      </c>
      <c r="ED16" s="79">
        <v>2378559.9</v>
      </c>
      <c r="EE16" s="79">
        <v>2041655.91</v>
      </c>
      <c r="EF16" s="79">
        <v>1779286.64</v>
      </c>
      <c r="EG16" s="79">
        <v>1976163.59</v>
      </c>
      <c r="EH16" s="62">
        <v>1071292.49</v>
      </c>
      <c r="EI16" s="62">
        <v>1596950.17</v>
      </c>
      <c r="EJ16" s="62">
        <v>2226840.15</v>
      </c>
      <c r="EK16" s="62">
        <v>2007545.03</v>
      </c>
      <c r="EL16" s="62">
        <v>2283048.27</v>
      </c>
      <c r="EM16" s="62">
        <v>2361499.6</v>
      </c>
      <c r="EN16" s="62">
        <v>2521752.11</v>
      </c>
      <c r="EO16" s="62">
        <v>2861682.41</v>
      </c>
      <c r="EP16" s="62">
        <v>2150781.52</v>
      </c>
      <c r="EQ16" s="62">
        <v>2167495.09</v>
      </c>
      <c r="ER16" s="62">
        <v>1890362.65</v>
      </c>
      <c r="ES16" s="62">
        <v>2285551.31</v>
      </c>
      <c r="ET16" s="62">
        <v>1218936.71</v>
      </c>
      <c r="EU16" s="62">
        <v>1678360</v>
      </c>
      <c r="EV16" s="62">
        <v>2228428.98</v>
      </c>
      <c r="EW16" s="62">
        <v>2192466.4500000002</v>
      </c>
      <c r="EX16" s="62">
        <v>2597651.13</v>
      </c>
      <c r="EY16" s="62">
        <v>2330703.23</v>
      </c>
      <c r="EZ16" s="62">
        <v>2801895.93</v>
      </c>
      <c r="FA16" s="62">
        <v>2858882.98</v>
      </c>
      <c r="FB16" s="62">
        <v>2205218.35</v>
      </c>
      <c r="FC16" s="62">
        <v>2570061.1800000002</v>
      </c>
      <c r="FD16" s="62">
        <v>1901910.24</v>
      </c>
      <c r="FE16" s="62">
        <v>2050376.81</v>
      </c>
      <c r="FF16" s="62">
        <v>1424968.68</v>
      </c>
      <c r="FG16" s="62">
        <v>1733788.33</v>
      </c>
      <c r="FH16" s="62">
        <v>2462209.73</v>
      </c>
      <c r="FI16" s="62">
        <v>2531899.16</v>
      </c>
      <c r="FJ16" s="62">
        <v>2502520.2799999998</v>
      </c>
      <c r="FK16" s="62">
        <v>2485583.9700000002</v>
      </c>
      <c r="FL16" s="62">
        <v>3088089.4</v>
      </c>
      <c r="FM16" s="62">
        <v>2788700.72</v>
      </c>
      <c r="FN16" s="62">
        <v>2553125.85</v>
      </c>
      <c r="FO16" s="62">
        <v>2492699.6800000002</v>
      </c>
      <c r="FP16" s="62">
        <v>2023761.96</v>
      </c>
      <c r="FQ16" s="62">
        <v>2439192.98</v>
      </c>
      <c r="FR16" s="62">
        <v>1537206.63</v>
      </c>
      <c r="FS16" s="62">
        <v>1922810.55</v>
      </c>
      <c r="FT16" s="62">
        <v>2363697.87</v>
      </c>
      <c r="FU16" s="62">
        <v>1725304.75</v>
      </c>
      <c r="FV16" s="62">
        <v>1588906.58</v>
      </c>
      <c r="FW16" s="62">
        <v>2074453.34</v>
      </c>
      <c r="FX16" s="62">
        <v>2027124.74</v>
      </c>
      <c r="FY16" s="62">
        <v>1746060.96</v>
      </c>
      <c r="FZ16" s="62">
        <v>1871913.59</v>
      </c>
      <c r="GA16" s="62">
        <v>2059336.2</v>
      </c>
      <c r="GB16" s="62">
        <v>1771129.39</v>
      </c>
      <c r="GC16" s="62">
        <v>1949967.07</v>
      </c>
      <c r="GD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  <c r="IS16" s="62"/>
      <c r="IT16" s="62"/>
      <c r="IU16" s="62"/>
      <c r="IV16" s="62"/>
      <c r="IW16" s="62"/>
      <c r="IX16" s="62"/>
      <c r="IY16" s="62"/>
      <c r="IZ16" s="62"/>
      <c r="JA16" s="62"/>
      <c r="JB16" s="62"/>
      <c r="JC16" s="62"/>
      <c r="JD16" s="62"/>
      <c r="JE16" s="62"/>
      <c r="JF16" s="62"/>
      <c r="JG16" s="62"/>
      <c r="JH16" s="62"/>
      <c r="JI16" s="62"/>
      <c r="JJ16" s="62"/>
      <c r="JK16" s="62"/>
      <c r="JL16" s="62"/>
      <c r="JM16" s="62"/>
      <c r="JN16" s="62"/>
      <c r="JO16" s="62"/>
      <c r="JP16" s="62"/>
      <c r="JQ16" s="62"/>
      <c r="JR16" s="62"/>
      <c r="JS16" s="62"/>
      <c r="JT16" s="62"/>
      <c r="JU16" s="62"/>
      <c r="JV16" s="62"/>
      <c r="JW16" s="62"/>
      <c r="JX16" s="62"/>
      <c r="JY16" s="62"/>
      <c r="JZ16" s="62"/>
      <c r="KA16" s="62"/>
      <c r="KB16" s="62"/>
      <c r="KC16" s="62"/>
      <c r="KD16" s="62"/>
      <c r="KE16" s="62"/>
      <c r="KF16" s="62"/>
      <c r="KG16" s="62"/>
      <c r="KH16" s="62"/>
      <c r="KI16" s="62"/>
      <c r="KJ16" s="62"/>
      <c r="KK16" s="62"/>
      <c r="KL16" s="62"/>
      <c r="KM16" s="62"/>
      <c r="KN16" s="62"/>
      <c r="KO16" s="62"/>
      <c r="KP16" s="62"/>
      <c r="KQ16" s="62"/>
      <c r="KR16" s="62"/>
      <c r="KS16" s="62"/>
      <c r="KT16" s="62"/>
      <c r="KU16" s="62"/>
      <c r="KV16" s="62"/>
      <c r="KW16" s="62"/>
      <c r="KX16" s="62"/>
      <c r="KY16" s="62"/>
      <c r="KZ16" s="62"/>
      <c r="LA16" s="62"/>
      <c r="LB16" s="62"/>
      <c r="LC16" s="62"/>
      <c r="LD16" s="62"/>
      <c r="LE16" s="62"/>
      <c r="LF16" s="62"/>
      <c r="LG16" s="62"/>
      <c r="LH16" s="62"/>
      <c r="LI16" s="62"/>
    </row>
    <row r="17" spans="1:321">
      <c r="D17" s="59">
        <v>7118</v>
      </c>
      <c r="E17" s="60" t="s">
        <v>350</v>
      </c>
      <c r="F17" s="67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9"/>
      <c r="R17" s="67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67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9"/>
      <c r="AP17" s="67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9"/>
      <c r="BB17" s="67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9"/>
      <c r="BN17" s="67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9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7">
        <v>295222.94</v>
      </c>
      <c r="CM17" s="68">
        <v>270164.90999999997</v>
      </c>
      <c r="CN17" s="68">
        <v>351628.71</v>
      </c>
      <c r="CO17" s="68">
        <v>434315.91</v>
      </c>
      <c r="CP17" s="68">
        <v>461704.03</v>
      </c>
      <c r="CQ17" s="68">
        <v>485397.07</v>
      </c>
      <c r="CR17" s="68">
        <v>545196.39</v>
      </c>
      <c r="CS17" s="68">
        <v>493389.22</v>
      </c>
      <c r="CT17" s="68">
        <v>528832.29</v>
      </c>
      <c r="CU17" s="68">
        <v>429830.19</v>
      </c>
      <c r="CV17" s="68">
        <v>402695.85</v>
      </c>
      <c r="CW17" s="69">
        <v>390434.24</v>
      </c>
      <c r="CX17" s="67">
        <v>257844.3</v>
      </c>
      <c r="CY17" s="68">
        <v>330138.67</v>
      </c>
      <c r="CZ17" s="68">
        <v>443171.56</v>
      </c>
      <c r="DA17" s="68">
        <v>507536.21</v>
      </c>
      <c r="DB17" s="68">
        <v>532418.4</v>
      </c>
      <c r="DC17" s="68">
        <v>568768.81999999995</v>
      </c>
      <c r="DD17" s="68">
        <v>587460.77</v>
      </c>
      <c r="DE17" s="68">
        <v>616895.22</v>
      </c>
      <c r="DF17" s="68">
        <v>576626.91</v>
      </c>
      <c r="DG17" s="68">
        <v>561680.22</v>
      </c>
      <c r="DH17" s="68">
        <v>461901.98</v>
      </c>
      <c r="DI17" s="69">
        <v>527177.4</v>
      </c>
      <c r="DJ17" s="67">
        <v>409619.65</v>
      </c>
      <c r="DK17" s="68">
        <v>402295.9</v>
      </c>
      <c r="DL17" s="68">
        <v>437220.69</v>
      </c>
      <c r="DM17" s="68">
        <v>528926.12</v>
      </c>
      <c r="DN17" s="68">
        <v>542376.13</v>
      </c>
      <c r="DO17" s="68">
        <v>577563.38</v>
      </c>
      <c r="DP17" s="68">
        <v>733553.89</v>
      </c>
      <c r="DQ17" s="68">
        <v>721824.68</v>
      </c>
      <c r="DR17" s="68">
        <v>652826.26</v>
      </c>
      <c r="DS17" s="68">
        <v>545196.38</v>
      </c>
      <c r="DT17" s="68">
        <v>614231.27</v>
      </c>
      <c r="DU17" s="69">
        <v>953907.83</v>
      </c>
      <c r="DV17" s="61">
        <v>495325.63</v>
      </c>
      <c r="DW17" s="61">
        <v>526465.79</v>
      </c>
      <c r="DX17" s="61">
        <v>821264.36</v>
      </c>
      <c r="DY17" s="61">
        <v>877433.16</v>
      </c>
      <c r="DZ17" s="61">
        <v>817218.52</v>
      </c>
      <c r="EA17" s="61">
        <v>847400.54</v>
      </c>
      <c r="EB17" s="61">
        <v>803287.62</v>
      </c>
      <c r="EC17" s="79">
        <v>969255.59</v>
      </c>
      <c r="ED17" s="79">
        <v>810579.96</v>
      </c>
      <c r="EE17" s="79">
        <v>765402.12</v>
      </c>
      <c r="EF17" s="79">
        <v>664121.96</v>
      </c>
      <c r="EG17" s="79">
        <v>801639.56</v>
      </c>
      <c r="EH17" s="62">
        <v>569690.59</v>
      </c>
      <c r="EI17" s="62">
        <v>598779.14</v>
      </c>
      <c r="EJ17" s="62">
        <v>802243.94</v>
      </c>
      <c r="EK17" s="62">
        <v>850385.11</v>
      </c>
      <c r="EL17" s="62">
        <v>757543.52</v>
      </c>
      <c r="EM17" s="62">
        <v>866563.33</v>
      </c>
      <c r="EN17" s="62">
        <v>853612.16</v>
      </c>
      <c r="EO17" s="62">
        <v>800165.96</v>
      </c>
      <c r="EP17" s="62">
        <v>790786.2</v>
      </c>
      <c r="EQ17" s="62">
        <v>816467.23</v>
      </c>
      <c r="ER17" s="62">
        <v>703813.25</v>
      </c>
      <c r="ES17" s="62">
        <v>789688.92</v>
      </c>
      <c r="ET17" s="62">
        <v>714376.2</v>
      </c>
      <c r="EU17" s="62">
        <v>607913.56999999995</v>
      </c>
      <c r="EV17" s="62">
        <v>679214.74</v>
      </c>
      <c r="EW17" s="62">
        <v>726283.06</v>
      </c>
      <c r="EX17" s="62">
        <v>742764.21</v>
      </c>
      <c r="EY17" s="62">
        <v>918480.01</v>
      </c>
      <c r="EZ17" s="62">
        <v>862142.09</v>
      </c>
      <c r="FA17" s="62">
        <v>844808.84</v>
      </c>
      <c r="FB17" s="62">
        <v>807995.68</v>
      </c>
      <c r="FC17" s="62">
        <v>779773.24</v>
      </c>
      <c r="FD17" s="62">
        <v>794381.73</v>
      </c>
      <c r="FE17" s="62">
        <v>835497.61</v>
      </c>
      <c r="FF17" s="62">
        <v>720320.96</v>
      </c>
      <c r="FG17" s="62">
        <v>3098848.85</v>
      </c>
      <c r="FH17" s="62">
        <v>777051.66</v>
      </c>
      <c r="FI17" s="62">
        <v>910873.03</v>
      </c>
      <c r="FJ17" s="62">
        <v>858869.92</v>
      </c>
      <c r="FK17" s="62">
        <v>925408.95</v>
      </c>
      <c r="FL17" s="62">
        <v>1005932.01</v>
      </c>
      <c r="FM17" s="62">
        <v>1032698.94</v>
      </c>
      <c r="FN17" s="62">
        <v>1007337.9</v>
      </c>
      <c r="FO17" s="62">
        <v>924594.05</v>
      </c>
      <c r="FP17" s="62">
        <v>976013.74</v>
      </c>
      <c r="FQ17" s="62">
        <v>882757.09</v>
      </c>
      <c r="FR17" s="62">
        <v>755142.26</v>
      </c>
      <c r="FS17" s="62">
        <v>745544.56</v>
      </c>
      <c r="FT17" s="62">
        <v>855856.43</v>
      </c>
      <c r="FU17" s="62">
        <v>718572.64</v>
      </c>
      <c r="FV17" s="62">
        <v>656000.56000000006</v>
      </c>
      <c r="FW17" s="62">
        <v>909774.71</v>
      </c>
      <c r="FX17" s="62">
        <v>919559.74</v>
      </c>
      <c r="FY17" s="62">
        <v>877420.89</v>
      </c>
      <c r="FZ17" s="62">
        <v>929528.57</v>
      </c>
      <c r="GA17" s="62">
        <v>908656.07</v>
      </c>
      <c r="GB17" s="62">
        <v>903826.19</v>
      </c>
      <c r="GC17" s="62">
        <v>802194.02</v>
      </c>
      <c r="GD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  <c r="IS17" s="62"/>
      <c r="IT17" s="62"/>
      <c r="IU17" s="62"/>
      <c r="IV17" s="62"/>
      <c r="IW17" s="62"/>
      <c r="IX17" s="62"/>
      <c r="IY17" s="62"/>
      <c r="IZ17" s="62"/>
      <c r="JA17" s="62"/>
      <c r="JB17" s="62"/>
      <c r="JC17" s="62"/>
      <c r="JD17" s="62"/>
      <c r="JE17" s="62"/>
      <c r="JF17" s="62"/>
      <c r="JG17" s="62"/>
      <c r="JH17" s="62"/>
      <c r="JI17" s="62"/>
      <c r="JJ17" s="62"/>
      <c r="JK17" s="62"/>
      <c r="JL17" s="62"/>
      <c r="JM17" s="62"/>
      <c r="JN17" s="62"/>
      <c r="JO17" s="62"/>
      <c r="JP17" s="62"/>
      <c r="JQ17" s="62"/>
      <c r="JR17" s="62"/>
      <c r="JS17" s="62"/>
      <c r="JT17" s="62"/>
      <c r="JU17" s="62"/>
      <c r="JV17" s="62"/>
      <c r="JW17" s="62"/>
      <c r="JX17" s="62"/>
      <c r="JY17" s="62"/>
      <c r="JZ17" s="62"/>
      <c r="KA17" s="62"/>
      <c r="KB17" s="62"/>
      <c r="KC17" s="62"/>
      <c r="KD17" s="62"/>
      <c r="KE17" s="62"/>
      <c r="KF17" s="62"/>
      <c r="KG17" s="62"/>
      <c r="KH17" s="62"/>
      <c r="KI17" s="62"/>
      <c r="KJ17" s="62"/>
      <c r="KK17" s="62"/>
      <c r="KL17" s="62"/>
      <c r="KM17" s="62"/>
      <c r="KN17" s="62"/>
      <c r="KO17" s="62"/>
      <c r="KP17" s="62"/>
      <c r="KQ17" s="62"/>
      <c r="KR17" s="62"/>
      <c r="KS17" s="62"/>
      <c r="KT17" s="62"/>
      <c r="KU17" s="62"/>
      <c r="KV17" s="62"/>
      <c r="KW17" s="62"/>
      <c r="KX17" s="62"/>
      <c r="KY17" s="62"/>
      <c r="KZ17" s="62"/>
      <c r="LA17" s="62"/>
      <c r="LB17" s="62"/>
      <c r="LC17" s="62"/>
      <c r="LD17" s="62"/>
      <c r="LE17" s="62"/>
      <c r="LF17" s="62"/>
      <c r="LG17" s="62"/>
      <c r="LH17" s="62"/>
      <c r="LI17" s="62"/>
    </row>
    <row r="18" spans="1:321" s="2" customFormat="1">
      <c r="A18" s="71"/>
      <c r="B18" s="71"/>
      <c r="C18" s="71">
        <v>712</v>
      </c>
      <c r="D18" s="71">
        <v>712</v>
      </c>
      <c r="E18" s="72" t="s">
        <v>135</v>
      </c>
      <c r="F18" s="73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5"/>
      <c r="R18" s="73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5"/>
      <c r="AD18" s="73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5"/>
      <c r="AP18" s="73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5"/>
      <c r="BB18" s="73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5"/>
      <c r="BN18" s="73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5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3">
        <v>11682979.65</v>
      </c>
      <c r="CM18" s="74">
        <v>27994298.859999999</v>
      </c>
      <c r="CN18" s="74">
        <v>28945916.93</v>
      </c>
      <c r="CO18" s="74">
        <v>27280628.25</v>
      </c>
      <c r="CP18" s="74">
        <v>28636828.640000001</v>
      </c>
      <c r="CQ18" s="74">
        <v>32181705.780000001</v>
      </c>
      <c r="CR18" s="74">
        <v>33084499.870000001</v>
      </c>
      <c r="CS18" s="74">
        <v>36125435.899999999</v>
      </c>
      <c r="CT18" s="74">
        <v>38355351.649999999</v>
      </c>
      <c r="CU18" s="74">
        <v>43749236.140000001</v>
      </c>
      <c r="CV18" s="74">
        <v>30216321.530000001</v>
      </c>
      <c r="CW18" s="75">
        <v>60241080.990000002</v>
      </c>
      <c r="CX18" s="73">
        <v>17610366.02</v>
      </c>
      <c r="CY18" s="74">
        <v>27692962.629999999</v>
      </c>
      <c r="CZ18" s="74">
        <v>29711005.170000002</v>
      </c>
      <c r="DA18" s="74">
        <v>32199860.620000001</v>
      </c>
      <c r="DB18" s="74">
        <v>36807892.170000002</v>
      </c>
      <c r="DC18" s="74">
        <v>36834320.210000001</v>
      </c>
      <c r="DD18" s="74">
        <v>35671054.020000003</v>
      </c>
      <c r="DE18" s="74">
        <v>35976379.270000003</v>
      </c>
      <c r="DF18" s="74">
        <v>32269308.190000001</v>
      </c>
      <c r="DG18" s="74">
        <v>48759873.82</v>
      </c>
      <c r="DH18" s="74">
        <v>35594183.5</v>
      </c>
      <c r="DI18" s="75">
        <v>75176038.930000007</v>
      </c>
      <c r="DJ18" s="73">
        <v>19334368.370000001</v>
      </c>
      <c r="DK18" s="74">
        <v>29761964.469999999</v>
      </c>
      <c r="DL18" s="74">
        <v>34742689.229999997</v>
      </c>
      <c r="DM18" s="74">
        <v>36027646.539999999</v>
      </c>
      <c r="DN18" s="74">
        <v>31171999</v>
      </c>
      <c r="DO18" s="74">
        <v>36861388.579999998</v>
      </c>
      <c r="DP18" s="74">
        <v>41869300.420000002</v>
      </c>
      <c r="DQ18" s="74">
        <v>38587920.600000001</v>
      </c>
      <c r="DR18" s="74">
        <v>37149241.380000003</v>
      </c>
      <c r="DS18" s="74">
        <v>40193107.020000003</v>
      </c>
      <c r="DT18" s="74">
        <v>27196160.52</v>
      </c>
      <c r="DU18" s="75">
        <v>64393034.539999999</v>
      </c>
      <c r="DV18" s="76">
        <v>13982919.93</v>
      </c>
      <c r="DW18" s="76">
        <v>36106208.009999998</v>
      </c>
      <c r="DX18" s="76">
        <v>40051000.780000001</v>
      </c>
      <c r="DY18" s="76">
        <v>34479540.670000002</v>
      </c>
      <c r="DZ18" s="76">
        <v>35404319.93</v>
      </c>
      <c r="EA18" s="76">
        <v>38326161.630000003</v>
      </c>
      <c r="EB18" s="76">
        <v>34478165.640000001</v>
      </c>
      <c r="EC18" s="77">
        <v>37521101.960000001</v>
      </c>
      <c r="ED18" s="77">
        <v>41215546.950000003</v>
      </c>
      <c r="EE18" s="77">
        <v>36918801.259999998</v>
      </c>
      <c r="EF18" s="77">
        <v>38950936.619999997</v>
      </c>
      <c r="EG18" s="77">
        <v>75450500.909999996</v>
      </c>
      <c r="EH18" s="78">
        <v>15942566.91</v>
      </c>
      <c r="EI18" s="78">
        <v>32105522.039999999</v>
      </c>
      <c r="EJ18" s="78">
        <v>37652066.75</v>
      </c>
      <c r="EK18" s="78">
        <v>35977730.460000001</v>
      </c>
      <c r="EL18" s="78">
        <v>40567246.729999997</v>
      </c>
      <c r="EM18" s="78">
        <v>40389805.469999999</v>
      </c>
      <c r="EN18" s="78">
        <v>44393326.049999997</v>
      </c>
      <c r="EO18" s="78">
        <v>43764113.43</v>
      </c>
      <c r="EP18" s="78">
        <v>39922755.840000004</v>
      </c>
      <c r="EQ18" s="78">
        <v>42882136.189999998</v>
      </c>
      <c r="ER18" s="78">
        <v>43774643.869999997</v>
      </c>
      <c r="ES18" s="78">
        <v>77580718.680000007</v>
      </c>
      <c r="ET18" s="78">
        <v>14572676.99</v>
      </c>
      <c r="EU18" s="78">
        <v>36938118.07</v>
      </c>
      <c r="EV18" s="78">
        <v>43053255.969999999</v>
      </c>
      <c r="EW18" s="78">
        <v>41029948</v>
      </c>
      <c r="EX18" s="78">
        <v>40388291.549999997</v>
      </c>
      <c r="EY18" s="78">
        <v>42077356.240000002</v>
      </c>
      <c r="EZ18" s="78">
        <v>45673467.219999999</v>
      </c>
      <c r="FA18" s="78">
        <v>45633852.549999997</v>
      </c>
      <c r="FB18" s="78">
        <v>41964422.920000002</v>
      </c>
      <c r="FC18" s="78">
        <v>47821348.07</v>
      </c>
      <c r="FD18" s="78">
        <v>44976968.909999996</v>
      </c>
      <c r="FE18" s="78">
        <v>80310407.909999996</v>
      </c>
      <c r="FF18" s="78">
        <v>16498881.48</v>
      </c>
      <c r="FG18" s="78">
        <v>41912269.380000003</v>
      </c>
      <c r="FH18" s="78">
        <v>41047599.18</v>
      </c>
      <c r="FI18" s="78">
        <v>50290988.939999998</v>
      </c>
      <c r="FJ18" s="78">
        <v>37496285.130000003</v>
      </c>
      <c r="FK18" s="78">
        <v>45280786.509999998</v>
      </c>
      <c r="FL18" s="78">
        <v>48662139.439999998</v>
      </c>
      <c r="FM18" s="78">
        <v>45770745.840000004</v>
      </c>
      <c r="FN18" s="78">
        <v>43611346.450000003</v>
      </c>
      <c r="FO18" s="78">
        <v>46487647.670000002</v>
      </c>
      <c r="FP18" s="78">
        <v>44027184.359999999</v>
      </c>
      <c r="FQ18" s="2">
        <v>85179894.560000002</v>
      </c>
      <c r="FR18" s="78">
        <f t="shared" ref="FR18:GC18" si="3">SUM(FR19:FR22)</f>
        <v>15749286.220000001</v>
      </c>
      <c r="FS18" s="78">
        <f t="shared" si="3"/>
        <v>42574769.890000001</v>
      </c>
      <c r="FT18" s="78">
        <f t="shared" si="3"/>
        <v>44888756.57</v>
      </c>
      <c r="FU18" s="78">
        <f t="shared" si="3"/>
        <v>33882602.5</v>
      </c>
      <c r="FV18" s="78">
        <f t="shared" si="3"/>
        <v>40418289.450000003</v>
      </c>
      <c r="FW18" s="78">
        <f t="shared" si="3"/>
        <v>42892419.090000004</v>
      </c>
      <c r="FX18" s="78">
        <f t="shared" si="3"/>
        <v>45009811.700000003</v>
      </c>
      <c r="FY18" s="78">
        <f t="shared" si="3"/>
        <v>51984938.960000001</v>
      </c>
      <c r="FZ18" s="78">
        <f t="shared" si="3"/>
        <v>42439853.439999998</v>
      </c>
      <c r="GA18" s="78">
        <f t="shared" si="3"/>
        <v>46766265.020000003</v>
      </c>
      <c r="GB18" s="78">
        <f t="shared" si="3"/>
        <v>43869251.590000004</v>
      </c>
      <c r="GC18" s="78">
        <f t="shared" si="3"/>
        <v>80544326.959999993</v>
      </c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  <c r="LE18" s="78"/>
      <c r="LF18" s="78"/>
      <c r="LG18" s="78"/>
      <c r="LH18" s="78"/>
      <c r="LI18" s="78"/>
    </row>
    <row r="19" spans="1:321" ht="30">
      <c r="D19" s="59">
        <v>7121</v>
      </c>
      <c r="E19" s="60" t="s">
        <v>136</v>
      </c>
      <c r="F19" s="67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9"/>
      <c r="R19" s="67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67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9"/>
      <c r="AP19" s="67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9"/>
      <c r="BB19" s="67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9"/>
      <c r="BN19" s="67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9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7">
        <v>6569958.79</v>
      </c>
      <c r="CM19" s="68">
        <v>16611196.84</v>
      </c>
      <c r="CN19" s="68">
        <v>17067697.949999999</v>
      </c>
      <c r="CO19" s="68">
        <v>16395294.609999999</v>
      </c>
      <c r="CP19" s="68">
        <v>17202945.739999998</v>
      </c>
      <c r="CQ19" s="68">
        <v>19884670.050000001</v>
      </c>
      <c r="CR19" s="68">
        <v>20554627.07</v>
      </c>
      <c r="CS19" s="68">
        <v>21794241.239999998</v>
      </c>
      <c r="CT19" s="68">
        <v>24404439.25</v>
      </c>
      <c r="CU19" s="68">
        <v>26554882.899999999</v>
      </c>
      <c r="CV19" s="68">
        <v>18167916.66</v>
      </c>
      <c r="CW19" s="69">
        <v>36741484.630000003</v>
      </c>
      <c r="CX19" s="67">
        <v>11471497.619999999</v>
      </c>
      <c r="CY19" s="68">
        <v>17428110.199999999</v>
      </c>
      <c r="CZ19" s="68">
        <v>17730616.32</v>
      </c>
      <c r="DA19" s="68">
        <v>19478759.109999999</v>
      </c>
      <c r="DB19" s="68">
        <v>22230622.68</v>
      </c>
      <c r="DC19" s="68">
        <v>22243647.52</v>
      </c>
      <c r="DD19" s="68">
        <v>21915813.260000002</v>
      </c>
      <c r="DE19" s="68">
        <v>21555700.870000001</v>
      </c>
      <c r="DF19" s="68">
        <v>19594244.739999998</v>
      </c>
      <c r="DG19" s="68">
        <v>29370699.489999998</v>
      </c>
      <c r="DH19" s="68">
        <v>21438880.609999999</v>
      </c>
      <c r="DI19" s="69">
        <v>45661635.619999997</v>
      </c>
      <c r="DJ19" s="67">
        <v>11664478.33</v>
      </c>
      <c r="DK19" s="68">
        <v>17929835.5</v>
      </c>
      <c r="DL19" s="68">
        <v>20966658.350000001</v>
      </c>
      <c r="DM19" s="68">
        <v>21707838.579999998</v>
      </c>
      <c r="DN19" s="68">
        <v>18812433.620000001</v>
      </c>
      <c r="DO19" s="68">
        <v>22230880.829999998</v>
      </c>
      <c r="DP19" s="68">
        <v>25263471.43</v>
      </c>
      <c r="DQ19" s="68">
        <v>23215461.899999999</v>
      </c>
      <c r="DR19" s="68">
        <v>22364190.539999999</v>
      </c>
      <c r="DS19" s="68">
        <v>23824814.609999999</v>
      </c>
      <c r="DT19" s="68">
        <v>16253765.800000001</v>
      </c>
      <c r="DU19" s="69">
        <v>39865409.649999999</v>
      </c>
      <c r="DV19" s="61">
        <v>8441766.75</v>
      </c>
      <c r="DW19" s="61">
        <v>21544837.75</v>
      </c>
      <c r="DX19" s="61">
        <v>24016994.960000001</v>
      </c>
      <c r="DY19" s="61">
        <v>20790455.370000001</v>
      </c>
      <c r="DZ19" s="61">
        <v>21319783.719999999</v>
      </c>
      <c r="EA19" s="61">
        <v>22969090.460000001</v>
      </c>
      <c r="EB19" s="61">
        <v>19655578.5</v>
      </c>
      <c r="EC19" s="79">
        <v>21952510.280000001</v>
      </c>
      <c r="ED19" s="79">
        <v>23706362.129999999</v>
      </c>
      <c r="EE19" s="79">
        <v>21436627.02</v>
      </c>
      <c r="EF19" s="79">
        <v>23973031.350000001</v>
      </c>
      <c r="EG19" s="79">
        <v>43746286.119999997</v>
      </c>
      <c r="EH19" s="62">
        <v>9612063.3000000007</v>
      </c>
      <c r="EI19" s="62">
        <v>19294210.57</v>
      </c>
      <c r="EJ19" s="62">
        <v>22627334.059999999</v>
      </c>
      <c r="EK19" s="62">
        <v>21639290.52</v>
      </c>
      <c r="EL19" s="62">
        <v>24386054.73</v>
      </c>
      <c r="EM19" s="62">
        <v>24310877.91</v>
      </c>
      <c r="EN19" s="62">
        <v>27022741.59</v>
      </c>
      <c r="EO19" s="62">
        <v>26577706.039999999</v>
      </c>
      <c r="EP19" s="62">
        <v>24050825.579999998</v>
      </c>
      <c r="EQ19" s="62">
        <v>25998719</v>
      </c>
      <c r="ER19" s="62">
        <v>29222952.370000001</v>
      </c>
      <c r="ES19" s="62">
        <v>48299287.68</v>
      </c>
      <c r="ET19" s="62">
        <v>8994145.9900000002</v>
      </c>
      <c r="EU19" s="62">
        <v>22424749.280000001</v>
      </c>
      <c r="EV19" s="62">
        <v>26103027.100000001</v>
      </c>
      <c r="EW19" s="62">
        <v>24891690.100000001</v>
      </c>
      <c r="EX19" s="62">
        <v>24475000.460000001</v>
      </c>
      <c r="EY19" s="62">
        <v>25149415.170000002</v>
      </c>
      <c r="EZ19" s="62">
        <v>27081123.02</v>
      </c>
      <c r="FA19" s="62">
        <v>27031179.09</v>
      </c>
      <c r="FB19" s="62">
        <v>25382505.710000001</v>
      </c>
      <c r="FC19" s="62">
        <v>29472537.77</v>
      </c>
      <c r="FD19" s="62">
        <v>27715796.140000001</v>
      </c>
      <c r="FE19" s="62">
        <v>48261788.450000003</v>
      </c>
      <c r="FF19" s="62">
        <v>9695765.5800000001</v>
      </c>
      <c r="FG19" s="62">
        <v>24593790.260000002</v>
      </c>
      <c r="FH19" s="62">
        <v>23923752.719999999</v>
      </c>
      <c r="FI19" s="62">
        <v>29650595.870000001</v>
      </c>
      <c r="FJ19" s="62">
        <v>22104934.850000001</v>
      </c>
      <c r="FK19" s="62">
        <v>27009559.609999999</v>
      </c>
      <c r="FL19" s="62">
        <v>28964205.43</v>
      </c>
      <c r="FM19" s="62">
        <v>27519220.43</v>
      </c>
      <c r="FN19" s="62">
        <v>26730921.559999999</v>
      </c>
      <c r="FO19" s="62">
        <v>28563512.620000001</v>
      </c>
      <c r="FP19" s="62">
        <v>27240325.079999998</v>
      </c>
      <c r="FQ19" s="1">
        <v>53184840.350000001</v>
      </c>
      <c r="FR19" s="62">
        <v>9790363.4800000004</v>
      </c>
      <c r="FS19" s="62">
        <v>26782162.98</v>
      </c>
      <c r="FT19" s="62">
        <v>28314388.120000001</v>
      </c>
      <c r="FU19" s="62">
        <v>21078780.449999999</v>
      </c>
      <c r="FV19" s="62">
        <v>24736473.050000001</v>
      </c>
      <c r="FW19" s="62">
        <v>26475281.460000001</v>
      </c>
      <c r="FX19" s="62">
        <v>27851332.690000001</v>
      </c>
      <c r="FY19" s="62">
        <v>32483401.219999999</v>
      </c>
      <c r="FZ19" s="62">
        <v>26148502.84</v>
      </c>
      <c r="GA19" s="62">
        <v>29441670.030000001</v>
      </c>
      <c r="GB19" s="62">
        <v>27710639.109999999</v>
      </c>
      <c r="GC19" s="62">
        <v>49994308.450000003</v>
      </c>
      <c r="GD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  <c r="IS19" s="62"/>
      <c r="IT19" s="62"/>
      <c r="IU19" s="62"/>
      <c r="IV19" s="62"/>
      <c r="IW19" s="62"/>
      <c r="IX19" s="62"/>
      <c r="IY19" s="62"/>
      <c r="IZ19" s="62"/>
      <c r="JA19" s="62"/>
      <c r="JB19" s="62"/>
      <c r="JC19" s="62"/>
      <c r="JD19" s="62"/>
      <c r="JE19" s="62"/>
      <c r="JF19" s="62"/>
      <c r="JG19" s="62"/>
      <c r="JH19" s="62"/>
      <c r="JI19" s="62"/>
      <c r="JJ19" s="62"/>
      <c r="JK19" s="62"/>
      <c r="JL19" s="62"/>
      <c r="JM19" s="62"/>
      <c r="JN19" s="62"/>
      <c r="JO19" s="62"/>
      <c r="JP19" s="62"/>
      <c r="JQ19" s="62"/>
      <c r="JR19" s="62"/>
      <c r="JS19" s="62"/>
      <c r="JT19" s="62"/>
      <c r="JU19" s="62"/>
      <c r="JV19" s="62"/>
      <c r="JW19" s="62"/>
      <c r="JX19" s="62"/>
      <c r="JY19" s="62"/>
      <c r="JZ19" s="62"/>
      <c r="KA19" s="62"/>
      <c r="KB19" s="62"/>
      <c r="KC19" s="62"/>
      <c r="KD19" s="62"/>
      <c r="KE19" s="62"/>
      <c r="KF19" s="62"/>
      <c r="KG19" s="62"/>
      <c r="KH19" s="62"/>
      <c r="KI19" s="62"/>
      <c r="KJ19" s="62"/>
      <c r="KK19" s="62"/>
      <c r="KL19" s="62"/>
      <c r="KM19" s="62"/>
      <c r="KN19" s="62"/>
      <c r="KO19" s="62"/>
      <c r="KP19" s="62"/>
      <c r="KQ19" s="62"/>
      <c r="KR19" s="62"/>
      <c r="KS19" s="62"/>
      <c r="KT19" s="62"/>
      <c r="KU19" s="62"/>
      <c r="KV19" s="62"/>
      <c r="KW19" s="62"/>
      <c r="KX19" s="62"/>
      <c r="KY19" s="62"/>
      <c r="KZ19" s="62"/>
      <c r="LA19" s="62"/>
      <c r="LB19" s="62"/>
      <c r="LC19" s="62"/>
      <c r="LD19" s="62"/>
      <c r="LE19" s="62"/>
      <c r="LF19" s="62"/>
      <c r="LG19" s="62"/>
      <c r="LH19" s="62"/>
      <c r="LI19" s="62"/>
    </row>
    <row r="20" spans="1:321" ht="30">
      <c r="D20" s="59">
        <v>7122</v>
      </c>
      <c r="E20" s="60" t="s">
        <v>137</v>
      </c>
      <c r="F20" s="67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9"/>
      <c r="R20" s="67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67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9"/>
      <c r="AP20" s="67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9"/>
      <c r="BB20" s="67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9"/>
      <c r="BN20" s="67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9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7">
        <v>4448210.58</v>
      </c>
      <c r="CM20" s="68">
        <v>9815385.6499999892</v>
      </c>
      <c r="CN20" s="68">
        <v>10258473.91</v>
      </c>
      <c r="CO20" s="68">
        <v>9269268.3100000005</v>
      </c>
      <c r="CP20" s="68">
        <v>9910929.3900000006</v>
      </c>
      <c r="CQ20" s="68">
        <v>10350588.92</v>
      </c>
      <c r="CR20" s="68">
        <v>10616032.939999999</v>
      </c>
      <c r="CS20" s="68">
        <v>12357023.08</v>
      </c>
      <c r="CT20" s="68">
        <v>12078523.4</v>
      </c>
      <c r="CU20" s="68">
        <v>14819585.57</v>
      </c>
      <c r="CV20" s="68">
        <v>10483154.24</v>
      </c>
      <c r="CW20" s="69">
        <v>20296721.100000001</v>
      </c>
      <c r="CX20" s="67">
        <v>5448406.1600000001</v>
      </c>
      <c r="CY20" s="68">
        <v>8879083.2599999998</v>
      </c>
      <c r="CZ20" s="68">
        <v>10464094.869999999</v>
      </c>
      <c r="DA20" s="68">
        <v>11013856.119999999</v>
      </c>
      <c r="DB20" s="68">
        <v>12764297.09</v>
      </c>
      <c r="DC20" s="68">
        <v>12628126.41</v>
      </c>
      <c r="DD20" s="68">
        <v>11914884.220000001</v>
      </c>
      <c r="DE20" s="68">
        <v>12465801.640000001</v>
      </c>
      <c r="DF20" s="68">
        <v>10974978.939999999</v>
      </c>
      <c r="DG20" s="68">
        <v>16738445.109999999</v>
      </c>
      <c r="DH20" s="68">
        <v>12242350.449999999</v>
      </c>
      <c r="DI20" s="69">
        <v>25500379.309999999</v>
      </c>
      <c r="DJ20" s="67">
        <v>6634782.3899999997</v>
      </c>
      <c r="DK20" s="68">
        <v>10232820.060000001</v>
      </c>
      <c r="DL20" s="68">
        <v>11914746.48</v>
      </c>
      <c r="DM20" s="68">
        <v>12374414.689999999</v>
      </c>
      <c r="DN20" s="68">
        <v>10681950.84</v>
      </c>
      <c r="DO20" s="68">
        <v>12634484.65</v>
      </c>
      <c r="DP20" s="68">
        <v>14433362.060000001</v>
      </c>
      <c r="DQ20" s="68">
        <v>13329494.460000001</v>
      </c>
      <c r="DR20" s="68">
        <v>12780379.539999999</v>
      </c>
      <c r="DS20" s="68">
        <v>14186939.74</v>
      </c>
      <c r="DT20" s="68">
        <v>9643918.1799999904</v>
      </c>
      <c r="DU20" s="69">
        <v>21462495.260000002</v>
      </c>
      <c r="DV20" s="61">
        <v>4800329.5</v>
      </c>
      <c r="DW20" s="61">
        <v>12579165.039999999</v>
      </c>
      <c r="DX20" s="61">
        <v>13884832.560000001</v>
      </c>
      <c r="DY20" s="61">
        <v>11850165.390000001</v>
      </c>
      <c r="DZ20" s="61">
        <v>12187579.609999999</v>
      </c>
      <c r="EA20" s="61">
        <v>13301393.529999999</v>
      </c>
      <c r="EB20" s="61">
        <v>12829742.73</v>
      </c>
      <c r="EC20" s="79">
        <v>13516680.289999999</v>
      </c>
      <c r="ED20" s="79">
        <v>15235646.779999999</v>
      </c>
      <c r="EE20" s="79">
        <v>13378931.09</v>
      </c>
      <c r="EF20" s="79">
        <v>13016303.880000001</v>
      </c>
      <c r="EG20" s="79">
        <v>27798596.5</v>
      </c>
      <c r="EH20" s="62">
        <v>5487815.8700000001</v>
      </c>
      <c r="EI20" s="62">
        <v>11136277.539999999</v>
      </c>
      <c r="EJ20" s="62">
        <v>13033326.75</v>
      </c>
      <c r="EK20" s="62">
        <v>12438084.859999999</v>
      </c>
      <c r="EL20" s="62">
        <v>14031927.32</v>
      </c>
      <c r="EM20" s="62">
        <v>13948315.880000001</v>
      </c>
      <c r="EN20" s="62">
        <v>15063870.800000001</v>
      </c>
      <c r="EO20" s="62">
        <v>14906718.880000001</v>
      </c>
      <c r="EP20" s="62">
        <v>13781012.470000001</v>
      </c>
      <c r="EQ20" s="62">
        <v>14691858.58</v>
      </c>
      <c r="ER20" s="62">
        <v>13422037.59</v>
      </c>
      <c r="ES20" s="62">
        <v>25459426.109999999</v>
      </c>
      <c r="ET20" s="62">
        <v>4907250.76</v>
      </c>
      <c r="EU20" s="62">
        <v>12702016.77</v>
      </c>
      <c r="EV20" s="62">
        <v>14741947.74</v>
      </c>
      <c r="EW20" s="62">
        <v>14077229.140000001</v>
      </c>
      <c r="EX20" s="62">
        <v>13944751.890000001</v>
      </c>
      <c r="EY20" s="62">
        <v>14898396.42</v>
      </c>
      <c r="EZ20" s="62">
        <v>16253748.59</v>
      </c>
      <c r="FA20" s="62">
        <v>16257992.279999999</v>
      </c>
      <c r="FB20" s="62">
        <v>14479735.869999999</v>
      </c>
      <c r="FC20" s="62">
        <v>16132677.16</v>
      </c>
      <c r="FD20" s="62">
        <v>15297077.039999999</v>
      </c>
      <c r="FE20" s="62">
        <v>28352941.690000001</v>
      </c>
      <c r="FF20" s="62">
        <v>5963049.2000000002</v>
      </c>
      <c r="FG20" s="62">
        <v>15122476.890000001</v>
      </c>
      <c r="FH20" s="62">
        <v>14777265.789999999</v>
      </c>
      <c r="FI20" s="62">
        <v>17925167.550000001</v>
      </c>
      <c r="FJ20" s="62">
        <v>13458982.5</v>
      </c>
      <c r="FK20" s="62">
        <v>15925774.34</v>
      </c>
      <c r="FL20" s="62">
        <v>17203285.449999999</v>
      </c>
      <c r="FM20" s="62">
        <v>15860674.26</v>
      </c>
      <c r="FN20" s="62">
        <v>14501660.91</v>
      </c>
      <c r="FO20" s="62">
        <v>15344312.359999999</v>
      </c>
      <c r="FP20" s="62">
        <v>14381893.27</v>
      </c>
      <c r="FQ20" s="1">
        <v>27283965.91</v>
      </c>
      <c r="FR20" s="62">
        <v>5160073.6100000003</v>
      </c>
      <c r="FS20" s="62">
        <v>13521231.24</v>
      </c>
      <c r="FT20" s="62">
        <v>14020072.800000001</v>
      </c>
      <c r="FU20" s="62">
        <v>10884138.67</v>
      </c>
      <c r="FV20" s="62">
        <v>13478103.310000001</v>
      </c>
      <c r="FW20" s="62">
        <v>14129608.4</v>
      </c>
      <c r="FX20" s="62">
        <v>14709421.550000001</v>
      </c>
      <c r="FY20" s="62">
        <v>16697077.890000001</v>
      </c>
      <c r="FZ20" s="62">
        <v>14002830.41</v>
      </c>
      <c r="GA20" s="62">
        <v>14861911.289999999</v>
      </c>
      <c r="GB20" s="62">
        <v>13825874.189999999</v>
      </c>
      <c r="GC20" s="62">
        <v>26271305.699999999</v>
      </c>
      <c r="GD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62"/>
      <c r="HJ20" s="62"/>
      <c r="HK20" s="62"/>
      <c r="HL20" s="62"/>
      <c r="HM20" s="62"/>
      <c r="HN20" s="62"/>
      <c r="HO20" s="62"/>
      <c r="HP20" s="62"/>
      <c r="HQ20" s="62"/>
      <c r="HR20" s="62"/>
      <c r="HS20" s="62"/>
      <c r="HT20" s="62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  <c r="IO20" s="62"/>
      <c r="IP20" s="62"/>
      <c r="IQ20" s="62"/>
      <c r="IR20" s="62"/>
      <c r="IS20" s="62"/>
      <c r="IT20" s="62"/>
      <c r="IU20" s="62"/>
      <c r="IV20" s="62"/>
      <c r="IW20" s="62"/>
      <c r="IX20" s="62"/>
      <c r="IY20" s="62"/>
      <c r="IZ20" s="62"/>
      <c r="JA20" s="62"/>
      <c r="JB20" s="62"/>
      <c r="JC20" s="62"/>
      <c r="JD20" s="62"/>
      <c r="JE20" s="62"/>
      <c r="JF20" s="62"/>
      <c r="JG20" s="62"/>
      <c r="JH20" s="62"/>
      <c r="JI20" s="62"/>
      <c r="JJ20" s="62"/>
      <c r="JK20" s="62"/>
      <c r="JL20" s="62"/>
      <c r="JM20" s="62"/>
      <c r="JN20" s="62"/>
      <c r="JO20" s="62"/>
      <c r="JP20" s="62"/>
      <c r="JQ20" s="62"/>
      <c r="JR20" s="62"/>
      <c r="JS20" s="62"/>
      <c r="JT20" s="62"/>
      <c r="JU20" s="62"/>
      <c r="JV20" s="62"/>
      <c r="JW20" s="62"/>
      <c r="JX20" s="62"/>
      <c r="JY20" s="62"/>
      <c r="JZ20" s="62"/>
      <c r="KA20" s="62"/>
      <c r="KB20" s="62"/>
      <c r="KC20" s="62"/>
      <c r="KD20" s="62"/>
      <c r="KE20" s="62"/>
      <c r="KF20" s="62"/>
      <c r="KG20" s="62"/>
      <c r="KH20" s="62"/>
      <c r="KI20" s="62"/>
      <c r="KJ20" s="62"/>
      <c r="KK20" s="62"/>
      <c r="KL20" s="62"/>
      <c r="KM20" s="62"/>
      <c r="KN20" s="62"/>
      <c r="KO20" s="62"/>
      <c r="KP20" s="62"/>
      <c r="KQ20" s="62"/>
      <c r="KR20" s="62"/>
      <c r="KS20" s="62"/>
      <c r="KT20" s="62"/>
      <c r="KU20" s="62"/>
      <c r="KV20" s="62"/>
      <c r="KW20" s="62"/>
      <c r="KX20" s="62"/>
      <c r="KY20" s="62"/>
      <c r="KZ20" s="62"/>
      <c r="LA20" s="62"/>
      <c r="LB20" s="62"/>
      <c r="LC20" s="62"/>
      <c r="LD20" s="62"/>
      <c r="LE20" s="62"/>
      <c r="LF20" s="62"/>
      <c r="LG20" s="62"/>
      <c r="LH20" s="62"/>
      <c r="LI20" s="62"/>
    </row>
    <row r="21" spans="1:321" ht="30">
      <c r="D21" s="59">
        <v>7123</v>
      </c>
      <c r="E21" s="60" t="s">
        <v>138</v>
      </c>
      <c r="F21" s="67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9"/>
      <c r="R21" s="67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67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9"/>
      <c r="AP21" s="67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9"/>
      <c r="BB21" s="67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9"/>
      <c r="BN21" s="67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9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7">
        <v>320175.14</v>
      </c>
      <c r="CM21" s="68">
        <v>855409.48</v>
      </c>
      <c r="CN21" s="68">
        <v>794755.32</v>
      </c>
      <c r="CO21" s="68">
        <v>736973.07</v>
      </c>
      <c r="CP21" s="68">
        <v>797748.44</v>
      </c>
      <c r="CQ21" s="68">
        <v>812695.59</v>
      </c>
      <c r="CR21" s="68">
        <v>832467.98</v>
      </c>
      <c r="CS21" s="68">
        <v>972876.83</v>
      </c>
      <c r="CT21" s="68">
        <v>974818.93</v>
      </c>
      <c r="CU21" s="68">
        <v>1188966.42</v>
      </c>
      <c r="CV21" s="68">
        <v>830457.98</v>
      </c>
      <c r="CW21" s="69">
        <v>1652845.01</v>
      </c>
      <c r="CX21" s="67">
        <v>423773.65</v>
      </c>
      <c r="CY21" s="68">
        <v>737969.6</v>
      </c>
      <c r="CZ21" s="68">
        <v>824174.47</v>
      </c>
      <c r="DA21" s="68">
        <v>896402.02</v>
      </c>
      <c r="DB21" s="68">
        <v>1004316.56</v>
      </c>
      <c r="DC21" s="68">
        <v>1020288.9</v>
      </c>
      <c r="DD21" s="68">
        <v>956259.22</v>
      </c>
      <c r="DE21" s="68">
        <v>1012670.5</v>
      </c>
      <c r="DF21" s="68">
        <v>892387.44</v>
      </c>
      <c r="DG21" s="68">
        <v>1351827.03</v>
      </c>
      <c r="DH21" s="68">
        <v>989045.49</v>
      </c>
      <c r="DI21" s="69">
        <v>2051002.51</v>
      </c>
      <c r="DJ21" s="67">
        <v>533032.30000000005</v>
      </c>
      <c r="DK21" s="68">
        <v>825014.53</v>
      </c>
      <c r="DL21" s="68">
        <v>963008.57</v>
      </c>
      <c r="DM21" s="68">
        <v>1000044.44</v>
      </c>
      <c r="DN21" s="68">
        <v>865659.34</v>
      </c>
      <c r="DO21" s="68">
        <v>1020289.01</v>
      </c>
      <c r="DP21" s="68">
        <v>1165990.06</v>
      </c>
      <c r="DQ21" s="68">
        <v>1073369.51</v>
      </c>
      <c r="DR21" s="68">
        <v>1037271.42</v>
      </c>
      <c r="DS21" s="68">
        <v>1099016.68</v>
      </c>
      <c r="DT21" s="68">
        <v>732084.05</v>
      </c>
      <c r="DU21" s="69">
        <v>1799716.61</v>
      </c>
      <c r="DV21" s="61">
        <v>384995.73</v>
      </c>
      <c r="DW21" s="61">
        <v>1030024.78</v>
      </c>
      <c r="DX21" s="61">
        <v>1115430.03</v>
      </c>
      <c r="DY21" s="61">
        <v>954928.12</v>
      </c>
      <c r="DZ21" s="61">
        <v>981014.58</v>
      </c>
      <c r="EA21" s="61">
        <v>1069704.96</v>
      </c>
      <c r="EB21" s="61">
        <v>1058680.3600000001</v>
      </c>
      <c r="EC21" s="79">
        <v>1052281.6200000001</v>
      </c>
      <c r="ED21" s="79">
        <v>1262370.55</v>
      </c>
      <c r="EE21" s="79">
        <v>981510.79</v>
      </c>
      <c r="EF21" s="79">
        <v>984483.18</v>
      </c>
      <c r="EG21" s="79">
        <v>2114486.02</v>
      </c>
      <c r="EH21" s="62">
        <v>436423.06</v>
      </c>
      <c r="EI21" s="62">
        <v>884778.14</v>
      </c>
      <c r="EJ21" s="62">
        <v>1037531.02</v>
      </c>
      <c r="EK21" s="62">
        <v>991786.18</v>
      </c>
      <c r="EL21" s="62">
        <v>1119552.6000000001</v>
      </c>
      <c r="EM21" s="62">
        <v>1110270.08</v>
      </c>
      <c r="EN21" s="62">
        <v>1208802.52</v>
      </c>
      <c r="EO21" s="62">
        <v>1182973.0900000001</v>
      </c>
      <c r="EP21" s="62">
        <v>1093203.53</v>
      </c>
      <c r="EQ21" s="62">
        <v>1140055.95</v>
      </c>
      <c r="ER21" s="62">
        <v>576427.41</v>
      </c>
      <c r="ES21" s="62">
        <v>1813540.61</v>
      </c>
      <c r="ET21" s="62">
        <v>365962.97</v>
      </c>
      <c r="EU21" s="62">
        <v>960588.74</v>
      </c>
      <c r="EV21" s="62">
        <v>1116426.95</v>
      </c>
      <c r="EW21" s="62">
        <v>1036934.31</v>
      </c>
      <c r="EX21" s="62">
        <v>1027117.44</v>
      </c>
      <c r="EY21" s="62">
        <v>1092483.07</v>
      </c>
      <c r="EZ21" s="62">
        <v>1188738.43</v>
      </c>
      <c r="FA21" s="62">
        <v>1194470.45</v>
      </c>
      <c r="FB21" s="62">
        <v>1084116.54</v>
      </c>
      <c r="FC21" s="62">
        <v>1217359.6499999999</v>
      </c>
      <c r="FD21" s="62">
        <v>1157240.48</v>
      </c>
      <c r="FE21" s="62">
        <v>2149158.34</v>
      </c>
      <c r="FF21" s="62">
        <v>459881.42</v>
      </c>
      <c r="FG21" s="62">
        <v>1160315.8500000001</v>
      </c>
      <c r="FH21" s="62">
        <v>1135767.8899999999</v>
      </c>
      <c r="FI21" s="62">
        <v>1375720.59</v>
      </c>
      <c r="FJ21" s="62">
        <v>1026106.03</v>
      </c>
      <c r="FK21" s="62">
        <v>1222753.49</v>
      </c>
      <c r="FL21" s="62">
        <v>1316999.83</v>
      </c>
      <c r="FM21" s="62">
        <v>1256512.28</v>
      </c>
      <c r="FN21" s="62">
        <v>1242677.57</v>
      </c>
      <c r="FO21" s="62">
        <v>1311319.78</v>
      </c>
      <c r="FP21" s="62">
        <v>1232927.92</v>
      </c>
      <c r="FQ21" s="1">
        <v>2381170.7999999998</v>
      </c>
      <c r="FR21" s="62">
        <v>455742.13</v>
      </c>
      <c r="FS21" s="62">
        <v>1236727.53</v>
      </c>
      <c r="FT21" s="62">
        <v>1425690.07</v>
      </c>
      <c r="FU21" s="62">
        <v>1042509.86</v>
      </c>
      <c r="FV21" s="62">
        <v>1190738.6299999999</v>
      </c>
      <c r="FW21" s="62">
        <v>1233975.8400000001</v>
      </c>
      <c r="FX21" s="62">
        <v>1318558.31</v>
      </c>
      <c r="FY21" s="62">
        <v>1488807.39</v>
      </c>
      <c r="FZ21" s="62">
        <v>1223746.3700000001</v>
      </c>
      <c r="GA21" s="62">
        <v>1260451.97</v>
      </c>
      <c r="GB21" s="62">
        <v>1219234.01</v>
      </c>
      <c r="GC21" s="62">
        <v>2323446.4500000002</v>
      </c>
      <c r="GD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  <c r="II21" s="62"/>
      <c r="IJ21" s="62"/>
      <c r="IK21" s="62"/>
      <c r="IL21" s="62"/>
      <c r="IM21" s="62"/>
      <c r="IN21" s="62"/>
      <c r="IO21" s="62"/>
      <c r="IP21" s="62"/>
      <c r="IQ21" s="62"/>
      <c r="IR21" s="62"/>
      <c r="IS21" s="62"/>
      <c r="IT21" s="62"/>
      <c r="IU21" s="62"/>
      <c r="IV21" s="62"/>
      <c r="IW21" s="62"/>
      <c r="IX21" s="62"/>
      <c r="IY21" s="62"/>
      <c r="IZ21" s="62"/>
      <c r="JA21" s="62"/>
      <c r="JB21" s="62"/>
      <c r="JC21" s="62"/>
      <c r="JD21" s="62"/>
      <c r="JE21" s="62"/>
      <c r="JF21" s="62"/>
      <c r="JG21" s="62"/>
      <c r="JH21" s="62"/>
      <c r="JI21" s="62"/>
      <c r="JJ21" s="62"/>
      <c r="JK21" s="62"/>
      <c r="JL21" s="62"/>
      <c r="JM21" s="62"/>
      <c r="JN21" s="62"/>
      <c r="JO21" s="62"/>
      <c r="JP21" s="62"/>
      <c r="JQ21" s="62"/>
      <c r="JR21" s="62"/>
      <c r="JS21" s="62"/>
      <c r="JT21" s="62"/>
      <c r="JU21" s="62"/>
      <c r="JV21" s="62"/>
      <c r="JW21" s="62"/>
      <c r="JX21" s="62"/>
      <c r="JY21" s="62"/>
      <c r="JZ21" s="62"/>
      <c r="KA21" s="62"/>
      <c r="KB21" s="62"/>
      <c r="KC21" s="62"/>
      <c r="KD21" s="62"/>
      <c r="KE21" s="62"/>
      <c r="KF21" s="62"/>
      <c r="KG21" s="62"/>
      <c r="KH21" s="62"/>
      <c r="KI21" s="62"/>
      <c r="KJ21" s="62"/>
      <c r="KK21" s="62"/>
      <c r="KL21" s="62"/>
      <c r="KM21" s="62"/>
      <c r="KN21" s="62"/>
      <c r="KO21" s="62"/>
      <c r="KP21" s="62"/>
      <c r="KQ21" s="62"/>
      <c r="KR21" s="62"/>
      <c r="KS21" s="62"/>
      <c r="KT21" s="62"/>
      <c r="KU21" s="62"/>
      <c r="KV21" s="62"/>
      <c r="KW21" s="62"/>
      <c r="KX21" s="62"/>
      <c r="KY21" s="62"/>
      <c r="KZ21" s="62"/>
      <c r="LA21" s="62"/>
      <c r="LB21" s="62"/>
      <c r="LC21" s="62"/>
      <c r="LD21" s="62"/>
      <c r="LE21" s="62"/>
      <c r="LF21" s="62"/>
      <c r="LG21" s="62"/>
      <c r="LH21" s="62"/>
      <c r="LI21" s="62"/>
    </row>
    <row r="22" spans="1:321">
      <c r="D22" s="59">
        <v>7124</v>
      </c>
      <c r="E22" s="60" t="s">
        <v>139</v>
      </c>
      <c r="F22" s="67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  <c r="R22" s="67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67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9"/>
      <c r="AP22" s="67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9"/>
      <c r="BB22" s="67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9"/>
      <c r="BN22" s="67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9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7">
        <v>344635.14</v>
      </c>
      <c r="CM22" s="68">
        <v>712306.89</v>
      </c>
      <c r="CN22" s="68">
        <v>824989.75</v>
      </c>
      <c r="CO22" s="68">
        <v>879092.26</v>
      </c>
      <c r="CP22" s="68">
        <v>725205.07</v>
      </c>
      <c r="CQ22" s="68">
        <v>1133751.22</v>
      </c>
      <c r="CR22" s="68">
        <v>1081371.8799999999</v>
      </c>
      <c r="CS22" s="68">
        <v>1001294.75</v>
      </c>
      <c r="CT22" s="68">
        <v>897570.06999999902</v>
      </c>
      <c r="CU22" s="68">
        <v>1185801.25</v>
      </c>
      <c r="CV22" s="68">
        <v>734792.65</v>
      </c>
      <c r="CW22" s="69">
        <v>1550030.25</v>
      </c>
      <c r="CX22" s="67">
        <v>266688.59000000003</v>
      </c>
      <c r="CY22" s="68">
        <v>647799.56999999995</v>
      </c>
      <c r="CZ22" s="68">
        <v>692119.51</v>
      </c>
      <c r="DA22" s="68">
        <v>810843.37</v>
      </c>
      <c r="DB22" s="68">
        <v>808655.84</v>
      </c>
      <c r="DC22" s="68">
        <v>942257.38</v>
      </c>
      <c r="DD22" s="68">
        <v>884097.32</v>
      </c>
      <c r="DE22" s="68">
        <v>942206.26</v>
      </c>
      <c r="DF22" s="68">
        <v>807697.07</v>
      </c>
      <c r="DG22" s="68">
        <v>1298902.19</v>
      </c>
      <c r="DH22" s="68">
        <v>923906.95</v>
      </c>
      <c r="DI22" s="69">
        <v>1963021.49</v>
      </c>
      <c r="DJ22" s="67">
        <v>502075.35</v>
      </c>
      <c r="DK22" s="68">
        <v>774294.38</v>
      </c>
      <c r="DL22" s="68">
        <v>898275.83</v>
      </c>
      <c r="DM22" s="68">
        <v>945348.83</v>
      </c>
      <c r="DN22" s="68">
        <v>811955.19999999995</v>
      </c>
      <c r="DO22" s="68">
        <v>975734.09</v>
      </c>
      <c r="DP22" s="68">
        <v>1006476.87</v>
      </c>
      <c r="DQ22" s="68">
        <v>969594.73</v>
      </c>
      <c r="DR22" s="68">
        <v>967399.88</v>
      </c>
      <c r="DS22" s="68">
        <v>1082335.99</v>
      </c>
      <c r="DT22" s="68">
        <v>566392.49</v>
      </c>
      <c r="DU22" s="69">
        <v>1265413.02</v>
      </c>
      <c r="DV22" s="61">
        <v>355827.95</v>
      </c>
      <c r="DW22" s="61">
        <v>952180.44</v>
      </c>
      <c r="DX22" s="61">
        <v>1033743.23</v>
      </c>
      <c r="DY22" s="61">
        <v>883991.79</v>
      </c>
      <c r="DZ22" s="61">
        <v>915942.02</v>
      </c>
      <c r="EA22" s="61">
        <v>985972.68</v>
      </c>
      <c r="EB22" s="61">
        <v>934164.05</v>
      </c>
      <c r="EC22" s="79">
        <v>999629.77</v>
      </c>
      <c r="ED22" s="79">
        <v>1011167.49</v>
      </c>
      <c r="EE22" s="79">
        <v>1121732.3600000001</v>
      </c>
      <c r="EF22" s="79">
        <v>977118.21</v>
      </c>
      <c r="EG22" s="79">
        <v>1791132.27</v>
      </c>
      <c r="EH22" s="62">
        <v>406264.68</v>
      </c>
      <c r="EI22" s="62">
        <v>790255.79</v>
      </c>
      <c r="EJ22" s="62">
        <v>953874.92</v>
      </c>
      <c r="EK22" s="62">
        <v>908568.9</v>
      </c>
      <c r="EL22" s="62">
        <v>1029712.08</v>
      </c>
      <c r="EM22" s="62">
        <v>1020341.6</v>
      </c>
      <c r="EN22" s="62">
        <v>1097911.1399999999</v>
      </c>
      <c r="EO22" s="62">
        <v>1096715.42</v>
      </c>
      <c r="EP22" s="62">
        <v>997714.26</v>
      </c>
      <c r="EQ22" s="62">
        <v>1051502.6599999999</v>
      </c>
      <c r="ER22" s="62">
        <v>553226.5</v>
      </c>
      <c r="ES22" s="62">
        <v>2008464.28</v>
      </c>
      <c r="ET22" s="62">
        <v>305317.27</v>
      </c>
      <c r="EU22" s="62">
        <v>850763.28</v>
      </c>
      <c r="EV22" s="62">
        <v>1091854.18</v>
      </c>
      <c r="EW22" s="62">
        <v>1024094.45</v>
      </c>
      <c r="EX22" s="62">
        <v>941421.76</v>
      </c>
      <c r="EY22" s="62">
        <v>937061.58</v>
      </c>
      <c r="EZ22" s="62">
        <v>1149857.18</v>
      </c>
      <c r="FA22" s="62">
        <v>1150210.73</v>
      </c>
      <c r="FB22" s="62">
        <v>1018064.8</v>
      </c>
      <c r="FC22" s="62">
        <v>998773.49</v>
      </c>
      <c r="FD22" s="62">
        <v>806855.25</v>
      </c>
      <c r="FE22" s="62">
        <v>1546519.43</v>
      </c>
      <c r="FF22" s="62">
        <v>380185.28</v>
      </c>
      <c r="FG22" s="62">
        <v>1035686.38</v>
      </c>
      <c r="FH22" s="62">
        <v>1210812.78</v>
      </c>
      <c r="FI22" s="62">
        <v>1339504.93</v>
      </c>
      <c r="FJ22" s="62">
        <v>906261.75</v>
      </c>
      <c r="FK22" s="62">
        <v>1122699.07</v>
      </c>
      <c r="FL22" s="62">
        <v>1177648.73</v>
      </c>
      <c r="FM22" s="62">
        <v>1134338.8700000001</v>
      </c>
      <c r="FN22" s="62">
        <v>1136086.4099999999</v>
      </c>
      <c r="FO22" s="62">
        <v>1268502.9099999999</v>
      </c>
      <c r="FP22" s="62">
        <v>1172038.0900000001</v>
      </c>
      <c r="FQ22" s="1">
        <v>2329917.5</v>
      </c>
      <c r="FR22" s="62">
        <v>343107</v>
      </c>
      <c r="FS22" s="62">
        <v>1034648.14</v>
      </c>
      <c r="FT22" s="62">
        <v>1128605.58</v>
      </c>
      <c r="FU22" s="62">
        <v>877173.52</v>
      </c>
      <c r="FV22" s="62">
        <v>1012974.46</v>
      </c>
      <c r="FW22" s="62">
        <v>1053553.3899999999</v>
      </c>
      <c r="FX22" s="62">
        <v>1130499.1499999999</v>
      </c>
      <c r="FY22" s="62">
        <v>1315652.46</v>
      </c>
      <c r="FZ22" s="62">
        <v>1064773.82</v>
      </c>
      <c r="GA22" s="62">
        <v>1202231.73</v>
      </c>
      <c r="GB22" s="62">
        <v>1113504.28</v>
      </c>
      <c r="GC22" s="62">
        <v>1955266.36</v>
      </c>
      <c r="GD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62"/>
      <c r="HJ22" s="62"/>
      <c r="HK22" s="62"/>
      <c r="HL22" s="62"/>
      <c r="HM22" s="62"/>
      <c r="HN22" s="62"/>
      <c r="HO22" s="62"/>
      <c r="HP22" s="62"/>
      <c r="HQ22" s="62"/>
      <c r="HR22" s="62"/>
      <c r="HS22" s="62"/>
      <c r="HT22" s="62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62"/>
      <c r="IF22" s="62"/>
      <c r="IG22" s="62"/>
      <c r="IH22" s="62"/>
      <c r="II22" s="62"/>
      <c r="IJ22" s="62"/>
      <c r="IK22" s="62"/>
      <c r="IL22" s="62"/>
      <c r="IM22" s="62"/>
      <c r="IN22" s="62"/>
      <c r="IO22" s="62"/>
      <c r="IP22" s="62"/>
      <c r="IQ22" s="62"/>
      <c r="IR22" s="62"/>
      <c r="IS22" s="62"/>
      <c r="IT22" s="62"/>
      <c r="IU22" s="62"/>
      <c r="IV22" s="62"/>
      <c r="IW22" s="62"/>
      <c r="IX22" s="62"/>
      <c r="IY22" s="62"/>
      <c r="IZ22" s="62"/>
      <c r="JA22" s="62"/>
      <c r="JB22" s="62"/>
      <c r="JC22" s="62"/>
      <c r="JD22" s="62"/>
      <c r="JE22" s="62"/>
      <c r="JF22" s="62"/>
      <c r="JG22" s="62"/>
      <c r="JH22" s="62"/>
      <c r="JI22" s="62"/>
      <c r="JJ22" s="62"/>
      <c r="JK22" s="62"/>
      <c r="JL22" s="62"/>
      <c r="JM22" s="62"/>
      <c r="JN22" s="62"/>
      <c r="JO22" s="62"/>
      <c r="JP22" s="62"/>
      <c r="JQ22" s="62"/>
      <c r="JR22" s="62"/>
      <c r="JS22" s="62"/>
      <c r="JT22" s="62"/>
      <c r="JU22" s="62"/>
      <c r="JV22" s="62"/>
      <c r="JW22" s="62"/>
      <c r="JX22" s="62"/>
      <c r="JY22" s="62"/>
      <c r="JZ22" s="62"/>
      <c r="KA22" s="62"/>
      <c r="KB22" s="62"/>
      <c r="KC22" s="62"/>
      <c r="KD22" s="62"/>
      <c r="KE22" s="62"/>
      <c r="KF22" s="62"/>
      <c r="KG22" s="62"/>
      <c r="KH22" s="62"/>
      <c r="KI22" s="62"/>
      <c r="KJ22" s="62"/>
      <c r="KK22" s="62"/>
      <c r="KL22" s="62"/>
      <c r="KM22" s="62"/>
      <c r="KN22" s="62"/>
      <c r="KO22" s="62"/>
      <c r="KP22" s="62"/>
      <c r="KQ22" s="62"/>
      <c r="KR22" s="62"/>
      <c r="KS22" s="62"/>
      <c r="KT22" s="62"/>
      <c r="KU22" s="62"/>
      <c r="KV22" s="62"/>
      <c r="KW22" s="62"/>
      <c r="KX22" s="62"/>
      <c r="KY22" s="62"/>
      <c r="KZ22" s="62"/>
      <c r="LA22" s="62"/>
      <c r="LB22" s="62"/>
      <c r="LC22" s="62"/>
      <c r="LD22" s="62"/>
      <c r="LE22" s="62"/>
      <c r="LF22" s="62"/>
      <c r="LG22" s="62"/>
      <c r="LH22" s="62"/>
      <c r="LI22" s="62"/>
    </row>
    <row r="23" spans="1:321" s="2" customFormat="1">
      <c r="A23" s="71"/>
      <c r="B23" s="71"/>
      <c r="C23" s="71">
        <v>713</v>
      </c>
      <c r="D23" s="71">
        <v>713</v>
      </c>
      <c r="E23" s="72" t="s">
        <v>140</v>
      </c>
      <c r="F23" s="73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5"/>
      <c r="R23" s="73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5"/>
      <c r="AD23" s="73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5"/>
      <c r="AP23" s="73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5"/>
      <c r="BB23" s="73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5"/>
      <c r="BN23" s="73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5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3">
        <v>1080928.04</v>
      </c>
      <c r="CM23" s="74">
        <v>1829225.49</v>
      </c>
      <c r="CN23" s="74">
        <v>2131564.3199999998</v>
      </c>
      <c r="CO23" s="74">
        <v>2230267.9300000002</v>
      </c>
      <c r="CP23" s="74">
        <v>2071940.67</v>
      </c>
      <c r="CQ23" s="74">
        <v>2056189.4</v>
      </c>
      <c r="CR23" s="74">
        <v>2845514.48</v>
      </c>
      <c r="CS23" s="74">
        <v>2292067.08</v>
      </c>
      <c r="CT23" s="74">
        <v>1734506.45</v>
      </c>
      <c r="CU23" s="74">
        <v>2895854.5</v>
      </c>
      <c r="CV23" s="74">
        <v>2729149.32</v>
      </c>
      <c r="CW23" s="75">
        <v>3282224.97</v>
      </c>
      <c r="CX23" s="73">
        <f t="shared" ref="CX23:DI23" si="4">+SUM(CX24:CX27)</f>
        <v>987210.26</v>
      </c>
      <c r="CY23" s="74">
        <f t="shared" si="4"/>
        <v>2559133.91</v>
      </c>
      <c r="CZ23" s="74">
        <f t="shared" si="4"/>
        <v>1026658.41</v>
      </c>
      <c r="DA23" s="74">
        <f t="shared" si="4"/>
        <v>1154845.05</v>
      </c>
      <c r="DB23" s="74">
        <f t="shared" si="4"/>
        <v>1020195.28</v>
      </c>
      <c r="DC23" s="74">
        <f t="shared" si="4"/>
        <v>1227617.2</v>
      </c>
      <c r="DD23" s="74">
        <f t="shared" si="4"/>
        <v>1201295.81</v>
      </c>
      <c r="DE23" s="74">
        <f t="shared" si="4"/>
        <v>1330351.8500000001</v>
      </c>
      <c r="DF23" s="74">
        <f t="shared" si="4"/>
        <v>1239112.82</v>
      </c>
      <c r="DG23" s="74">
        <f t="shared" si="4"/>
        <v>1180240.26</v>
      </c>
      <c r="DH23" s="74">
        <f t="shared" si="4"/>
        <v>933354.76</v>
      </c>
      <c r="DI23" s="75">
        <f t="shared" si="4"/>
        <v>1146974.23</v>
      </c>
      <c r="DJ23" s="73">
        <v>706842.14</v>
      </c>
      <c r="DK23" s="74">
        <v>891170.61</v>
      </c>
      <c r="DL23" s="74">
        <v>1005157.1</v>
      </c>
      <c r="DM23" s="74">
        <v>971110.92</v>
      </c>
      <c r="DN23" s="74">
        <v>893907.31</v>
      </c>
      <c r="DO23" s="74">
        <v>1347126.16</v>
      </c>
      <c r="DP23" s="74">
        <v>1276781.78</v>
      </c>
      <c r="DQ23" s="74">
        <v>1455129.99</v>
      </c>
      <c r="DR23" s="74">
        <v>1280973.74</v>
      </c>
      <c r="DS23" s="74">
        <v>1121434.51</v>
      </c>
      <c r="DT23" s="74">
        <v>1007456.27</v>
      </c>
      <c r="DU23" s="75">
        <v>1197323.1599999999</v>
      </c>
      <c r="DV23" s="76">
        <v>567280.62</v>
      </c>
      <c r="DW23" s="76">
        <v>882122.42</v>
      </c>
      <c r="DX23" s="76">
        <v>1021044.04</v>
      </c>
      <c r="DY23" s="76">
        <v>944204.45</v>
      </c>
      <c r="DZ23" s="76">
        <v>1105782.3500000001</v>
      </c>
      <c r="EA23" s="76">
        <v>1267830.3</v>
      </c>
      <c r="EB23" s="76">
        <v>1271362.8700000001</v>
      </c>
      <c r="EC23" s="77">
        <v>1569273.21</v>
      </c>
      <c r="ED23" s="77">
        <v>1230361.76</v>
      </c>
      <c r="EE23" s="77">
        <v>1023354.38</v>
      </c>
      <c r="EF23" s="77">
        <v>998146.17</v>
      </c>
      <c r="EG23" s="77">
        <v>1104794.31</v>
      </c>
      <c r="EH23" s="78">
        <v>579949.69999999995</v>
      </c>
      <c r="EI23" s="78">
        <v>799058.78</v>
      </c>
      <c r="EJ23" s="78">
        <v>1000001.89</v>
      </c>
      <c r="EK23" s="78">
        <v>900446.92</v>
      </c>
      <c r="EL23" s="78">
        <v>1044119.04</v>
      </c>
      <c r="EM23" s="78">
        <v>1380660.13</v>
      </c>
      <c r="EN23" s="78">
        <v>1483988.38</v>
      </c>
      <c r="EO23" s="78">
        <v>1598254.37</v>
      </c>
      <c r="EP23" s="78">
        <v>1300121.74</v>
      </c>
      <c r="EQ23" s="78">
        <v>1269238.77</v>
      </c>
      <c r="ER23" s="78">
        <v>1101076.77</v>
      </c>
      <c r="ES23" s="78">
        <v>1156088.19</v>
      </c>
      <c r="ET23" s="78">
        <v>814937.81</v>
      </c>
      <c r="EU23" s="78">
        <v>993423.94</v>
      </c>
      <c r="EV23" s="78">
        <v>1111103.6599999999</v>
      </c>
      <c r="EW23" s="78">
        <v>1198538.77</v>
      </c>
      <c r="EX23" s="78">
        <v>1382138.78</v>
      </c>
      <c r="EY23" s="78">
        <v>1616613.01</v>
      </c>
      <c r="EZ23" s="78">
        <v>2005608.26</v>
      </c>
      <c r="FA23" s="78">
        <v>1882210.04</v>
      </c>
      <c r="FB23" s="78">
        <v>1545122.56</v>
      </c>
      <c r="FC23" s="78">
        <v>1572482.29</v>
      </c>
      <c r="FD23" s="78">
        <v>1331866.75</v>
      </c>
      <c r="FE23" s="78">
        <v>1446961.78</v>
      </c>
      <c r="FF23" s="78">
        <v>851162.27</v>
      </c>
      <c r="FG23" s="78">
        <v>1041125.39</v>
      </c>
      <c r="FH23" s="78">
        <v>1066481.8799999999</v>
      </c>
      <c r="FI23" s="78">
        <v>1290371.49</v>
      </c>
      <c r="FJ23" s="78">
        <v>1208813.17</v>
      </c>
      <c r="FK23" s="78">
        <v>1252534.6599999999</v>
      </c>
      <c r="FL23" s="78">
        <v>1880947.59</v>
      </c>
      <c r="FM23" s="78">
        <v>1630940.38</v>
      </c>
      <c r="FN23" s="78">
        <v>1570845.07</v>
      </c>
      <c r="FO23" s="78">
        <v>1362143.29</v>
      </c>
      <c r="FP23" s="78">
        <v>1005591.42</v>
      </c>
      <c r="FQ23" s="78">
        <v>1500631.83</v>
      </c>
      <c r="FR23" s="78">
        <f t="shared" ref="FR23:GC23" si="5">SUM(FR24:FR27)</f>
        <v>711811.51</v>
      </c>
      <c r="FS23" s="78">
        <f t="shared" si="5"/>
        <v>845756.92</v>
      </c>
      <c r="FT23" s="78">
        <f t="shared" si="5"/>
        <v>815406.19</v>
      </c>
      <c r="FU23" s="78">
        <f t="shared" si="5"/>
        <v>318936.3</v>
      </c>
      <c r="FV23" s="78">
        <f t="shared" si="5"/>
        <v>469045.42</v>
      </c>
      <c r="FW23" s="78">
        <f t="shared" si="5"/>
        <v>1094710.17</v>
      </c>
      <c r="FX23" s="78">
        <f t="shared" si="5"/>
        <v>962946.75</v>
      </c>
      <c r="FY23" s="78">
        <f t="shared" si="5"/>
        <v>1016910.37</v>
      </c>
      <c r="FZ23" s="78">
        <f t="shared" si="5"/>
        <v>1210136.0900000001</v>
      </c>
      <c r="GA23" s="78">
        <f t="shared" si="5"/>
        <v>1020237.03</v>
      </c>
      <c r="GB23" s="78">
        <f t="shared" si="5"/>
        <v>955177.11</v>
      </c>
      <c r="GC23" s="78">
        <f t="shared" si="5"/>
        <v>1215368.99</v>
      </c>
      <c r="GD23" s="78"/>
      <c r="GE23" s="78"/>
      <c r="GF23" s="78"/>
      <c r="GG23" s="78"/>
      <c r="GH23" s="78"/>
      <c r="GI23" s="78"/>
      <c r="GJ23" s="78"/>
      <c r="GK23" s="78"/>
      <c r="GL23" s="78"/>
      <c r="GM23" s="78"/>
      <c r="GN23" s="78"/>
      <c r="GO23" s="78"/>
      <c r="GP23" s="78"/>
      <c r="GQ23" s="78"/>
      <c r="GR23" s="78"/>
      <c r="GS23" s="78"/>
      <c r="GT23" s="78"/>
      <c r="GU23" s="78"/>
      <c r="GV23" s="78"/>
      <c r="GW23" s="78"/>
      <c r="GX23" s="78"/>
      <c r="GY23" s="78"/>
      <c r="GZ23" s="78"/>
      <c r="HA23" s="78"/>
      <c r="HB23" s="78"/>
      <c r="HC23" s="78"/>
      <c r="HD23" s="78"/>
      <c r="HE23" s="78"/>
      <c r="HF23" s="78"/>
      <c r="HG23" s="78"/>
      <c r="HH23" s="78"/>
      <c r="HI23" s="78"/>
      <c r="HJ23" s="78"/>
      <c r="HK23" s="78"/>
      <c r="HL23" s="78"/>
      <c r="HM23" s="78"/>
      <c r="HN23" s="78"/>
      <c r="HO23" s="78"/>
      <c r="HP23" s="78"/>
      <c r="HQ23" s="78"/>
      <c r="HR23" s="78"/>
      <c r="HS23" s="78"/>
      <c r="HT23" s="78"/>
      <c r="HU23" s="78"/>
      <c r="HV23" s="78"/>
      <c r="HW23" s="78"/>
      <c r="HX23" s="78"/>
      <c r="HY23" s="78"/>
      <c r="HZ23" s="78"/>
      <c r="IA23" s="78"/>
      <c r="IB23" s="78"/>
      <c r="IC23" s="78"/>
      <c r="ID23" s="78"/>
      <c r="IE23" s="78"/>
      <c r="IF23" s="78"/>
      <c r="IG23" s="78"/>
      <c r="IH23" s="78"/>
      <c r="II23" s="78"/>
      <c r="IJ23" s="78"/>
      <c r="IK23" s="78"/>
      <c r="IL23" s="78"/>
      <c r="IM23" s="78"/>
      <c r="IN23" s="78"/>
      <c r="IO23" s="78"/>
      <c r="IP23" s="78"/>
      <c r="IQ23" s="78"/>
      <c r="IR23" s="78"/>
      <c r="IS23" s="78"/>
      <c r="IT23" s="78"/>
      <c r="IU23" s="78"/>
      <c r="IV23" s="78"/>
      <c r="IW23" s="78"/>
      <c r="IX23" s="78"/>
      <c r="IY23" s="78"/>
      <c r="IZ23" s="78"/>
      <c r="JA23" s="78"/>
      <c r="JB23" s="78"/>
      <c r="JC23" s="78"/>
      <c r="JD23" s="78"/>
      <c r="JE23" s="78"/>
      <c r="JF23" s="78"/>
      <c r="JG23" s="78"/>
      <c r="JH23" s="78"/>
      <c r="JI23" s="78"/>
      <c r="JJ23" s="78"/>
      <c r="JK23" s="78"/>
      <c r="JL23" s="78"/>
      <c r="JM23" s="78"/>
      <c r="JN23" s="78"/>
      <c r="JO23" s="78"/>
      <c r="JP23" s="78"/>
      <c r="JQ23" s="78"/>
      <c r="JR23" s="78"/>
      <c r="JS23" s="78"/>
      <c r="JT23" s="78"/>
      <c r="JU23" s="78"/>
      <c r="JV23" s="78"/>
      <c r="JW23" s="78"/>
      <c r="JX23" s="78"/>
      <c r="JY23" s="78"/>
      <c r="JZ23" s="78"/>
      <c r="KA23" s="78"/>
      <c r="KB23" s="78"/>
      <c r="KC23" s="78"/>
      <c r="KD23" s="78"/>
      <c r="KE23" s="78"/>
      <c r="KF23" s="78"/>
      <c r="KG23" s="78"/>
      <c r="KH23" s="78"/>
      <c r="KI23" s="78"/>
      <c r="KJ23" s="78"/>
      <c r="KK23" s="78"/>
      <c r="KL23" s="78"/>
      <c r="KM23" s="78"/>
      <c r="KN23" s="78"/>
      <c r="KO23" s="78"/>
      <c r="KP23" s="78"/>
      <c r="KQ23" s="78"/>
      <c r="KR23" s="78"/>
      <c r="KS23" s="78"/>
      <c r="KT23" s="78"/>
      <c r="KU23" s="78"/>
      <c r="KV23" s="78"/>
      <c r="KW23" s="78"/>
      <c r="KX23" s="78"/>
      <c r="KY23" s="78"/>
      <c r="KZ23" s="78"/>
      <c r="LA23" s="78"/>
      <c r="LB23" s="78"/>
      <c r="LC23" s="78"/>
      <c r="LD23" s="78"/>
      <c r="LE23" s="78"/>
      <c r="LF23" s="78"/>
      <c r="LG23" s="78"/>
      <c r="LH23" s="78"/>
      <c r="LI23" s="78"/>
    </row>
    <row r="24" spans="1:321">
      <c r="D24" s="59">
        <v>7131</v>
      </c>
      <c r="E24" s="60" t="s">
        <v>351</v>
      </c>
      <c r="F24" s="67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9"/>
      <c r="R24" s="67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67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9"/>
      <c r="AP24" s="67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9"/>
      <c r="BB24" s="67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9"/>
      <c r="BN24" s="67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9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7">
        <v>459792.77</v>
      </c>
      <c r="CM24" s="68">
        <v>500772.32</v>
      </c>
      <c r="CN24" s="68">
        <v>416213.56</v>
      </c>
      <c r="CO24" s="68">
        <v>800629.84</v>
      </c>
      <c r="CP24" s="68">
        <v>741038.8</v>
      </c>
      <c r="CQ24" s="68">
        <v>867200.61</v>
      </c>
      <c r="CR24" s="68">
        <v>871700.12</v>
      </c>
      <c r="CS24" s="68">
        <v>683870.65</v>
      </c>
      <c r="CT24" s="68">
        <v>680610.77</v>
      </c>
      <c r="CU24" s="68">
        <v>705025.45</v>
      </c>
      <c r="CV24" s="68">
        <v>617424.99</v>
      </c>
      <c r="CW24" s="69">
        <v>647157.71</v>
      </c>
      <c r="CX24" s="67">
        <v>413582.89</v>
      </c>
      <c r="CY24" s="68">
        <v>528295.03</v>
      </c>
      <c r="CZ24" s="68">
        <v>616320.68000000005</v>
      </c>
      <c r="DA24" s="68">
        <v>712408.64</v>
      </c>
      <c r="DB24" s="68">
        <v>695566.03</v>
      </c>
      <c r="DC24" s="68">
        <v>814803.79</v>
      </c>
      <c r="DD24" s="68">
        <v>738641.56</v>
      </c>
      <c r="DE24" s="68">
        <v>720107.7</v>
      </c>
      <c r="DF24" s="68">
        <v>714366.37</v>
      </c>
      <c r="DG24" s="68">
        <v>678264.56</v>
      </c>
      <c r="DH24" s="68">
        <v>586863.15</v>
      </c>
      <c r="DI24" s="69">
        <v>654627.1</v>
      </c>
      <c r="DJ24" s="67">
        <v>447244.32</v>
      </c>
      <c r="DK24" s="68">
        <v>579888.26</v>
      </c>
      <c r="DL24" s="68">
        <v>701001.3</v>
      </c>
      <c r="DM24" s="68">
        <v>648048.47</v>
      </c>
      <c r="DN24" s="68">
        <v>600552.63</v>
      </c>
      <c r="DO24" s="68">
        <v>958002.76</v>
      </c>
      <c r="DP24" s="68">
        <v>746600.32</v>
      </c>
      <c r="DQ24" s="68">
        <v>765465.4</v>
      </c>
      <c r="DR24" s="68">
        <v>751632.23</v>
      </c>
      <c r="DS24" s="68">
        <v>720684.08</v>
      </c>
      <c r="DT24" s="68">
        <v>663096.15</v>
      </c>
      <c r="DU24" s="69">
        <v>750993.97</v>
      </c>
      <c r="DV24" s="61">
        <v>380942.03</v>
      </c>
      <c r="DW24" s="61">
        <v>631592.89</v>
      </c>
      <c r="DX24" s="61">
        <v>739975.56</v>
      </c>
      <c r="DY24" s="61">
        <v>638297.76</v>
      </c>
      <c r="DZ24" s="61">
        <v>757845.38</v>
      </c>
      <c r="EA24" s="61">
        <v>850978.98</v>
      </c>
      <c r="EB24" s="61">
        <v>697704.08</v>
      </c>
      <c r="EC24" s="79">
        <v>818044.48</v>
      </c>
      <c r="ED24" s="79">
        <v>708608.5</v>
      </c>
      <c r="EE24" s="79">
        <v>645709.51</v>
      </c>
      <c r="EF24" s="79">
        <v>608481.81000000006</v>
      </c>
      <c r="EG24" s="79">
        <v>666484.25</v>
      </c>
      <c r="EH24" s="62">
        <v>406775.45</v>
      </c>
      <c r="EI24" s="62">
        <v>535491.67000000004</v>
      </c>
      <c r="EJ24" s="62">
        <v>712341.34</v>
      </c>
      <c r="EK24" s="62">
        <v>635024.81000000006</v>
      </c>
      <c r="EL24" s="62">
        <v>686793.45</v>
      </c>
      <c r="EM24" s="62">
        <v>852501.66</v>
      </c>
      <c r="EN24" s="62">
        <v>827522.72</v>
      </c>
      <c r="EO24" s="62">
        <v>831396.98</v>
      </c>
      <c r="EP24" s="62">
        <v>755364.68</v>
      </c>
      <c r="EQ24" s="62">
        <v>733095.23</v>
      </c>
      <c r="ER24" s="62">
        <v>673442.99</v>
      </c>
      <c r="ES24" s="62"/>
      <c r="ET24" s="62">
        <v>601434.28</v>
      </c>
      <c r="EU24" s="62">
        <v>691468.91</v>
      </c>
      <c r="EV24" s="62">
        <v>825217.16</v>
      </c>
      <c r="EW24" s="62">
        <v>905119.47</v>
      </c>
      <c r="EX24" s="62">
        <v>1028480.47</v>
      </c>
      <c r="EY24" s="62">
        <v>1159205.33</v>
      </c>
      <c r="EZ24" s="62">
        <v>1239204.8400000001</v>
      </c>
      <c r="FA24" s="62">
        <v>1077861.3</v>
      </c>
      <c r="FB24" s="62">
        <v>936074.99</v>
      </c>
      <c r="FC24" s="62">
        <v>1054918.45</v>
      </c>
      <c r="FD24" s="62">
        <v>888912.28</v>
      </c>
      <c r="FE24" s="62">
        <v>977871.81</v>
      </c>
      <c r="FF24" s="62">
        <v>649124.48</v>
      </c>
      <c r="FG24" s="62">
        <v>818776.7</v>
      </c>
      <c r="FH24" s="62">
        <v>802029.06</v>
      </c>
      <c r="FI24" s="62">
        <v>949723.87</v>
      </c>
      <c r="FJ24" s="62">
        <v>855493.95</v>
      </c>
      <c r="FK24" s="62">
        <v>789796.19</v>
      </c>
      <c r="FL24" s="62">
        <v>1036831.79</v>
      </c>
      <c r="FM24" s="62">
        <v>732732.78</v>
      </c>
      <c r="FN24" s="62">
        <v>909857.41</v>
      </c>
      <c r="FO24" s="62">
        <v>855972.58</v>
      </c>
      <c r="FP24" s="62">
        <v>669844.34</v>
      </c>
      <c r="FQ24" s="62">
        <v>1007388.81</v>
      </c>
      <c r="FR24" s="62">
        <v>562336.23</v>
      </c>
      <c r="FS24" s="62">
        <v>652056.92000000004</v>
      </c>
      <c r="FT24" s="62">
        <v>648063.07999999996</v>
      </c>
      <c r="FU24" s="62">
        <v>281109.94</v>
      </c>
      <c r="FV24" s="62">
        <v>389225.04</v>
      </c>
      <c r="FW24" s="62">
        <v>845175.77</v>
      </c>
      <c r="FX24" s="62">
        <v>700757.92</v>
      </c>
      <c r="FY24" s="62">
        <v>678575.46</v>
      </c>
      <c r="FZ24" s="62">
        <v>699606.37</v>
      </c>
      <c r="GA24" s="62">
        <v>629228.92000000004</v>
      </c>
      <c r="GB24" s="62">
        <v>607574.18999999994</v>
      </c>
      <c r="GC24" s="62">
        <v>805611.89</v>
      </c>
      <c r="GD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62"/>
      <c r="HJ24" s="62"/>
      <c r="HK24" s="62"/>
      <c r="HL24" s="62"/>
      <c r="HM24" s="62"/>
      <c r="HN24" s="62"/>
      <c r="HO24" s="62"/>
      <c r="HP24" s="62"/>
      <c r="HQ24" s="62"/>
      <c r="HR24" s="62"/>
      <c r="HS24" s="62"/>
      <c r="HT24" s="62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  <c r="IO24" s="62"/>
      <c r="IP24" s="62"/>
      <c r="IQ24" s="62"/>
      <c r="IR24" s="62"/>
      <c r="IS24" s="62"/>
      <c r="IT24" s="62"/>
      <c r="IU24" s="62"/>
      <c r="IV24" s="62"/>
      <c r="IW24" s="62"/>
      <c r="IX24" s="62"/>
      <c r="IY24" s="62"/>
      <c r="IZ24" s="62"/>
      <c r="JA24" s="62"/>
      <c r="JB24" s="62"/>
      <c r="JC24" s="62"/>
      <c r="JD24" s="62"/>
      <c r="JE24" s="62"/>
      <c r="JF24" s="62"/>
      <c r="JG24" s="62"/>
      <c r="JH24" s="62"/>
      <c r="JI24" s="62"/>
      <c r="JJ24" s="62"/>
      <c r="JK24" s="62"/>
      <c r="JL24" s="62"/>
      <c r="JM24" s="62"/>
      <c r="JN24" s="62"/>
      <c r="JO24" s="62"/>
      <c r="JP24" s="62"/>
      <c r="JQ24" s="62"/>
      <c r="JR24" s="62"/>
      <c r="JS24" s="62"/>
      <c r="JT24" s="62"/>
      <c r="JU24" s="62"/>
      <c r="JV24" s="62"/>
      <c r="JW24" s="62"/>
      <c r="JX24" s="62"/>
      <c r="JY24" s="62"/>
      <c r="JZ24" s="62"/>
      <c r="KA24" s="62"/>
      <c r="KB24" s="62"/>
      <c r="KC24" s="62"/>
      <c r="KD24" s="62"/>
      <c r="KE24" s="62"/>
      <c r="KF24" s="62"/>
      <c r="KG24" s="62"/>
      <c r="KH24" s="62"/>
      <c r="KI24" s="62"/>
      <c r="KJ24" s="62"/>
      <c r="KK24" s="62"/>
      <c r="KL24" s="62"/>
      <c r="KM24" s="62"/>
      <c r="KN24" s="62"/>
      <c r="KO24" s="62"/>
      <c r="KP24" s="62"/>
      <c r="KQ24" s="62"/>
      <c r="KR24" s="62"/>
      <c r="KS24" s="62"/>
      <c r="KT24" s="62"/>
      <c r="KU24" s="62"/>
      <c r="KV24" s="62"/>
      <c r="KW24" s="62"/>
      <c r="KX24" s="62"/>
      <c r="KY24" s="62"/>
      <c r="KZ24" s="62"/>
      <c r="LA24" s="62"/>
      <c r="LB24" s="62"/>
      <c r="LC24" s="62"/>
      <c r="LD24" s="62"/>
      <c r="LE24" s="62"/>
      <c r="LF24" s="62"/>
      <c r="LG24" s="62"/>
      <c r="LH24" s="62"/>
      <c r="LI24" s="62"/>
    </row>
    <row r="25" spans="1:321">
      <c r="D25" s="59">
        <v>7132</v>
      </c>
      <c r="E25" s="60" t="s">
        <v>352</v>
      </c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9"/>
      <c r="R25" s="67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67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9"/>
      <c r="AP25" s="67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9"/>
      <c r="BB25" s="67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9"/>
      <c r="BN25" s="67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9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7">
        <v>249117.52</v>
      </c>
      <c r="CM25" s="68">
        <v>274019.34999999998</v>
      </c>
      <c r="CN25" s="68">
        <v>324113.08</v>
      </c>
      <c r="CO25" s="68">
        <v>340962.4</v>
      </c>
      <c r="CP25" s="68">
        <v>236053.6</v>
      </c>
      <c r="CQ25" s="68">
        <v>329926.8</v>
      </c>
      <c r="CR25" s="68">
        <v>394971.79</v>
      </c>
      <c r="CS25" s="68">
        <v>193627.12</v>
      </c>
      <c r="CT25" s="68">
        <v>283408.96999999997</v>
      </c>
      <c r="CU25" s="68">
        <v>354059.72</v>
      </c>
      <c r="CV25" s="68">
        <v>925664.5</v>
      </c>
      <c r="CW25" s="69">
        <v>651866.41</v>
      </c>
      <c r="CX25" s="67">
        <v>245212.08</v>
      </c>
      <c r="CY25" s="68">
        <v>1313502.6499999999</v>
      </c>
      <c r="CZ25" s="68">
        <v>318720.94</v>
      </c>
      <c r="DA25" s="68">
        <v>297710.26</v>
      </c>
      <c r="DB25" s="68">
        <v>188013.48</v>
      </c>
      <c r="DC25" s="68">
        <v>252707.13</v>
      </c>
      <c r="DD25" s="68">
        <v>181433.41</v>
      </c>
      <c r="DE25" s="68">
        <v>171182.51</v>
      </c>
      <c r="DF25" s="68">
        <v>189661.52</v>
      </c>
      <c r="DG25" s="68">
        <v>231318.37</v>
      </c>
      <c r="DH25" s="68">
        <v>162582.62</v>
      </c>
      <c r="DI25" s="69">
        <v>232160.93</v>
      </c>
      <c r="DJ25" s="67">
        <v>132407.34</v>
      </c>
      <c r="DK25" s="68">
        <v>148352.71</v>
      </c>
      <c r="DL25" s="68">
        <v>213044.51</v>
      </c>
      <c r="DM25" s="68">
        <v>171013.29</v>
      </c>
      <c r="DN25" s="68">
        <v>149324.24</v>
      </c>
      <c r="DO25" s="68">
        <v>188424.29</v>
      </c>
      <c r="DP25" s="68">
        <v>150172.54999999999</v>
      </c>
      <c r="DQ25" s="68">
        <v>147618.66</v>
      </c>
      <c r="DR25" s="68">
        <v>135965.31</v>
      </c>
      <c r="DS25" s="68">
        <v>145879.53</v>
      </c>
      <c r="DT25" s="68">
        <v>113196.71</v>
      </c>
      <c r="DU25" s="69">
        <v>167219.15</v>
      </c>
      <c r="DV25" s="61">
        <v>79163.77</v>
      </c>
      <c r="DW25" s="61">
        <v>142203.88</v>
      </c>
      <c r="DX25" s="61">
        <v>146342.34</v>
      </c>
      <c r="DY25" s="61">
        <v>117644.98</v>
      </c>
      <c r="DZ25" s="61">
        <v>112776.17</v>
      </c>
      <c r="EA25" s="61">
        <v>150552.07999999999</v>
      </c>
      <c r="EB25" s="61">
        <v>121501.41</v>
      </c>
      <c r="EC25" s="79">
        <v>94957.83</v>
      </c>
      <c r="ED25" s="79">
        <v>114550.7</v>
      </c>
      <c r="EE25" s="79">
        <v>105515.84</v>
      </c>
      <c r="EF25" s="79">
        <v>124638.63</v>
      </c>
      <c r="EG25" s="79">
        <v>128155.98</v>
      </c>
      <c r="EH25" s="62">
        <v>67122.44</v>
      </c>
      <c r="EI25" s="62">
        <v>89824.72</v>
      </c>
      <c r="EJ25" s="62">
        <v>123908.06</v>
      </c>
      <c r="EK25" s="62">
        <v>113328.83</v>
      </c>
      <c r="EL25" s="62">
        <v>102269.66</v>
      </c>
      <c r="EM25" s="62">
        <v>124251.74</v>
      </c>
      <c r="EN25" s="62">
        <v>111124.49</v>
      </c>
      <c r="EO25" s="62">
        <v>77883.14</v>
      </c>
      <c r="EP25" s="62">
        <v>117081.53</v>
      </c>
      <c r="EQ25" s="62">
        <v>126411.14</v>
      </c>
      <c r="ER25" s="62">
        <v>108010.69</v>
      </c>
      <c r="ES25" s="62"/>
      <c r="ET25" s="62">
        <v>93434.6</v>
      </c>
      <c r="EU25" s="62">
        <v>109385.74</v>
      </c>
      <c r="EV25" s="62">
        <v>120777.01</v>
      </c>
      <c r="EW25" s="62">
        <v>107766.04</v>
      </c>
      <c r="EX25" s="62">
        <v>105374.49</v>
      </c>
      <c r="EY25" s="62">
        <v>116225.41</v>
      </c>
      <c r="EZ25" s="62">
        <v>115266.9</v>
      </c>
      <c r="FA25" s="62">
        <v>79847.83</v>
      </c>
      <c r="FB25" s="62">
        <v>98906.81</v>
      </c>
      <c r="FC25" s="62">
        <v>105125.41</v>
      </c>
      <c r="FD25" s="62">
        <v>116947.51</v>
      </c>
      <c r="FE25" s="62">
        <v>138092.62</v>
      </c>
      <c r="FF25" s="62">
        <v>64695</v>
      </c>
      <c r="FG25" s="62">
        <v>85955.36</v>
      </c>
      <c r="FH25" s="62">
        <v>106907.98</v>
      </c>
      <c r="FI25" s="62">
        <v>128950.69</v>
      </c>
      <c r="FJ25" s="62">
        <v>89857.44</v>
      </c>
      <c r="FK25" s="62">
        <v>90814.91</v>
      </c>
      <c r="FL25" s="62">
        <v>102054.51</v>
      </c>
      <c r="FM25" s="62">
        <v>79880.09</v>
      </c>
      <c r="FN25" s="62">
        <v>81168.460000000006</v>
      </c>
      <c r="FO25" s="62">
        <v>104547.82</v>
      </c>
      <c r="FP25" s="62">
        <v>92140.81</v>
      </c>
      <c r="FQ25" s="62">
        <v>119313.41</v>
      </c>
      <c r="FR25" s="62">
        <v>59543.27</v>
      </c>
      <c r="FS25" s="62">
        <v>103685.1</v>
      </c>
      <c r="FT25" s="62">
        <v>69007.199999999997</v>
      </c>
      <c r="FU25" s="62">
        <v>21455.99</v>
      </c>
      <c r="FV25" s="62">
        <v>33883.980000000003</v>
      </c>
      <c r="FW25" s="62">
        <v>91069.119999999995</v>
      </c>
      <c r="FX25" s="62">
        <v>71333.899999999994</v>
      </c>
      <c r="FY25" s="62">
        <v>47152.61</v>
      </c>
      <c r="FZ25" s="62">
        <v>67569.48</v>
      </c>
      <c r="GA25" s="62">
        <v>78779.27</v>
      </c>
      <c r="GB25" s="62">
        <v>67981.67</v>
      </c>
      <c r="GC25" s="62">
        <v>83199.53</v>
      </c>
      <c r="GD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62"/>
      <c r="HJ25" s="62"/>
      <c r="HK25" s="62"/>
      <c r="HL25" s="62"/>
      <c r="HM25" s="6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  <c r="IO25" s="62"/>
      <c r="IP25" s="62"/>
      <c r="IQ25" s="62"/>
      <c r="IR25" s="62"/>
      <c r="IS25" s="62"/>
      <c r="IT25" s="62"/>
      <c r="IU25" s="62"/>
      <c r="IV25" s="62"/>
      <c r="IW25" s="62"/>
      <c r="IX25" s="62"/>
      <c r="IY25" s="62"/>
      <c r="IZ25" s="62"/>
      <c r="JA25" s="62"/>
      <c r="JB25" s="62"/>
      <c r="JC25" s="62"/>
      <c r="JD25" s="62"/>
      <c r="JE25" s="62"/>
      <c r="JF25" s="62"/>
      <c r="JG25" s="62"/>
      <c r="JH25" s="62"/>
      <c r="JI25" s="62"/>
      <c r="JJ25" s="62"/>
      <c r="JK25" s="62"/>
      <c r="JL25" s="62"/>
      <c r="JM25" s="62"/>
      <c r="JN25" s="62"/>
      <c r="JO25" s="62"/>
      <c r="JP25" s="62"/>
      <c r="JQ25" s="62"/>
      <c r="JR25" s="62"/>
      <c r="JS25" s="62"/>
      <c r="JT25" s="62"/>
      <c r="JU25" s="62"/>
      <c r="JV25" s="62"/>
      <c r="JW25" s="62"/>
      <c r="JX25" s="62"/>
      <c r="JY25" s="62"/>
      <c r="JZ25" s="62"/>
      <c r="KA25" s="62"/>
      <c r="KB25" s="62"/>
      <c r="KC25" s="62"/>
      <c r="KD25" s="62"/>
      <c r="KE25" s="62"/>
      <c r="KF25" s="62"/>
      <c r="KG25" s="62"/>
      <c r="KH25" s="62"/>
      <c r="KI25" s="62"/>
      <c r="KJ25" s="62"/>
      <c r="KK25" s="62"/>
      <c r="KL25" s="62"/>
      <c r="KM25" s="62"/>
      <c r="KN25" s="62"/>
      <c r="KO25" s="62"/>
      <c r="KP25" s="62"/>
      <c r="KQ25" s="62"/>
      <c r="KR25" s="62"/>
      <c r="KS25" s="62"/>
      <c r="KT25" s="62"/>
      <c r="KU25" s="62"/>
      <c r="KV25" s="62"/>
      <c r="KW25" s="62"/>
      <c r="KX25" s="62"/>
      <c r="KY25" s="62"/>
      <c r="KZ25" s="62"/>
      <c r="LA25" s="62"/>
      <c r="LB25" s="62"/>
      <c r="LC25" s="62"/>
      <c r="LD25" s="62"/>
      <c r="LE25" s="62"/>
      <c r="LF25" s="62"/>
      <c r="LG25" s="62"/>
      <c r="LH25" s="62"/>
      <c r="LI25" s="62"/>
    </row>
    <row r="26" spans="1:321">
      <c r="D26" s="59">
        <v>7133</v>
      </c>
      <c r="E26" s="60" t="s">
        <v>353</v>
      </c>
      <c r="F26" s="67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9"/>
      <c r="R26" s="67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67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9"/>
      <c r="AP26" s="67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9"/>
      <c r="BB26" s="67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9"/>
      <c r="BN26" s="67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9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7">
        <v>7635.04</v>
      </c>
      <c r="CM26" s="68">
        <v>9839.27</v>
      </c>
      <c r="CN26" s="68">
        <v>13749.62</v>
      </c>
      <c r="CO26" s="68">
        <v>30237.24</v>
      </c>
      <c r="CP26" s="68">
        <v>51941.32</v>
      </c>
      <c r="CQ26" s="68">
        <v>88623.71</v>
      </c>
      <c r="CR26" s="68">
        <v>163284.24</v>
      </c>
      <c r="CS26" s="68">
        <v>197232.93</v>
      </c>
      <c r="CT26" s="68">
        <v>111463.85</v>
      </c>
      <c r="CU26" s="68">
        <v>50426.22</v>
      </c>
      <c r="CV26" s="68">
        <v>31073.22</v>
      </c>
      <c r="CW26" s="69">
        <v>12430.33</v>
      </c>
      <c r="CX26" s="67">
        <v>8119.6</v>
      </c>
      <c r="CY26" s="68">
        <v>9491.69</v>
      </c>
      <c r="CZ26" s="68">
        <v>11037.38</v>
      </c>
      <c r="DA26" s="68">
        <v>15407.26</v>
      </c>
      <c r="DB26" s="68">
        <v>23006.79</v>
      </c>
      <c r="DC26" s="68">
        <v>53188.68</v>
      </c>
      <c r="DD26" s="68">
        <v>116408.5</v>
      </c>
      <c r="DE26" s="68">
        <v>226076.19</v>
      </c>
      <c r="DF26" s="68">
        <v>102526.32</v>
      </c>
      <c r="DG26" s="68">
        <v>52441.97</v>
      </c>
      <c r="DH26" s="68">
        <v>12614.08</v>
      </c>
      <c r="DI26" s="69">
        <v>13870.62</v>
      </c>
      <c r="DJ26" s="67">
        <v>8869.44</v>
      </c>
      <c r="DK26" s="68">
        <v>10376.969999999999</v>
      </c>
      <c r="DL26" s="68">
        <v>10335.65</v>
      </c>
      <c r="DM26" s="68">
        <v>17910.240000000002</v>
      </c>
      <c r="DN26" s="68">
        <v>30816.6</v>
      </c>
      <c r="DO26" s="68">
        <v>75975.210000000006</v>
      </c>
      <c r="DP26" s="68">
        <v>198529.74</v>
      </c>
      <c r="DQ26" s="68">
        <v>296917.57</v>
      </c>
      <c r="DR26" s="68">
        <v>123895.81</v>
      </c>
      <c r="DS26" s="68">
        <v>52619.15</v>
      </c>
      <c r="DT26" s="68">
        <v>25217.25</v>
      </c>
      <c r="DU26" s="69">
        <v>22976.560000000001</v>
      </c>
      <c r="DV26" s="61">
        <v>17074.490000000002</v>
      </c>
      <c r="DW26" s="61">
        <v>22967.040000000001</v>
      </c>
      <c r="DX26" s="61">
        <v>26715.42</v>
      </c>
      <c r="DY26" s="61">
        <v>27081.02</v>
      </c>
      <c r="DZ26" s="61">
        <v>55185.38</v>
      </c>
      <c r="EA26" s="61">
        <v>105249.26</v>
      </c>
      <c r="EB26" s="61">
        <v>247068.31</v>
      </c>
      <c r="EC26" s="79">
        <v>383280.64000000001</v>
      </c>
      <c r="ED26" s="79">
        <v>194602.14</v>
      </c>
      <c r="EE26" s="79">
        <v>70791.399999999994</v>
      </c>
      <c r="EF26" s="79">
        <v>30364.41</v>
      </c>
      <c r="EG26" s="79">
        <v>18179.259999999998</v>
      </c>
      <c r="EH26" s="62">
        <v>17936.740000000002</v>
      </c>
      <c r="EI26" s="62">
        <v>29045.1</v>
      </c>
      <c r="EJ26" s="62">
        <v>29271.49</v>
      </c>
      <c r="EK26" s="62">
        <v>28676.27</v>
      </c>
      <c r="EL26" s="62">
        <v>54945.86</v>
      </c>
      <c r="EM26" s="62">
        <v>136681.21</v>
      </c>
      <c r="EN26" s="62">
        <v>303933.09000000003</v>
      </c>
      <c r="EO26" s="62">
        <v>401179.76</v>
      </c>
      <c r="EP26" s="62">
        <v>204730.39</v>
      </c>
      <c r="EQ26" s="62">
        <v>92200</v>
      </c>
      <c r="ER26" s="62">
        <v>36222.43</v>
      </c>
      <c r="ES26" s="62"/>
      <c r="ET26" s="62">
        <v>21633.83</v>
      </c>
      <c r="EU26" s="62">
        <v>24453.21</v>
      </c>
      <c r="EV26" s="62">
        <v>30364.14</v>
      </c>
      <c r="EW26" s="62">
        <v>45135.75</v>
      </c>
      <c r="EX26" s="62">
        <v>73298.429999999993</v>
      </c>
      <c r="EY26" s="62">
        <v>154167.12</v>
      </c>
      <c r="EZ26" s="62">
        <v>354192.61</v>
      </c>
      <c r="FA26" s="62">
        <v>425912.93</v>
      </c>
      <c r="FB26" s="62">
        <v>234762.1</v>
      </c>
      <c r="FC26" s="62">
        <v>119042.18</v>
      </c>
      <c r="FD26" s="62">
        <v>76747.570000000007</v>
      </c>
      <c r="FE26" s="62">
        <v>29512.58</v>
      </c>
      <c r="FF26" s="62">
        <v>24775.52</v>
      </c>
      <c r="FG26" s="62">
        <v>28443.63</v>
      </c>
      <c r="FH26" s="62">
        <v>40268.589999999997</v>
      </c>
      <c r="FI26" s="62">
        <v>55742.67</v>
      </c>
      <c r="FJ26" s="62">
        <v>91165.22</v>
      </c>
      <c r="FK26" s="62">
        <v>178796.84</v>
      </c>
      <c r="FL26" s="62">
        <v>429493.67</v>
      </c>
      <c r="FM26" s="62">
        <v>521117.38</v>
      </c>
      <c r="FN26" s="62">
        <v>298489.8</v>
      </c>
      <c r="FO26" s="62">
        <v>140326.67000000001</v>
      </c>
      <c r="FP26" s="62">
        <v>59224.28</v>
      </c>
      <c r="FQ26" s="62">
        <v>44087.08</v>
      </c>
      <c r="FR26" s="62">
        <v>32221.24</v>
      </c>
      <c r="FS26" s="62">
        <v>34709.39</v>
      </c>
      <c r="FT26" s="62">
        <v>29392.97</v>
      </c>
      <c r="FU26" s="62">
        <v>3187.51</v>
      </c>
      <c r="FV26" s="62">
        <v>915.94</v>
      </c>
      <c r="FW26" s="62">
        <v>11909.77</v>
      </c>
      <c r="FX26" s="62">
        <v>29181.17</v>
      </c>
      <c r="FY26" s="62">
        <v>60495.83</v>
      </c>
      <c r="FZ26" s="62">
        <v>85994.48</v>
      </c>
      <c r="GA26" s="62">
        <v>35594.1</v>
      </c>
      <c r="GB26" s="62">
        <v>25659.52</v>
      </c>
      <c r="GC26" s="62">
        <v>17020.98</v>
      </c>
      <c r="GD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  <c r="IO26" s="62"/>
      <c r="IP26" s="62"/>
      <c r="IQ26" s="62"/>
      <c r="IR26" s="62"/>
      <c r="IS26" s="62"/>
      <c r="IT26" s="62"/>
      <c r="IU26" s="62"/>
      <c r="IV26" s="62"/>
      <c r="IW26" s="62"/>
      <c r="IX26" s="62"/>
      <c r="IY26" s="62"/>
      <c r="IZ26" s="62"/>
      <c r="JA26" s="62"/>
      <c r="JB26" s="62"/>
      <c r="JC26" s="62"/>
      <c r="JD26" s="62"/>
      <c r="JE26" s="62"/>
      <c r="JF26" s="62"/>
      <c r="JG26" s="62"/>
      <c r="JH26" s="62"/>
      <c r="JI26" s="62"/>
      <c r="JJ26" s="62"/>
      <c r="JK26" s="62"/>
      <c r="JL26" s="62"/>
      <c r="JM26" s="62"/>
      <c r="JN26" s="62"/>
      <c r="JO26" s="62"/>
      <c r="JP26" s="62"/>
      <c r="JQ26" s="62"/>
      <c r="JR26" s="62"/>
      <c r="JS26" s="62"/>
      <c r="JT26" s="62"/>
      <c r="JU26" s="62"/>
      <c r="JV26" s="62"/>
      <c r="JW26" s="62"/>
      <c r="JX26" s="62"/>
      <c r="JY26" s="62"/>
      <c r="JZ26" s="62"/>
      <c r="KA26" s="62"/>
      <c r="KB26" s="62"/>
      <c r="KC26" s="62"/>
      <c r="KD26" s="62"/>
      <c r="KE26" s="62"/>
      <c r="KF26" s="62"/>
      <c r="KG26" s="62"/>
      <c r="KH26" s="62"/>
      <c r="KI26" s="62"/>
      <c r="KJ26" s="62"/>
      <c r="KK26" s="62"/>
      <c r="KL26" s="62"/>
      <c r="KM26" s="62"/>
      <c r="KN26" s="62"/>
      <c r="KO26" s="62"/>
      <c r="KP26" s="62"/>
      <c r="KQ26" s="62"/>
      <c r="KR26" s="62"/>
      <c r="KS26" s="62"/>
      <c r="KT26" s="62"/>
      <c r="KU26" s="62"/>
      <c r="KV26" s="62"/>
      <c r="KW26" s="62"/>
      <c r="KX26" s="62"/>
      <c r="KY26" s="62"/>
      <c r="KZ26" s="62"/>
      <c r="LA26" s="62"/>
      <c r="LB26" s="62"/>
      <c r="LC26" s="62"/>
      <c r="LD26" s="62"/>
      <c r="LE26" s="62"/>
      <c r="LF26" s="62"/>
      <c r="LG26" s="62"/>
      <c r="LH26" s="62"/>
      <c r="LI26" s="62"/>
    </row>
    <row r="27" spans="1:321">
      <c r="D27" s="59">
        <v>7136</v>
      </c>
      <c r="E27" s="60" t="s">
        <v>354</v>
      </c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9"/>
      <c r="R27" s="67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67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9"/>
      <c r="AP27" s="67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9"/>
      <c r="BB27" s="67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9"/>
      <c r="BN27" s="67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9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7">
        <v>364382.71</v>
      </c>
      <c r="CM27" s="68">
        <v>1044594.55</v>
      </c>
      <c r="CN27" s="68">
        <v>1377488.06</v>
      </c>
      <c r="CO27" s="68">
        <v>1058438.45</v>
      </c>
      <c r="CP27" s="68">
        <v>1042906.95</v>
      </c>
      <c r="CQ27" s="68">
        <v>770438.28</v>
      </c>
      <c r="CR27" s="68">
        <v>1415558.33</v>
      </c>
      <c r="CS27" s="68">
        <v>1217336.3799999999</v>
      </c>
      <c r="CT27" s="68">
        <v>659022.86</v>
      </c>
      <c r="CU27" s="68">
        <v>1786343.11</v>
      </c>
      <c r="CV27" s="68">
        <v>1154986.6100000001</v>
      </c>
      <c r="CW27" s="69">
        <v>1970770.52</v>
      </c>
      <c r="CX27" s="67">
        <v>320295.69</v>
      </c>
      <c r="CY27" s="68">
        <v>707844.54</v>
      </c>
      <c r="CZ27" s="68">
        <v>80579.41</v>
      </c>
      <c r="DA27" s="68">
        <v>129318.89</v>
      </c>
      <c r="DB27" s="68">
        <v>113608.98</v>
      </c>
      <c r="DC27" s="68">
        <v>106917.6</v>
      </c>
      <c r="DD27" s="68">
        <v>164812.34</v>
      </c>
      <c r="DE27" s="68">
        <v>212985.45</v>
      </c>
      <c r="DF27" s="68">
        <v>232558.61</v>
      </c>
      <c r="DG27" s="68">
        <v>218215.36</v>
      </c>
      <c r="DH27" s="68">
        <v>171294.91</v>
      </c>
      <c r="DI27" s="69">
        <v>246315.58</v>
      </c>
      <c r="DJ27" s="67">
        <v>118321.04</v>
      </c>
      <c r="DK27" s="68">
        <v>152552.67000000001</v>
      </c>
      <c r="DL27" s="68">
        <v>80775.64</v>
      </c>
      <c r="DM27" s="68">
        <v>134138.92000000001</v>
      </c>
      <c r="DN27" s="68">
        <v>113213.84</v>
      </c>
      <c r="DO27" s="68">
        <v>124723.9</v>
      </c>
      <c r="DP27" s="68">
        <v>181479.17</v>
      </c>
      <c r="DQ27" s="68">
        <v>245128.36</v>
      </c>
      <c r="DR27" s="68">
        <v>269480.39</v>
      </c>
      <c r="DS27" s="68">
        <v>202251.75</v>
      </c>
      <c r="DT27" s="68">
        <v>205946.16</v>
      </c>
      <c r="DU27" s="69">
        <v>256133.48</v>
      </c>
      <c r="DV27" s="61">
        <v>90100.33</v>
      </c>
      <c r="DW27" s="61">
        <v>85358.61</v>
      </c>
      <c r="DX27" s="61">
        <v>108010.72</v>
      </c>
      <c r="DY27" s="61">
        <v>161180.69</v>
      </c>
      <c r="DZ27" s="61">
        <v>179975.42</v>
      </c>
      <c r="EA27" s="61">
        <v>161049.98000000001</v>
      </c>
      <c r="EB27" s="61">
        <v>205089.07</v>
      </c>
      <c r="EC27" s="79">
        <v>272990.26</v>
      </c>
      <c r="ED27" s="79">
        <v>212600.42</v>
      </c>
      <c r="EE27" s="79">
        <v>201337.63</v>
      </c>
      <c r="EF27" s="79">
        <v>234661.32</v>
      </c>
      <c r="EG27" s="79">
        <v>291974.82</v>
      </c>
      <c r="EH27" s="62">
        <v>88115.07</v>
      </c>
      <c r="EI27" s="62">
        <v>117852.68</v>
      </c>
      <c r="EJ27" s="62">
        <v>93526.63</v>
      </c>
      <c r="EK27" s="62">
        <v>123417.01</v>
      </c>
      <c r="EL27" s="62">
        <v>135486.6</v>
      </c>
      <c r="EM27" s="62">
        <v>225998.71</v>
      </c>
      <c r="EN27" s="62">
        <v>208494.23</v>
      </c>
      <c r="EO27" s="62">
        <v>264663.5</v>
      </c>
      <c r="EP27" s="62">
        <v>222945.14</v>
      </c>
      <c r="EQ27" s="62">
        <v>259930.36</v>
      </c>
      <c r="ER27" s="62">
        <v>257165.18</v>
      </c>
      <c r="ES27" s="62"/>
      <c r="ET27" s="62">
        <v>98435.1</v>
      </c>
      <c r="EU27" s="62">
        <v>168116.08</v>
      </c>
      <c r="EV27" s="62">
        <v>134745.35</v>
      </c>
      <c r="EW27" s="62">
        <v>140517.51</v>
      </c>
      <c r="EX27" s="62">
        <v>174985.39</v>
      </c>
      <c r="EY27" s="62">
        <v>187015.15</v>
      </c>
      <c r="EZ27" s="62">
        <v>296943.90999999997</v>
      </c>
      <c r="FA27" s="62">
        <v>298587.98</v>
      </c>
      <c r="FB27" s="62">
        <v>275378.65999999997</v>
      </c>
      <c r="FC27" s="62">
        <v>293396.25</v>
      </c>
      <c r="FD27" s="62">
        <v>249259.39</v>
      </c>
      <c r="FE27" s="62">
        <v>301484.77</v>
      </c>
      <c r="FF27" s="62">
        <v>112567.27</v>
      </c>
      <c r="FG27" s="62">
        <v>107949.7</v>
      </c>
      <c r="FH27" s="62">
        <v>117276.25</v>
      </c>
      <c r="FI27" s="62">
        <v>155954.26</v>
      </c>
      <c r="FJ27" s="62">
        <v>172296.56</v>
      </c>
      <c r="FK27" s="62">
        <v>193126.72</v>
      </c>
      <c r="FL27" s="62">
        <v>312567.62</v>
      </c>
      <c r="FM27" s="62">
        <v>297210.13</v>
      </c>
      <c r="FN27" s="62">
        <v>281329.40000000002</v>
      </c>
      <c r="FO27" s="62">
        <v>261296.22</v>
      </c>
      <c r="FP27" s="62">
        <v>184381.99</v>
      </c>
      <c r="FQ27" s="62">
        <v>329842.53000000003</v>
      </c>
      <c r="FR27" s="62">
        <v>57710.77</v>
      </c>
      <c r="FS27" s="62">
        <v>55305.51</v>
      </c>
      <c r="FT27" s="62">
        <v>68942.94</v>
      </c>
      <c r="FU27" s="62">
        <v>13182.86</v>
      </c>
      <c r="FV27" s="62">
        <v>45020.46</v>
      </c>
      <c r="FW27" s="62">
        <v>146555.51</v>
      </c>
      <c r="FX27" s="62">
        <v>161673.76</v>
      </c>
      <c r="FY27" s="62">
        <v>230686.47</v>
      </c>
      <c r="FZ27" s="62">
        <v>356965.76</v>
      </c>
      <c r="GA27" s="62">
        <v>276634.74</v>
      </c>
      <c r="GB27" s="62">
        <v>253961.73</v>
      </c>
      <c r="GC27" s="62">
        <v>309536.59000000003</v>
      </c>
      <c r="GD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62"/>
      <c r="IF27" s="62"/>
      <c r="IG27" s="62"/>
      <c r="IH27" s="62"/>
      <c r="II27" s="62"/>
      <c r="IJ27" s="62"/>
      <c r="IK27" s="62"/>
      <c r="IL27" s="62"/>
      <c r="IM27" s="62"/>
      <c r="IN27" s="62"/>
      <c r="IO27" s="62"/>
      <c r="IP27" s="62"/>
      <c r="IQ27" s="62"/>
      <c r="IR27" s="62"/>
      <c r="IS27" s="62"/>
      <c r="IT27" s="62"/>
      <c r="IU27" s="62"/>
      <c r="IV27" s="62"/>
      <c r="IW27" s="62"/>
      <c r="IX27" s="62"/>
      <c r="IY27" s="62"/>
      <c r="IZ27" s="62"/>
      <c r="JA27" s="62"/>
      <c r="JB27" s="62"/>
      <c r="JC27" s="62"/>
      <c r="JD27" s="62"/>
      <c r="JE27" s="62"/>
      <c r="JF27" s="62"/>
      <c r="JG27" s="62"/>
      <c r="JH27" s="62"/>
      <c r="JI27" s="62"/>
      <c r="JJ27" s="62"/>
      <c r="JK27" s="62"/>
      <c r="JL27" s="62"/>
      <c r="JM27" s="62"/>
      <c r="JN27" s="62"/>
      <c r="JO27" s="62"/>
      <c r="JP27" s="62"/>
      <c r="JQ27" s="62"/>
      <c r="JR27" s="62"/>
      <c r="JS27" s="62"/>
      <c r="JT27" s="62"/>
      <c r="JU27" s="62"/>
      <c r="JV27" s="62"/>
      <c r="JW27" s="62"/>
      <c r="JX27" s="62"/>
      <c r="JY27" s="62"/>
      <c r="JZ27" s="62"/>
      <c r="KA27" s="62"/>
      <c r="KB27" s="62"/>
      <c r="KC27" s="62"/>
      <c r="KD27" s="62"/>
      <c r="KE27" s="62"/>
      <c r="KF27" s="62"/>
      <c r="KG27" s="62"/>
      <c r="KH27" s="62"/>
      <c r="KI27" s="62"/>
      <c r="KJ27" s="62"/>
      <c r="KK27" s="62"/>
      <c r="KL27" s="62"/>
      <c r="KM27" s="62"/>
      <c r="KN27" s="62"/>
      <c r="KO27" s="62"/>
      <c r="KP27" s="62"/>
      <c r="KQ27" s="62"/>
      <c r="KR27" s="62"/>
      <c r="KS27" s="62"/>
      <c r="KT27" s="62"/>
      <c r="KU27" s="62"/>
      <c r="KV27" s="62"/>
      <c r="KW27" s="62"/>
      <c r="KX27" s="62"/>
      <c r="KY27" s="62"/>
      <c r="KZ27" s="62"/>
      <c r="LA27" s="62"/>
      <c r="LB27" s="62"/>
      <c r="LC27" s="62"/>
      <c r="LD27" s="62"/>
      <c r="LE27" s="62"/>
      <c r="LF27" s="62"/>
      <c r="LG27" s="62"/>
      <c r="LH27" s="62"/>
      <c r="LI27" s="62"/>
    </row>
    <row r="28" spans="1:321" s="2" customFormat="1">
      <c r="A28" s="71"/>
      <c r="B28" s="71"/>
      <c r="C28" s="71">
        <v>714</v>
      </c>
      <c r="D28" s="71">
        <v>714</v>
      </c>
      <c r="E28" s="72" t="s">
        <v>141</v>
      </c>
      <c r="F28" s="73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5"/>
      <c r="R28" s="73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5"/>
      <c r="AD28" s="73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5"/>
      <c r="AP28" s="73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5"/>
      <c r="BB28" s="73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5"/>
      <c r="BN28" s="73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5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3">
        <v>893749.17</v>
      </c>
      <c r="CM28" s="74">
        <v>1163449.29</v>
      </c>
      <c r="CN28" s="74">
        <v>1397810.95</v>
      </c>
      <c r="CO28" s="74">
        <v>988260.99</v>
      </c>
      <c r="CP28" s="74">
        <v>663493.42000000004</v>
      </c>
      <c r="CQ28" s="74">
        <v>985589.28</v>
      </c>
      <c r="CR28" s="74">
        <v>1220629.8</v>
      </c>
      <c r="CS28" s="74">
        <v>1071856.1399999999</v>
      </c>
      <c r="CT28" s="74">
        <v>1326309.73</v>
      </c>
      <c r="CU28" s="74">
        <v>1344708.95</v>
      </c>
      <c r="CV28" s="74">
        <v>1250084.53</v>
      </c>
      <c r="CW28" s="75">
        <v>927547.93</v>
      </c>
      <c r="CX28" s="73">
        <f t="shared" ref="CX28:DI28" si="6">+SUM(CX29:CX34)</f>
        <v>1287580.68</v>
      </c>
      <c r="CY28" s="74">
        <f t="shared" si="6"/>
        <v>715085.05</v>
      </c>
      <c r="CZ28" s="74">
        <f t="shared" si="6"/>
        <v>890846.15</v>
      </c>
      <c r="DA28" s="74">
        <f t="shared" si="6"/>
        <v>876230.8</v>
      </c>
      <c r="DB28" s="74">
        <f t="shared" si="6"/>
        <v>1494813.69</v>
      </c>
      <c r="DC28" s="74">
        <f t="shared" si="6"/>
        <v>1663478.84</v>
      </c>
      <c r="DD28" s="74">
        <f t="shared" si="6"/>
        <v>1730168.37</v>
      </c>
      <c r="DE28" s="74">
        <f t="shared" si="6"/>
        <v>1561341.14</v>
      </c>
      <c r="DF28" s="74">
        <f t="shared" si="6"/>
        <v>1413088.9</v>
      </c>
      <c r="DG28" s="74">
        <f t="shared" si="6"/>
        <v>2751386.49</v>
      </c>
      <c r="DH28" s="74">
        <f t="shared" si="6"/>
        <v>1144837.4099999999</v>
      </c>
      <c r="DI28" s="75">
        <f t="shared" si="6"/>
        <v>1813161.67</v>
      </c>
      <c r="DJ28" s="73">
        <v>704766.22</v>
      </c>
      <c r="DK28" s="74">
        <v>1085966.3999999999</v>
      </c>
      <c r="DL28" s="74">
        <v>1540359.53</v>
      </c>
      <c r="DM28" s="74">
        <v>925997.18</v>
      </c>
      <c r="DN28" s="74">
        <v>2000871.46</v>
      </c>
      <c r="DO28" s="74">
        <v>3067345.37</v>
      </c>
      <c r="DP28" s="74">
        <v>3701757.88</v>
      </c>
      <c r="DQ28" s="74">
        <v>3472067.07</v>
      </c>
      <c r="DR28" s="74">
        <v>4203901.97</v>
      </c>
      <c r="DS28" s="74">
        <v>3485443.89</v>
      </c>
      <c r="DT28" s="74">
        <v>2847513.03</v>
      </c>
      <c r="DU28" s="75">
        <v>2594011.2999999998</v>
      </c>
      <c r="DV28" s="76">
        <v>1625009.97</v>
      </c>
      <c r="DW28" s="76">
        <v>1267094.5</v>
      </c>
      <c r="DX28" s="76">
        <v>1342211.4</v>
      </c>
      <c r="DY28" s="76">
        <v>1888588.55</v>
      </c>
      <c r="DZ28" s="76">
        <v>1395110.23</v>
      </c>
      <c r="EA28" s="76">
        <v>1812519.24</v>
      </c>
      <c r="EB28" s="76">
        <v>2714766.86</v>
      </c>
      <c r="EC28" s="77">
        <v>52525267.219999999</v>
      </c>
      <c r="ED28" s="77">
        <v>2386999.67</v>
      </c>
      <c r="EE28" s="77">
        <v>2766199.72</v>
      </c>
      <c r="EF28" s="77">
        <v>1672980.56</v>
      </c>
      <c r="EG28" s="77">
        <v>2546774.38</v>
      </c>
      <c r="EH28" s="78">
        <v>1745843.13</v>
      </c>
      <c r="EI28" s="78">
        <v>1266650.8400000001</v>
      </c>
      <c r="EJ28" s="78">
        <v>1508161.35</v>
      </c>
      <c r="EK28" s="78">
        <v>1901163.79</v>
      </c>
      <c r="EL28" s="78">
        <v>1513570.26</v>
      </c>
      <c r="EM28" s="78">
        <v>830213.16</v>
      </c>
      <c r="EN28" s="78">
        <v>1705945.14</v>
      </c>
      <c r="EO28" s="78">
        <v>1608311.46</v>
      </c>
      <c r="EP28" s="78">
        <v>1107710.8999999999</v>
      </c>
      <c r="EQ28" s="78">
        <v>1997706.83</v>
      </c>
      <c r="ER28" s="78">
        <v>793640.92</v>
      </c>
      <c r="ES28" s="78">
        <v>2988857.35</v>
      </c>
      <c r="ET28" s="78">
        <v>1774503.57</v>
      </c>
      <c r="EU28" s="78">
        <v>1885893.46</v>
      </c>
      <c r="EV28" s="78">
        <v>2001213.06</v>
      </c>
      <c r="EW28" s="78">
        <v>2389766.7799999998</v>
      </c>
      <c r="EX28" s="78">
        <v>1530724.52</v>
      </c>
      <c r="EY28" s="78">
        <v>2860047.35</v>
      </c>
      <c r="EZ28" s="78">
        <v>3039336.91</v>
      </c>
      <c r="FA28" s="78">
        <v>1937135.94</v>
      </c>
      <c r="FB28" s="78">
        <v>1933671.64</v>
      </c>
      <c r="FC28" s="78">
        <v>2347083.83</v>
      </c>
      <c r="FD28" s="78">
        <v>2034357.41</v>
      </c>
      <c r="FE28" s="78">
        <v>2685804.61</v>
      </c>
      <c r="FF28" s="78">
        <v>2315003.25</v>
      </c>
      <c r="FG28" s="78">
        <v>1541397.86</v>
      </c>
      <c r="FH28" s="78">
        <v>2408517.5</v>
      </c>
      <c r="FI28" s="78">
        <v>3310133.38</v>
      </c>
      <c r="FJ28" s="78">
        <v>1792591.2</v>
      </c>
      <c r="FK28" s="78">
        <v>2081141.31</v>
      </c>
      <c r="FL28" s="78">
        <v>2697450.35</v>
      </c>
      <c r="FM28" s="78">
        <v>1985377.11</v>
      </c>
      <c r="FN28" s="78">
        <v>2352827.11</v>
      </c>
      <c r="FO28" s="78">
        <v>2477150.35</v>
      </c>
      <c r="FP28" s="78">
        <v>1582634.86</v>
      </c>
      <c r="FQ28" s="78">
        <v>3693530.67</v>
      </c>
      <c r="FR28" s="78">
        <f t="shared" ref="FR28:GC28" si="7">SUM(FR29:FR34)</f>
        <v>2226726.9300000002</v>
      </c>
      <c r="FS28" s="78">
        <f t="shared" si="7"/>
        <v>2200614.79</v>
      </c>
      <c r="FT28" s="78">
        <f t="shared" si="7"/>
        <v>1317967.9099999999</v>
      </c>
      <c r="FU28" s="78">
        <f t="shared" si="7"/>
        <v>1597851.36</v>
      </c>
      <c r="FV28" s="78">
        <f t="shared" si="7"/>
        <v>1673853.74</v>
      </c>
      <c r="FW28" s="78">
        <f t="shared" si="7"/>
        <v>2752546.68</v>
      </c>
      <c r="FX28" s="78">
        <f t="shared" si="7"/>
        <v>2600399.91</v>
      </c>
      <c r="FY28" s="78">
        <f t="shared" si="7"/>
        <v>2411610.62</v>
      </c>
      <c r="FZ28" s="78">
        <f t="shared" si="7"/>
        <v>2242559.5</v>
      </c>
      <c r="GA28" s="78">
        <f t="shared" si="7"/>
        <v>3223177.49</v>
      </c>
      <c r="GB28" s="78">
        <f t="shared" si="7"/>
        <v>2393815.35</v>
      </c>
      <c r="GC28" s="78">
        <f t="shared" si="7"/>
        <v>3177660.78</v>
      </c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8"/>
      <c r="HB28" s="78"/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/>
      <c r="HN28" s="78"/>
      <c r="HO28" s="78"/>
      <c r="HP28" s="78"/>
      <c r="HQ28" s="78"/>
      <c r="HR28" s="78"/>
      <c r="HS28" s="78"/>
      <c r="HT28" s="78"/>
      <c r="HU28" s="78"/>
      <c r="HV28" s="78"/>
      <c r="HW28" s="78"/>
      <c r="HX28" s="78"/>
      <c r="HY28" s="78"/>
      <c r="HZ28" s="78"/>
      <c r="IA28" s="78"/>
      <c r="IB28" s="78"/>
      <c r="IC28" s="78"/>
      <c r="ID28" s="78"/>
      <c r="IE28" s="78"/>
      <c r="IF28" s="78"/>
      <c r="IG28" s="78"/>
      <c r="IH28" s="78"/>
      <c r="II28" s="78"/>
      <c r="IJ28" s="78"/>
      <c r="IK28" s="78"/>
      <c r="IL28" s="78"/>
      <c r="IM28" s="78"/>
      <c r="IN28" s="78"/>
      <c r="IO28" s="78"/>
      <c r="IP28" s="78"/>
      <c r="IQ28" s="78"/>
      <c r="IR28" s="78"/>
      <c r="IS28" s="78"/>
      <c r="IT28" s="78"/>
      <c r="IU28" s="78"/>
      <c r="IV28" s="78"/>
      <c r="IW28" s="78"/>
      <c r="IX28" s="78"/>
      <c r="IY28" s="78"/>
      <c r="IZ28" s="78"/>
      <c r="JA28" s="78"/>
      <c r="JB28" s="78"/>
      <c r="JC28" s="78"/>
      <c r="JD28" s="78"/>
      <c r="JE28" s="78"/>
      <c r="JF28" s="78"/>
      <c r="JG28" s="78"/>
      <c r="JH28" s="78"/>
      <c r="JI28" s="78"/>
      <c r="JJ28" s="78"/>
      <c r="JK28" s="78"/>
      <c r="JL28" s="78"/>
      <c r="JM28" s="78"/>
      <c r="JN28" s="78"/>
      <c r="JO28" s="78"/>
      <c r="JP28" s="78"/>
      <c r="JQ28" s="78"/>
      <c r="JR28" s="78"/>
      <c r="JS28" s="78"/>
      <c r="JT28" s="78"/>
      <c r="JU28" s="78"/>
      <c r="JV28" s="78"/>
      <c r="JW28" s="78"/>
      <c r="JX28" s="78"/>
      <c r="JY28" s="78"/>
      <c r="JZ28" s="78"/>
      <c r="KA28" s="78"/>
      <c r="KB28" s="78"/>
      <c r="KC28" s="78"/>
      <c r="KD28" s="78"/>
      <c r="KE28" s="78"/>
      <c r="KF28" s="78"/>
      <c r="KG28" s="78"/>
      <c r="KH28" s="78"/>
      <c r="KI28" s="78"/>
      <c r="KJ28" s="78"/>
      <c r="KK28" s="78"/>
      <c r="KL28" s="78"/>
      <c r="KM28" s="78"/>
      <c r="KN28" s="78"/>
      <c r="KO28" s="78"/>
      <c r="KP28" s="78"/>
      <c r="KQ28" s="78"/>
      <c r="KR28" s="78"/>
      <c r="KS28" s="78"/>
      <c r="KT28" s="78"/>
      <c r="KU28" s="78"/>
      <c r="KV28" s="78"/>
      <c r="KW28" s="78"/>
      <c r="KX28" s="78"/>
      <c r="KY28" s="78"/>
      <c r="KZ28" s="78"/>
      <c r="LA28" s="78"/>
      <c r="LB28" s="78"/>
      <c r="LC28" s="78"/>
      <c r="LD28" s="78"/>
      <c r="LE28" s="78"/>
      <c r="LF28" s="78"/>
      <c r="LG28" s="78"/>
      <c r="LH28" s="78"/>
      <c r="LI28" s="78"/>
    </row>
    <row r="29" spans="1:321" ht="30">
      <c r="D29" s="59">
        <v>7141</v>
      </c>
      <c r="E29" s="60" t="s">
        <v>355</v>
      </c>
      <c r="F29" s="67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  <c r="R29" s="67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67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9"/>
      <c r="AP29" s="67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9"/>
      <c r="BB29" s="67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9"/>
      <c r="BN29" s="67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9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7">
        <v>12391.26</v>
      </c>
      <c r="CM29" s="68">
        <v>9264.06</v>
      </c>
      <c r="CN29" s="68">
        <v>19332.669999999998</v>
      </c>
      <c r="CO29" s="68">
        <v>48395.81</v>
      </c>
      <c r="CP29" s="68">
        <v>27750.959999999999</v>
      </c>
      <c r="CQ29" s="68">
        <v>70400.89</v>
      </c>
      <c r="CR29" s="68">
        <v>64040.69</v>
      </c>
      <c r="CS29" s="68">
        <v>63273.440000000002</v>
      </c>
      <c r="CT29" s="68">
        <v>75343.27</v>
      </c>
      <c r="CU29" s="68">
        <v>96159.1</v>
      </c>
      <c r="CV29" s="68">
        <v>77271.91</v>
      </c>
      <c r="CW29" s="69">
        <v>83642.8</v>
      </c>
      <c r="CX29" s="67">
        <v>11805.07</v>
      </c>
      <c r="CY29" s="68">
        <v>13526.36</v>
      </c>
      <c r="CZ29" s="68">
        <v>13005.58</v>
      </c>
      <c r="DA29" s="68">
        <v>7337.36</v>
      </c>
      <c r="DB29" s="68">
        <v>46276.56</v>
      </c>
      <c r="DC29" s="68">
        <v>117655.46</v>
      </c>
      <c r="DD29" s="68">
        <v>64905.22</v>
      </c>
      <c r="DE29" s="68">
        <v>103478.82</v>
      </c>
      <c r="DF29" s="68">
        <v>93023.22</v>
      </c>
      <c r="DG29" s="68">
        <v>47233.75</v>
      </c>
      <c r="DH29" s="68">
        <v>81196.22</v>
      </c>
      <c r="DI29" s="69">
        <v>91998.38</v>
      </c>
      <c r="DJ29" s="67">
        <v>15802.27</v>
      </c>
      <c r="DK29" s="68">
        <v>8197.84</v>
      </c>
      <c r="DL29" s="68">
        <v>10063.52</v>
      </c>
      <c r="DM29" s="68">
        <v>15169.38</v>
      </c>
      <c r="DN29" s="68">
        <v>11570.17</v>
      </c>
      <c r="DO29" s="68">
        <v>32379.27</v>
      </c>
      <c r="DP29" s="68">
        <v>93023.73</v>
      </c>
      <c r="DQ29" s="68">
        <v>71448.240000000005</v>
      </c>
      <c r="DR29" s="68">
        <v>100000.1</v>
      </c>
      <c r="DS29" s="68">
        <v>58422.01</v>
      </c>
      <c r="DT29" s="68">
        <v>85119.76</v>
      </c>
      <c r="DU29" s="69">
        <v>87874.58</v>
      </c>
      <c r="DV29" s="61">
        <v>16922.66</v>
      </c>
      <c r="DW29" s="61">
        <v>24761.88</v>
      </c>
      <c r="DX29" s="61">
        <v>40454.300000000003</v>
      </c>
      <c r="DY29" s="61">
        <v>28670.81</v>
      </c>
      <c r="DZ29" s="61">
        <v>112730.53</v>
      </c>
      <c r="EA29" s="61">
        <v>72255.11</v>
      </c>
      <c r="EB29" s="61">
        <v>64500.49</v>
      </c>
      <c r="EC29" s="79">
        <v>96171.13</v>
      </c>
      <c r="ED29" s="79">
        <v>53814.879999999997</v>
      </c>
      <c r="EE29" s="79">
        <v>61203.82</v>
      </c>
      <c r="EF29" s="79">
        <v>72483.73</v>
      </c>
      <c r="EG29" s="79">
        <v>118273.46</v>
      </c>
      <c r="EH29" s="62"/>
      <c r="EI29" s="62">
        <v>4825.2299999999996</v>
      </c>
      <c r="EJ29" s="62">
        <v>39152.15</v>
      </c>
      <c r="EK29" s="62">
        <v>81193.86</v>
      </c>
      <c r="EL29" s="62">
        <v>65558.350000000006</v>
      </c>
      <c r="EM29" s="62">
        <v>66880.78</v>
      </c>
      <c r="EN29" s="62">
        <v>65651.399999999994</v>
      </c>
      <c r="EO29" s="62">
        <v>67904.44</v>
      </c>
      <c r="EP29" s="62">
        <v>81157.73</v>
      </c>
      <c r="EQ29" s="62">
        <v>64320.84</v>
      </c>
      <c r="ER29" s="62">
        <v>75525.88</v>
      </c>
      <c r="ES29" s="62"/>
      <c r="ET29" s="62">
        <v>29715.1</v>
      </c>
      <c r="EU29" s="62">
        <v>46180.29</v>
      </c>
      <c r="EV29" s="62">
        <v>18063.61</v>
      </c>
      <c r="EW29" s="62">
        <v>83410.44</v>
      </c>
      <c r="EX29" s="62">
        <v>66835.44</v>
      </c>
      <c r="EY29" s="62">
        <v>101713.07</v>
      </c>
      <c r="EZ29" s="62">
        <v>104118.29</v>
      </c>
      <c r="FA29" s="62">
        <v>118234.07</v>
      </c>
      <c r="FB29" s="62">
        <v>81006.02</v>
      </c>
      <c r="FC29" s="62">
        <v>57855.839999999997</v>
      </c>
      <c r="FD29" s="62">
        <v>90637.37</v>
      </c>
      <c r="FE29" s="62">
        <v>149714.78</v>
      </c>
      <c r="FF29" s="62">
        <v>5596.5</v>
      </c>
      <c r="FG29" s="62">
        <v>10696.96</v>
      </c>
      <c r="FH29" s="62">
        <v>76041.279999999999</v>
      </c>
      <c r="FI29" s="62">
        <v>41798.769999999997</v>
      </c>
      <c r="FJ29" s="62">
        <v>88788.45</v>
      </c>
      <c r="FK29" s="62">
        <v>110473.68</v>
      </c>
      <c r="FL29" s="62">
        <v>103362.04</v>
      </c>
      <c r="FM29" s="62">
        <v>105693.82</v>
      </c>
      <c r="FN29" s="62">
        <v>106555.2</v>
      </c>
      <c r="FO29" s="62">
        <v>95661.45</v>
      </c>
      <c r="FP29" s="62">
        <v>81294.649999999994</v>
      </c>
      <c r="FQ29" s="62">
        <v>139471.48000000001</v>
      </c>
      <c r="FR29" s="62">
        <v>12379.87</v>
      </c>
      <c r="FS29" s="62">
        <v>97907.71</v>
      </c>
      <c r="FT29" s="62">
        <v>52092.02</v>
      </c>
      <c r="FU29" s="62">
        <v>14342.89</v>
      </c>
      <c r="FV29" s="62">
        <v>87152.16</v>
      </c>
      <c r="FW29" s="62">
        <v>81348.72</v>
      </c>
      <c r="FX29" s="62">
        <v>109642.98</v>
      </c>
      <c r="FY29" s="62">
        <v>109984.29</v>
      </c>
      <c r="FZ29" s="62">
        <v>102119.51</v>
      </c>
      <c r="GA29" s="62">
        <v>106355.56</v>
      </c>
      <c r="GB29" s="62">
        <v>226994.53</v>
      </c>
      <c r="GC29" s="62">
        <v>176994.48</v>
      </c>
      <c r="GD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  <c r="IU29" s="62"/>
      <c r="IV29" s="62"/>
      <c r="IW29" s="62"/>
      <c r="IX29" s="62"/>
      <c r="IY29" s="62"/>
      <c r="IZ29" s="62"/>
      <c r="JA29" s="62"/>
      <c r="JB29" s="62"/>
      <c r="JC29" s="62"/>
      <c r="JD29" s="62"/>
      <c r="JE29" s="62"/>
      <c r="JF29" s="62"/>
      <c r="JG29" s="62"/>
      <c r="JH29" s="62"/>
      <c r="JI29" s="62"/>
      <c r="JJ29" s="62"/>
      <c r="JK29" s="62"/>
      <c r="JL29" s="62"/>
      <c r="JM29" s="62"/>
      <c r="JN29" s="62"/>
      <c r="JO29" s="62"/>
      <c r="JP29" s="62"/>
      <c r="JQ29" s="62"/>
      <c r="JR29" s="62"/>
      <c r="JS29" s="62"/>
      <c r="JT29" s="62"/>
      <c r="JU29" s="62"/>
      <c r="JV29" s="62"/>
      <c r="JW29" s="62"/>
      <c r="JX29" s="62"/>
      <c r="JY29" s="62"/>
      <c r="JZ29" s="62"/>
      <c r="KA29" s="62"/>
      <c r="KB29" s="62"/>
      <c r="KC29" s="62"/>
      <c r="KD29" s="62"/>
      <c r="KE29" s="62"/>
      <c r="KF29" s="62"/>
      <c r="KG29" s="62"/>
      <c r="KH29" s="62"/>
      <c r="KI29" s="62"/>
      <c r="KJ29" s="62"/>
      <c r="KK29" s="62"/>
      <c r="KL29" s="62"/>
      <c r="KM29" s="62"/>
      <c r="KN29" s="62"/>
      <c r="KO29" s="62"/>
      <c r="KP29" s="62"/>
      <c r="KQ29" s="62"/>
      <c r="KR29" s="62"/>
      <c r="KS29" s="62"/>
      <c r="KT29" s="62"/>
      <c r="KU29" s="62"/>
      <c r="KV29" s="62"/>
      <c r="KW29" s="62"/>
      <c r="KX29" s="62"/>
      <c r="KY29" s="62"/>
      <c r="KZ29" s="62"/>
      <c r="LA29" s="62"/>
      <c r="LB29" s="62"/>
      <c r="LC29" s="62"/>
      <c r="LD29" s="62"/>
      <c r="LE29" s="62"/>
      <c r="LF29" s="62"/>
      <c r="LG29" s="62"/>
      <c r="LH29" s="62"/>
      <c r="LI29" s="62"/>
    </row>
    <row r="30" spans="1:321" ht="30">
      <c r="D30" s="59">
        <v>7142</v>
      </c>
      <c r="E30" s="60" t="s">
        <v>356</v>
      </c>
      <c r="F30" s="67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9"/>
      <c r="R30" s="67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67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9"/>
      <c r="AP30" s="67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9"/>
      <c r="BB30" s="67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9"/>
      <c r="BN30" s="67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9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7">
        <v>68464.97</v>
      </c>
      <c r="CM30" s="68">
        <v>158539.48000000001</v>
      </c>
      <c r="CN30" s="68">
        <v>86875.06</v>
      </c>
      <c r="CO30" s="68">
        <v>139023.51</v>
      </c>
      <c r="CP30" s="68">
        <v>88167.33</v>
      </c>
      <c r="CQ30" s="68">
        <v>150765.28</v>
      </c>
      <c r="CR30" s="68">
        <v>282162.89</v>
      </c>
      <c r="CS30" s="68">
        <v>250555.05</v>
      </c>
      <c r="CT30" s="68">
        <v>339587.75</v>
      </c>
      <c r="CU30" s="68">
        <v>157373.04</v>
      </c>
      <c r="CV30" s="68">
        <v>139158.56</v>
      </c>
      <c r="CW30" s="69">
        <v>134510.71</v>
      </c>
      <c r="CX30" s="67">
        <v>199447.96</v>
      </c>
      <c r="CY30" s="68">
        <v>95519.52</v>
      </c>
      <c r="CZ30" s="68">
        <v>97649.919999999998</v>
      </c>
      <c r="DA30" s="68">
        <v>82870.850000000006</v>
      </c>
      <c r="DB30" s="68">
        <v>71980.22</v>
      </c>
      <c r="DC30" s="68">
        <v>144705</v>
      </c>
      <c r="DD30" s="68">
        <v>259275.84</v>
      </c>
      <c r="DE30" s="68">
        <v>192419.95</v>
      </c>
      <c r="DF30" s="68">
        <v>222474.97</v>
      </c>
      <c r="DG30" s="68">
        <v>231620.43</v>
      </c>
      <c r="DH30" s="68">
        <v>227627.36</v>
      </c>
      <c r="DI30" s="69">
        <v>361777.89</v>
      </c>
      <c r="DJ30" s="67">
        <v>185675.62</v>
      </c>
      <c r="DK30" s="68">
        <v>180971.79</v>
      </c>
      <c r="DL30" s="68">
        <v>56727.17</v>
      </c>
      <c r="DM30" s="68">
        <v>91809.7</v>
      </c>
      <c r="DN30" s="68">
        <v>172520.57</v>
      </c>
      <c r="DO30" s="68">
        <v>295154.81</v>
      </c>
      <c r="DP30" s="68">
        <v>235332.98</v>
      </c>
      <c r="DQ30" s="68">
        <v>104769.61</v>
      </c>
      <c r="DR30" s="68">
        <v>102156.98</v>
      </c>
      <c r="DS30" s="68">
        <v>124206.13</v>
      </c>
      <c r="DT30" s="68">
        <v>191978.25</v>
      </c>
      <c r="DU30" s="69">
        <v>276158.17</v>
      </c>
      <c r="DV30" s="61">
        <v>164180.07999999999</v>
      </c>
      <c r="DW30" s="61">
        <v>112295.88</v>
      </c>
      <c r="DX30" s="61">
        <v>67805.72</v>
      </c>
      <c r="DY30" s="61">
        <v>117301.47</v>
      </c>
      <c r="DZ30" s="61">
        <v>153164.76</v>
      </c>
      <c r="EA30" s="61">
        <v>279278</v>
      </c>
      <c r="EB30" s="61">
        <v>344846.57</v>
      </c>
      <c r="EC30" s="79">
        <v>331321.89</v>
      </c>
      <c r="ED30" s="79">
        <v>92161.71</v>
      </c>
      <c r="EE30" s="79">
        <v>218226.67</v>
      </c>
      <c r="EF30" s="79">
        <v>223645.42</v>
      </c>
      <c r="EG30" s="79">
        <v>841049.32</v>
      </c>
      <c r="EH30" s="62"/>
      <c r="EI30" s="62">
        <v>126900.05</v>
      </c>
      <c r="EJ30" s="62">
        <v>102017.26</v>
      </c>
      <c r="EK30" s="62">
        <v>133967.31</v>
      </c>
      <c r="EL30" s="62">
        <v>127991.58</v>
      </c>
      <c r="EM30" s="62">
        <v>272840.27</v>
      </c>
      <c r="EN30" s="62">
        <v>382081.72</v>
      </c>
      <c r="EO30" s="62">
        <v>275535.38</v>
      </c>
      <c r="EP30" s="62">
        <v>90798.52</v>
      </c>
      <c r="EQ30" s="62">
        <v>438426.96</v>
      </c>
      <c r="ER30" s="62">
        <v>377340.14</v>
      </c>
      <c r="ES30" s="62"/>
      <c r="ET30" s="62">
        <v>120406.14</v>
      </c>
      <c r="EU30" s="62">
        <v>138658.04999999999</v>
      </c>
      <c r="EV30" s="62">
        <v>485233.25</v>
      </c>
      <c r="EW30" s="62">
        <v>85828.09</v>
      </c>
      <c r="EX30" s="62">
        <v>283390.12</v>
      </c>
      <c r="EY30" s="62">
        <v>262222.99</v>
      </c>
      <c r="EZ30" s="62">
        <v>403048.88</v>
      </c>
      <c r="FA30" s="62">
        <v>378574.18</v>
      </c>
      <c r="FB30" s="62">
        <v>265996.12</v>
      </c>
      <c r="FC30" s="62">
        <v>294470.17</v>
      </c>
      <c r="FD30" s="62">
        <v>250272.14</v>
      </c>
      <c r="FE30" s="62">
        <v>908698.35</v>
      </c>
      <c r="FF30" s="62">
        <v>111165.46</v>
      </c>
      <c r="FG30" s="62">
        <v>101009.27</v>
      </c>
      <c r="FH30" s="62">
        <v>694197.59</v>
      </c>
      <c r="FI30" s="62">
        <v>315889.09000000003</v>
      </c>
      <c r="FJ30" s="62">
        <v>290980.86</v>
      </c>
      <c r="FK30" s="62">
        <v>135939.44</v>
      </c>
      <c r="FL30" s="62">
        <v>445502.71999999997</v>
      </c>
      <c r="FM30" s="62">
        <v>356375.46</v>
      </c>
      <c r="FN30" s="62">
        <v>240201.78</v>
      </c>
      <c r="FO30" s="62">
        <v>184381.28</v>
      </c>
      <c r="FP30" s="62" t="s">
        <v>357</v>
      </c>
      <c r="FQ30" s="62">
        <v>979690.53</v>
      </c>
      <c r="FR30" s="62">
        <v>126343.77</v>
      </c>
      <c r="FS30" s="62">
        <v>175288.1</v>
      </c>
      <c r="FT30" s="62">
        <v>73729.09</v>
      </c>
      <c r="FU30" s="62">
        <v>146244.51</v>
      </c>
      <c r="FV30" s="62">
        <v>524686.37</v>
      </c>
      <c r="FW30" s="62">
        <v>614436.35</v>
      </c>
      <c r="FX30" s="62">
        <v>370732.68</v>
      </c>
      <c r="FY30" s="62">
        <v>372851.54</v>
      </c>
      <c r="FZ30" s="62">
        <v>313382.03000000003</v>
      </c>
      <c r="GA30" s="62">
        <v>289172.03000000003</v>
      </c>
      <c r="GB30" s="62">
        <v>201230.68</v>
      </c>
      <c r="GC30" s="62">
        <v>477021.54</v>
      </c>
      <c r="GD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62"/>
      <c r="IF30" s="62"/>
      <c r="IG30" s="62"/>
      <c r="IH30" s="62"/>
      <c r="II30" s="62"/>
      <c r="IJ30" s="62"/>
      <c r="IK30" s="62"/>
      <c r="IL30" s="62"/>
      <c r="IM30" s="62"/>
      <c r="IN30" s="62"/>
      <c r="IO30" s="62"/>
      <c r="IP30" s="62"/>
      <c r="IQ30" s="62"/>
      <c r="IR30" s="62"/>
      <c r="IS30" s="62"/>
      <c r="IT30" s="62"/>
      <c r="IU30" s="62"/>
      <c r="IV30" s="62"/>
      <c r="IW30" s="62"/>
      <c r="IX30" s="62"/>
      <c r="IY30" s="62"/>
      <c r="IZ30" s="62"/>
      <c r="JA30" s="62"/>
      <c r="JB30" s="62"/>
      <c r="JC30" s="62"/>
      <c r="JD30" s="62"/>
      <c r="JE30" s="62"/>
      <c r="JF30" s="62"/>
      <c r="JG30" s="62"/>
      <c r="JH30" s="62"/>
      <c r="JI30" s="62"/>
      <c r="JJ30" s="62"/>
      <c r="JK30" s="62"/>
      <c r="JL30" s="62"/>
      <c r="JM30" s="62"/>
      <c r="JN30" s="62"/>
      <c r="JO30" s="62"/>
      <c r="JP30" s="62"/>
      <c r="JQ30" s="62"/>
      <c r="JR30" s="62"/>
      <c r="JS30" s="62"/>
      <c r="JT30" s="62"/>
      <c r="JU30" s="62"/>
      <c r="JV30" s="62"/>
      <c r="JW30" s="62"/>
      <c r="JX30" s="62"/>
      <c r="JY30" s="62"/>
      <c r="JZ30" s="62"/>
      <c r="KA30" s="62"/>
      <c r="KB30" s="62"/>
      <c r="KC30" s="62"/>
      <c r="KD30" s="62"/>
      <c r="KE30" s="62"/>
      <c r="KF30" s="62"/>
      <c r="KG30" s="62"/>
      <c r="KH30" s="62"/>
      <c r="KI30" s="62"/>
      <c r="KJ30" s="62"/>
      <c r="KK30" s="62"/>
      <c r="KL30" s="62"/>
      <c r="KM30" s="62"/>
      <c r="KN30" s="62"/>
      <c r="KO30" s="62"/>
      <c r="KP30" s="62"/>
      <c r="KQ30" s="62"/>
      <c r="KR30" s="62"/>
      <c r="KS30" s="62"/>
      <c r="KT30" s="62"/>
      <c r="KU30" s="62"/>
      <c r="KV30" s="62"/>
      <c r="KW30" s="62"/>
      <c r="KX30" s="62"/>
      <c r="KY30" s="62"/>
      <c r="KZ30" s="62"/>
      <c r="LA30" s="62"/>
      <c r="LB30" s="62"/>
      <c r="LC30" s="62"/>
      <c r="LD30" s="62"/>
      <c r="LE30" s="62"/>
      <c r="LF30" s="62"/>
      <c r="LG30" s="62"/>
      <c r="LH30" s="62"/>
      <c r="LI30" s="62"/>
    </row>
    <row r="31" spans="1:321">
      <c r="D31" s="59">
        <v>7143</v>
      </c>
      <c r="E31" s="60" t="s">
        <v>358</v>
      </c>
      <c r="F31" s="67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9"/>
      <c r="R31" s="67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67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9"/>
      <c r="AP31" s="67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9"/>
      <c r="BB31" s="67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9"/>
      <c r="BN31" s="67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9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7">
        <v>6048</v>
      </c>
      <c r="CM31" s="68">
        <v>320.11</v>
      </c>
      <c r="CN31" s="68">
        <v>56177.94</v>
      </c>
      <c r="CO31" s="68">
        <v>130839.86</v>
      </c>
      <c r="CP31" s="68">
        <v>16753.849999999999</v>
      </c>
      <c r="CQ31" s="68">
        <v>764.61</v>
      </c>
      <c r="CR31" s="68">
        <v>914.61</v>
      </c>
      <c r="CS31" s="68">
        <v>42276.51</v>
      </c>
      <c r="CT31" s="68">
        <v>13918.49</v>
      </c>
      <c r="CU31" s="68">
        <v>13185.38</v>
      </c>
      <c r="CV31" s="68">
        <v>13874</v>
      </c>
      <c r="CW31" s="69">
        <v>14777.89</v>
      </c>
      <c r="CX31" s="67">
        <v>1060.0899999999999</v>
      </c>
      <c r="CY31" s="68">
        <v>375.97</v>
      </c>
      <c r="CZ31" s="68">
        <v>13202.22</v>
      </c>
      <c r="DA31" s="68">
        <v>12964.26</v>
      </c>
      <c r="DB31" s="68">
        <v>26281.200000000001</v>
      </c>
      <c r="DC31" s="68">
        <v>348.13</v>
      </c>
      <c r="DD31" s="68">
        <v>1616.23</v>
      </c>
      <c r="DE31" s="68">
        <v>1010.33</v>
      </c>
      <c r="DF31" s="68">
        <v>44516.99</v>
      </c>
      <c r="DG31" s="68">
        <v>2431.4299999999998</v>
      </c>
      <c r="DH31" s="68">
        <v>36650.42</v>
      </c>
      <c r="DI31" s="69">
        <v>26159.97</v>
      </c>
      <c r="DJ31" s="67">
        <v>1212.81</v>
      </c>
      <c r="DK31" s="68">
        <v>5175.47</v>
      </c>
      <c r="DL31" s="68">
        <v>732.47</v>
      </c>
      <c r="DM31" s="68">
        <v>627.47</v>
      </c>
      <c r="DN31" s="68">
        <v>613.48</v>
      </c>
      <c r="DO31" s="68">
        <v>744.61</v>
      </c>
      <c r="DP31" s="68">
        <v>14916.06</v>
      </c>
      <c r="DQ31" s="68">
        <v>14159.26</v>
      </c>
      <c r="DR31" s="68">
        <v>17809.689999999999</v>
      </c>
      <c r="DS31" s="68">
        <v>21494.94</v>
      </c>
      <c r="DT31" s="68">
        <v>17048.189999999999</v>
      </c>
      <c r="DU31" s="69">
        <v>4983.75</v>
      </c>
      <c r="DV31" s="61">
        <v>4609.49</v>
      </c>
      <c r="DW31" s="61">
        <v>5593.41</v>
      </c>
      <c r="DX31" s="61">
        <v>24780.14</v>
      </c>
      <c r="DY31" s="61">
        <v>5563.09</v>
      </c>
      <c r="DZ31" s="61">
        <v>6386.11</v>
      </c>
      <c r="EA31" s="61">
        <v>15939.31</v>
      </c>
      <c r="EB31" s="61">
        <v>15760.83</v>
      </c>
      <c r="EC31" s="79">
        <v>19011.66</v>
      </c>
      <c r="ED31" s="79">
        <v>13015.33</v>
      </c>
      <c r="EE31" s="79">
        <v>84448.33</v>
      </c>
      <c r="EF31" s="79">
        <v>36746.82</v>
      </c>
      <c r="EG31" s="79">
        <v>46419.67</v>
      </c>
      <c r="EH31" s="62"/>
      <c r="EI31" s="62">
        <v>35010.43</v>
      </c>
      <c r="EJ31" s="62">
        <v>25986.28</v>
      </c>
      <c r="EK31" s="62">
        <v>43166.59</v>
      </c>
      <c r="EL31" s="62">
        <v>34131.769999999997</v>
      </c>
      <c r="EM31" s="62">
        <v>1161.1600000000001</v>
      </c>
      <c r="EN31" s="62">
        <v>1020.17</v>
      </c>
      <c r="EO31" s="62">
        <v>1186.8900000000001</v>
      </c>
      <c r="EP31" s="62">
        <v>22556.09</v>
      </c>
      <c r="EQ31" s="62">
        <v>50610.99</v>
      </c>
      <c r="ER31" s="62">
        <v>22120.86</v>
      </c>
      <c r="ES31" s="62"/>
      <c r="ET31" s="62">
        <v>1567.64</v>
      </c>
      <c r="EU31" s="62">
        <v>1648.75</v>
      </c>
      <c r="EV31" s="62">
        <v>4833.8900000000003</v>
      </c>
      <c r="EW31" s="62">
        <v>82035.429999999993</v>
      </c>
      <c r="EX31" s="62">
        <v>32311.79</v>
      </c>
      <c r="EY31" s="62">
        <v>65947.759999999995</v>
      </c>
      <c r="EZ31" s="62">
        <v>6390.76</v>
      </c>
      <c r="FA31" s="62">
        <v>1900.91</v>
      </c>
      <c r="FB31" s="62">
        <v>2654.64</v>
      </c>
      <c r="FC31" s="62">
        <v>65997.5</v>
      </c>
      <c r="FD31" s="62">
        <v>40835.53</v>
      </c>
      <c r="FE31" s="62">
        <v>52221.62</v>
      </c>
      <c r="FF31" s="62">
        <v>45324.14</v>
      </c>
      <c r="FG31" s="62">
        <v>46657.06</v>
      </c>
      <c r="FH31" s="62">
        <v>40888.620000000003</v>
      </c>
      <c r="FI31" s="62">
        <v>41064.94</v>
      </c>
      <c r="FJ31" s="62">
        <v>48239.28</v>
      </c>
      <c r="FK31" s="62">
        <v>41465.49</v>
      </c>
      <c r="FL31" s="62">
        <v>41127.160000000003</v>
      </c>
      <c r="FM31" s="62">
        <v>9621.83</v>
      </c>
      <c r="FN31" s="62">
        <v>1598.75</v>
      </c>
      <c r="FO31" s="62">
        <v>362.18</v>
      </c>
      <c r="FP31" s="62">
        <v>53.62</v>
      </c>
      <c r="FQ31" s="62">
        <v>211.22</v>
      </c>
      <c r="FR31" s="62">
        <v>84.68</v>
      </c>
      <c r="FS31" s="62">
        <v>84.68</v>
      </c>
      <c r="FT31" s="62">
        <v>184.88</v>
      </c>
      <c r="FU31" s="62"/>
      <c r="FV31" s="62"/>
      <c r="FW31" s="62"/>
      <c r="FZ31" s="62"/>
      <c r="GA31" s="62"/>
      <c r="GB31" s="62"/>
      <c r="GC31" s="62"/>
      <c r="GD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62"/>
      <c r="HJ31" s="62"/>
      <c r="HK31" s="62"/>
      <c r="HL31" s="62"/>
      <c r="HM31" s="62"/>
      <c r="HN31" s="62"/>
      <c r="HO31" s="62"/>
      <c r="HP31" s="62"/>
      <c r="HQ31" s="62"/>
      <c r="HR31" s="62"/>
      <c r="HS31" s="62"/>
      <c r="HT31" s="62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62"/>
      <c r="IF31" s="62"/>
      <c r="IG31" s="62"/>
      <c r="IH31" s="62"/>
      <c r="II31" s="62"/>
      <c r="IJ31" s="62"/>
      <c r="IK31" s="62"/>
      <c r="IL31" s="62"/>
      <c r="IM31" s="62"/>
      <c r="IN31" s="62"/>
      <c r="IO31" s="62"/>
      <c r="IP31" s="62"/>
      <c r="IQ31" s="62"/>
      <c r="IR31" s="62"/>
      <c r="IS31" s="62"/>
      <c r="IT31" s="62"/>
      <c r="IU31" s="62"/>
      <c r="IV31" s="62"/>
      <c r="IW31" s="62"/>
      <c r="IX31" s="62"/>
      <c r="IY31" s="62"/>
      <c r="IZ31" s="62"/>
      <c r="JA31" s="62"/>
      <c r="JB31" s="62"/>
      <c r="JC31" s="62"/>
      <c r="JD31" s="62"/>
      <c r="JE31" s="62"/>
      <c r="JF31" s="62"/>
      <c r="JG31" s="62"/>
      <c r="JH31" s="62"/>
      <c r="JI31" s="62"/>
      <c r="JJ31" s="62"/>
      <c r="JK31" s="62"/>
      <c r="JL31" s="62"/>
      <c r="JM31" s="62"/>
      <c r="JN31" s="62"/>
      <c r="JO31" s="62"/>
      <c r="JP31" s="62"/>
      <c r="JQ31" s="62"/>
      <c r="JR31" s="62"/>
      <c r="JS31" s="62"/>
      <c r="JT31" s="62"/>
      <c r="JU31" s="62"/>
      <c r="JV31" s="62"/>
      <c r="JW31" s="62"/>
      <c r="JX31" s="62"/>
      <c r="JY31" s="62"/>
      <c r="JZ31" s="62"/>
      <c r="KA31" s="62"/>
      <c r="KB31" s="62"/>
      <c r="KC31" s="62"/>
      <c r="KD31" s="62"/>
      <c r="KE31" s="62"/>
      <c r="KF31" s="62"/>
      <c r="KG31" s="62"/>
      <c r="KH31" s="62"/>
      <c r="KI31" s="62"/>
      <c r="KJ31" s="62"/>
      <c r="KK31" s="62"/>
      <c r="KL31" s="62"/>
      <c r="KM31" s="62"/>
      <c r="KN31" s="62"/>
      <c r="KO31" s="62"/>
      <c r="KP31" s="62"/>
      <c r="KQ31" s="62"/>
      <c r="KR31" s="62"/>
      <c r="KS31" s="62"/>
      <c r="KT31" s="62"/>
      <c r="KU31" s="62"/>
      <c r="KV31" s="62"/>
      <c r="KW31" s="62"/>
      <c r="KX31" s="62"/>
      <c r="KY31" s="62"/>
      <c r="KZ31" s="62"/>
      <c r="LA31" s="62"/>
      <c r="LB31" s="62"/>
      <c r="LC31" s="62"/>
      <c r="LD31" s="62"/>
      <c r="LE31" s="62"/>
      <c r="LF31" s="62"/>
      <c r="LG31" s="62"/>
      <c r="LH31" s="62"/>
      <c r="LI31" s="62"/>
    </row>
    <row r="32" spans="1:321" ht="30">
      <c r="D32" s="59">
        <v>7144</v>
      </c>
      <c r="E32" s="60" t="s">
        <v>359</v>
      </c>
      <c r="F32" s="67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9"/>
      <c r="R32" s="67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67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9"/>
      <c r="AP32" s="67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9"/>
      <c r="BB32" s="67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9"/>
      <c r="BN32" s="67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9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7">
        <v>222019.59</v>
      </c>
      <c r="CM32" s="68">
        <v>260412.76</v>
      </c>
      <c r="CN32" s="68">
        <v>313915.52000000002</v>
      </c>
      <c r="CO32" s="68">
        <v>296413.03999999998</v>
      </c>
      <c r="CP32" s="68">
        <v>213025.27</v>
      </c>
      <c r="CQ32" s="68">
        <v>239906.22</v>
      </c>
      <c r="CR32" s="68">
        <v>270961.98</v>
      </c>
      <c r="CS32" s="68">
        <v>229984.6</v>
      </c>
      <c r="CT32" s="68">
        <v>298987.89</v>
      </c>
      <c r="CU32" s="68">
        <v>282520.88</v>
      </c>
      <c r="CV32" s="68">
        <v>371527.13</v>
      </c>
      <c r="CW32" s="69">
        <v>324502.28000000003</v>
      </c>
      <c r="CX32" s="67">
        <v>353041.95</v>
      </c>
      <c r="CY32" s="68">
        <v>346116.13</v>
      </c>
      <c r="CZ32" s="68">
        <v>387159.84</v>
      </c>
      <c r="DA32" s="68">
        <v>354782.12</v>
      </c>
      <c r="DB32" s="68">
        <v>305099.5</v>
      </c>
      <c r="DC32" s="68">
        <v>376168.74</v>
      </c>
      <c r="DD32" s="68">
        <v>484126.17</v>
      </c>
      <c r="DE32" s="68">
        <v>530705.4</v>
      </c>
      <c r="DF32" s="68">
        <v>537911.5</v>
      </c>
      <c r="DG32" s="68">
        <v>446582.67</v>
      </c>
      <c r="DH32" s="68">
        <v>423348.29</v>
      </c>
      <c r="DI32" s="69">
        <v>420348.35</v>
      </c>
      <c r="DJ32" s="67">
        <v>237130.88</v>
      </c>
      <c r="DK32" s="68">
        <v>506068.23</v>
      </c>
      <c r="DL32" s="68">
        <v>403925.92</v>
      </c>
      <c r="DM32" s="68">
        <v>395780.74</v>
      </c>
      <c r="DN32" s="68">
        <v>414824.88</v>
      </c>
      <c r="DO32" s="68">
        <v>427154.32</v>
      </c>
      <c r="DP32" s="68">
        <v>559998.53</v>
      </c>
      <c r="DQ32" s="68">
        <v>678925.78</v>
      </c>
      <c r="DR32" s="68">
        <v>668593.31999999995</v>
      </c>
      <c r="DS32" s="68">
        <v>489848.27</v>
      </c>
      <c r="DT32" s="68">
        <v>620822.77</v>
      </c>
      <c r="DU32" s="69">
        <v>821027.68</v>
      </c>
      <c r="DV32" s="61">
        <v>546646.32999999996</v>
      </c>
      <c r="DW32" s="61">
        <v>758261.73</v>
      </c>
      <c r="DX32" s="61">
        <v>688043.12</v>
      </c>
      <c r="DY32" s="61">
        <v>613809.31000000006</v>
      </c>
      <c r="DZ32" s="61">
        <v>649723.39</v>
      </c>
      <c r="EA32" s="61">
        <v>676775.31</v>
      </c>
      <c r="EB32" s="61">
        <v>758543.53</v>
      </c>
      <c r="EC32" s="79">
        <v>787839.83</v>
      </c>
      <c r="ED32" s="79">
        <v>925001.79</v>
      </c>
      <c r="EE32" s="79">
        <v>1100721.78</v>
      </c>
      <c r="EF32" s="79">
        <v>784742.7</v>
      </c>
      <c r="EG32" s="79">
        <v>924077.09</v>
      </c>
      <c r="EH32" s="62"/>
      <c r="EI32" s="62">
        <v>712760.85</v>
      </c>
      <c r="EJ32" s="62">
        <v>756186.12</v>
      </c>
      <c r="EK32" s="62">
        <v>387365.9</v>
      </c>
      <c r="EL32" s="62">
        <v>629940.98</v>
      </c>
      <c r="EM32" s="62" t="s">
        <v>360</v>
      </c>
      <c r="EN32" s="62" t="s">
        <v>361</v>
      </c>
      <c r="EO32" s="62">
        <v>608693.02</v>
      </c>
      <c r="EP32" s="62" t="s">
        <v>362</v>
      </c>
      <c r="EQ32" s="62">
        <v>179273.43</v>
      </c>
      <c r="ER32" s="62" t="s">
        <v>363</v>
      </c>
      <c r="ES32" s="62"/>
      <c r="ET32" s="62">
        <v>564026.22</v>
      </c>
      <c r="EU32" s="62">
        <v>552007.56999999995</v>
      </c>
      <c r="EV32" s="62">
        <v>707063.83</v>
      </c>
      <c r="EW32" s="62">
        <v>581397.98</v>
      </c>
      <c r="EX32" s="62">
        <v>573080.97</v>
      </c>
      <c r="EY32" s="62">
        <v>1574566.11</v>
      </c>
      <c r="EZ32" s="62">
        <v>955585.38</v>
      </c>
      <c r="FA32" s="62">
        <v>689826.98</v>
      </c>
      <c r="FB32" s="62">
        <v>742579.81</v>
      </c>
      <c r="FC32" s="62">
        <v>640790.87</v>
      </c>
      <c r="FD32" s="62">
        <v>707930.07</v>
      </c>
      <c r="FE32" s="62">
        <v>719782.34</v>
      </c>
      <c r="FF32" s="62">
        <v>654304.80000000005</v>
      </c>
      <c r="FG32" s="62">
        <v>660078.18000000005</v>
      </c>
      <c r="FH32" s="62">
        <v>634606.16</v>
      </c>
      <c r="FI32" s="62">
        <v>1775211.97</v>
      </c>
      <c r="FJ32" s="62">
        <v>687337.58</v>
      </c>
      <c r="FK32" s="62">
        <v>695892.2</v>
      </c>
      <c r="FL32" s="62">
        <v>651540.54</v>
      </c>
      <c r="FM32" s="62">
        <v>767953.92000000004</v>
      </c>
      <c r="FN32" s="62">
        <v>784081.67</v>
      </c>
      <c r="FO32" s="62">
        <v>724299.03</v>
      </c>
      <c r="FP32" s="62">
        <v>596511.78</v>
      </c>
      <c r="FQ32" s="62">
        <v>895747.97</v>
      </c>
      <c r="FR32" s="62">
        <v>706117.19</v>
      </c>
      <c r="FS32" s="62">
        <v>791268.92</v>
      </c>
      <c r="FT32" s="62">
        <v>591906.53</v>
      </c>
      <c r="FU32" s="62">
        <v>76083.25</v>
      </c>
      <c r="FV32" s="62">
        <v>173594.14</v>
      </c>
      <c r="FW32" s="62">
        <v>354011.66</v>
      </c>
      <c r="FX32" s="62">
        <v>855300.24</v>
      </c>
      <c r="FY32" s="62">
        <v>599716.22</v>
      </c>
      <c r="FZ32" s="62">
        <v>801760.15</v>
      </c>
      <c r="GA32" s="62">
        <v>782832.01</v>
      </c>
      <c r="GB32" s="62">
        <v>655299.25</v>
      </c>
      <c r="GC32" s="62">
        <v>757713.58</v>
      </c>
      <c r="GD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62"/>
      <c r="HJ32" s="62"/>
      <c r="HK32" s="62"/>
      <c r="HL32" s="62"/>
      <c r="HM32" s="62"/>
      <c r="HN32" s="62"/>
      <c r="HO32" s="62"/>
      <c r="HP32" s="62"/>
      <c r="HQ32" s="62"/>
      <c r="HR32" s="62"/>
      <c r="HS32" s="62"/>
      <c r="HT32" s="62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62"/>
      <c r="IF32" s="62"/>
      <c r="IG32" s="62"/>
      <c r="IH32" s="62"/>
      <c r="II32" s="62"/>
      <c r="IJ32" s="62"/>
      <c r="IK32" s="62"/>
      <c r="IL32" s="62"/>
      <c r="IM32" s="62"/>
      <c r="IN32" s="62"/>
      <c r="IO32" s="62"/>
      <c r="IP32" s="62"/>
      <c r="IQ32" s="62"/>
      <c r="IR32" s="62"/>
      <c r="IS32" s="62"/>
      <c r="IT32" s="62"/>
      <c r="IU32" s="62"/>
      <c r="IV32" s="62"/>
      <c r="IW32" s="62"/>
      <c r="IX32" s="62"/>
      <c r="IY32" s="62"/>
      <c r="IZ32" s="62"/>
      <c r="JA32" s="62"/>
      <c r="JB32" s="62"/>
      <c r="JC32" s="62"/>
      <c r="JD32" s="62"/>
      <c r="JE32" s="62"/>
      <c r="JF32" s="62"/>
      <c r="JG32" s="62"/>
      <c r="JH32" s="62"/>
      <c r="JI32" s="62"/>
      <c r="JJ32" s="62"/>
      <c r="JK32" s="62"/>
      <c r="JL32" s="62"/>
      <c r="JM32" s="62"/>
      <c r="JN32" s="62"/>
      <c r="JO32" s="62"/>
      <c r="JP32" s="62"/>
      <c r="JQ32" s="62"/>
      <c r="JR32" s="62"/>
      <c r="JS32" s="62"/>
      <c r="JT32" s="62"/>
      <c r="JU32" s="62"/>
      <c r="JV32" s="62"/>
      <c r="JW32" s="62"/>
      <c r="JX32" s="62"/>
      <c r="JY32" s="62"/>
      <c r="JZ32" s="62"/>
      <c r="KA32" s="62"/>
      <c r="KB32" s="62"/>
      <c r="KC32" s="62"/>
      <c r="KD32" s="62"/>
      <c r="KE32" s="62"/>
      <c r="KF32" s="62"/>
      <c r="KG32" s="62"/>
      <c r="KH32" s="62"/>
      <c r="KI32" s="62"/>
      <c r="KJ32" s="62"/>
      <c r="KK32" s="62"/>
      <c r="KL32" s="62"/>
      <c r="KM32" s="62"/>
      <c r="KN32" s="62"/>
      <c r="KO32" s="62"/>
      <c r="KP32" s="62"/>
      <c r="KQ32" s="62"/>
      <c r="KR32" s="62"/>
      <c r="KS32" s="62"/>
      <c r="KT32" s="62"/>
      <c r="KU32" s="62"/>
      <c r="KV32" s="62"/>
      <c r="KW32" s="62"/>
      <c r="KX32" s="62"/>
      <c r="KY32" s="62"/>
      <c r="KZ32" s="62"/>
      <c r="LA32" s="62"/>
      <c r="LB32" s="62"/>
      <c r="LC32" s="62"/>
      <c r="LD32" s="62"/>
      <c r="LE32" s="62"/>
      <c r="LF32" s="62"/>
      <c r="LG32" s="62"/>
      <c r="LH32" s="62"/>
      <c r="LI32" s="62"/>
    </row>
    <row r="33" spans="1:321">
      <c r="D33" s="59">
        <v>7148</v>
      </c>
      <c r="E33" s="60" t="s">
        <v>364</v>
      </c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9"/>
      <c r="R33" s="67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67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9"/>
      <c r="AP33" s="67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9"/>
      <c r="BB33" s="67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9"/>
      <c r="BN33" s="67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9"/>
      <c r="BZ33" s="67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7">
        <v>200170.6</v>
      </c>
      <c r="CM33" s="68">
        <v>185750</v>
      </c>
      <c r="CN33" s="68">
        <v>228989.35</v>
      </c>
      <c r="CO33" s="68">
        <v>274371.25</v>
      </c>
      <c r="CP33" s="68">
        <v>243469.35</v>
      </c>
      <c r="CQ33" s="68">
        <v>383575.83</v>
      </c>
      <c r="CR33" s="68">
        <v>441154.74</v>
      </c>
      <c r="CS33" s="68">
        <v>390342.59</v>
      </c>
      <c r="CT33" s="68">
        <v>273601.76</v>
      </c>
      <c r="CU33" s="68">
        <v>630488.81999999995</v>
      </c>
      <c r="CV33" s="68">
        <v>193495.36</v>
      </c>
      <c r="CW33" s="69">
        <v>213614.54</v>
      </c>
      <c r="CX33" s="67">
        <v>125915.12</v>
      </c>
      <c r="CY33" s="68">
        <v>108356.37</v>
      </c>
      <c r="CZ33" s="68">
        <v>205665.12</v>
      </c>
      <c r="DA33" s="68">
        <v>255519.42</v>
      </c>
      <c r="DB33" s="68">
        <v>291151.05</v>
      </c>
      <c r="DC33" s="68">
        <v>361590.53</v>
      </c>
      <c r="DD33" s="68">
        <v>317192.61</v>
      </c>
      <c r="DE33" s="68">
        <v>510679.05</v>
      </c>
      <c r="DF33" s="68">
        <v>294723.99</v>
      </c>
      <c r="DG33" s="68">
        <v>197967.26</v>
      </c>
      <c r="DH33" s="68">
        <v>229075.65</v>
      </c>
      <c r="DI33" s="69">
        <v>256486.97</v>
      </c>
      <c r="DJ33" s="67">
        <v>142068.95000000001</v>
      </c>
      <c r="DK33" s="68">
        <v>145668.24</v>
      </c>
      <c r="DL33" s="68">
        <v>157379</v>
      </c>
      <c r="DM33" s="68">
        <v>246973.1</v>
      </c>
      <c r="DN33" s="68">
        <v>681672.81</v>
      </c>
      <c r="DO33" s="68">
        <v>2024244.67</v>
      </c>
      <c r="DP33" s="68">
        <v>2143300.59</v>
      </c>
      <c r="DQ33" s="68">
        <v>2473196.61</v>
      </c>
      <c r="DR33" s="68">
        <v>3019846.46</v>
      </c>
      <c r="DS33" s="68">
        <v>1897296.93</v>
      </c>
      <c r="DT33" s="68">
        <v>1555727.4</v>
      </c>
      <c r="DU33" s="69">
        <v>873272.85</v>
      </c>
      <c r="DV33" s="61">
        <v>123378.67</v>
      </c>
      <c r="DW33" s="61">
        <v>119691.48</v>
      </c>
      <c r="DX33" s="61">
        <v>239538.34</v>
      </c>
      <c r="DY33" s="61">
        <v>217771.51999999999</v>
      </c>
      <c r="DZ33" s="61">
        <v>242258.4</v>
      </c>
      <c r="EA33" s="61">
        <v>429114.44</v>
      </c>
      <c r="EB33" s="61">
        <v>585854.49</v>
      </c>
      <c r="EC33" s="79">
        <v>336982.61</v>
      </c>
      <c r="ED33" s="79">
        <v>894084.05</v>
      </c>
      <c r="EE33" s="79">
        <v>253872.01</v>
      </c>
      <c r="EF33" s="79">
        <v>240814.37</v>
      </c>
      <c r="EG33" s="79">
        <v>311298.53000000003</v>
      </c>
      <c r="EH33" s="62"/>
      <c r="EI33" s="62">
        <v>201311.4</v>
      </c>
      <c r="EJ33" s="62">
        <v>185140.71</v>
      </c>
      <c r="EK33" s="62">
        <v>333511.94</v>
      </c>
      <c r="EL33" s="62">
        <v>341282.27</v>
      </c>
      <c r="EM33" s="62">
        <v>370467.72</v>
      </c>
      <c r="EN33" s="62">
        <v>372911.95</v>
      </c>
      <c r="EO33" s="62">
        <v>327665.51</v>
      </c>
      <c r="EP33" s="62">
        <v>727207.68</v>
      </c>
      <c r="EQ33" s="62">
        <v>272202.49</v>
      </c>
      <c r="ER33" s="62">
        <v>254713.87</v>
      </c>
      <c r="ES33" s="62"/>
      <c r="ET33" s="62">
        <v>202641</v>
      </c>
      <c r="EU33" s="62">
        <v>112102.37</v>
      </c>
      <c r="EV33" s="62">
        <v>275039.51</v>
      </c>
      <c r="EW33" s="62">
        <v>232219.69</v>
      </c>
      <c r="EX33" s="62">
        <v>259238.01</v>
      </c>
      <c r="EY33" s="62">
        <v>411052.69</v>
      </c>
      <c r="EZ33" s="62">
        <v>416479.29</v>
      </c>
      <c r="FA33" s="62">
        <v>355497.06</v>
      </c>
      <c r="FB33" s="62">
        <v>254769.26</v>
      </c>
      <c r="FC33" s="62">
        <v>270007.81</v>
      </c>
      <c r="FD33" s="62">
        <v>228729.81</v>
      </c>
      <c r="FE33" s="62">
        <v>229805.59</v>
      </c>
      <c r="FF33" s="62">
        <v>106207.67</v>
      </c>
      <c r="FG33" s="62">
        <v>203595.89</v>
      </c>
      <c r="FH33" s="62">
        <v>241900.04</v>
      </c>
      <c r="FI33" s="62">
        <v>248172.78</v>
      </c>
      <c r="FJ33" s="62">
        <v>300826.94</v>
      </c>
      <c r="FK33" s="62">
        <v>367688.93</v>
      </c>
      <c r="FL33" s="62">
        <v>484007.96</v>
      </c>
      <c r="FM33" s="62">
        <v>406400.37</v>
      </c>
      <c r="FN33" s="62">
        <v>311246.46000000002</v>
      </c>
      <c r="FO33" s="62">
        <v>295444.59000000003</v>
      </c>
      <c r="FP33" s="62">
        <v>252473.29</v>
      </c>
      <c r="FQ33" s="62">
        <v>412171.67</v>
      </c>
      <c r="FR33" s="62">
        <v>229836.96</v>
      </c>
      <c r="FS33" s="62">
        <v>144224.95999999999</v>
      </c>
      <c r="FT33" s="62">
        <v>198115.36</v>
      </c>
      <c r="FU33" s="62">
        <v>91043.29</v>
      </c>
      <c r="FV33" s="62">
        <v>218874</v>
      </c>
      <c r="FW33" s="62">
        <v>662808.4</v>
      </c>
      <c r="FX33" s="62">
        <v>227557.13</v>
      </c>
      <c r="FY33" s="62">
        <v>272724.77</v>
      </c>
      <c r="FZ33" s="62">
        <v>218191.75</v>
      </c>
      <c r="GA33" s="62">
        <v>563581.15</v>
      </c>
      <c r="GB33" s="62">
        <v>211123.3</v>
      </c>
      <c r="GC33" s="62">
        <v>273678.39</v>
      </c>
      <c r="GD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62"/>
      <c r="HJ33" s="62"/>
      <c r="HK33" s="62"/>
      <c r="HL33" s="62"/>
      <c r="HM33" s="62"/>
      <c r="HN33" s="62"/>
      <c r="HO33" s="62"/>
      <c r="HP33" s="62"/>
      <c r="HQ33" s="62"/>
      <c r="HR33" s="62"/>
      <c r="HS33" s="62"/>
      <c r="HT33" s="62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62"/>
      <c r="IF33" s="62"/>
      <c r="IG33" s="62"/>
      <c r="IH33" s="62"/>
      <c r="II33" s="62"/>
      <c r="IJ33" s="62"/>
      <c r="IK33" s="62"/>
      <c r="IL33" s="62"/>
      <c r="IM33" s="62"/>
      <c r="IN33" s="62"/>
      <c r="IO33" s="62"/>
      <c r="IP33" s="62"/>
      <c r="IQ33" s="62"/>
      <c r="IR33" s="62"/>
      <c r="IS33" s="62"/>
      <c r="IT33" s="62"/>
      <c r="IU33" s="62"/>
      <c r="IV33" s="62"/>
      <c r="IW33" s="62"/>
      <c r="IX33" s="62"/>
      <c r="IY33" s="62"/>
      <c r="IZ33" s="62"/>
      <c r="JA33" s="62"/>
      <c r="JB33" s="62"/>
      <c r="JC33" s="62"/>
      <c r="JD33" s="62"/>
      <c r="JE33" s="62"/>
      <c r="JF33" s="62"/>
      <c r="JG33" s="62"/>
      <c r="JH33" s="62"/>
      <c r="JI33" s="62"/>
      <c r="JJ33" s="62"/>
      <c r="JK33" s="62"/>
      <c r="JL33" s="62"/>
      <c r="JM33" s="62"/>
      <c r="JN33" s="62"/>
      <c r="JO33" s="62"/>
      <c r="JP33" s="62"/>
      <c r="JQ33" s="62"/>
      <c r="JR33" s="62"/>
      <c r="JS33" s="62"/>
      <c r="JT33" s="62"/>
      <c r="JU33" s="62"/>
      <c r="JV33" s="62"/>
      <c r="JW33" s="62"/>
      <c r="JX33" s="62"/>
      <c r="JY33" s="62"/>
      <c r="JZ33" s="62"/>
      <c r="KA33" s="62"/>
      <c r="KB33" s="62"/>
      <c r="KC33" s="62"/>
      <c r="KD33" s="62"/>
      <c r="KE33" s="62"/>
      <c r="KF33" s="62"/>
      <c r="KG33" s="62"/>
      <c r="KH33" s="62"/>
      <c r="KI33" s="62"/>
      <c r="KJ33" s="62"/>
      <c r="KK33" s="62"/>
      <c r="KL33" s="62"/>
      <c r="KM33" s="62"/>
      <c r="KN33" s="62"/>
      <c r="KO33" s="62"/>
      <c r="KP33" s="62"/>
      <c r="KQ33" s="62"/>
      <c r="KR33" s="62"/>
      <c r="KS33" s="62"/>
      <c r="KT33" s="62"/>
      <c r="KU33" s="62"/>
      <c r="KV33" s="62"/>
      <c r="KW33" s="62"/>
      <c r="KX33" s="62"/>
      <c r="KY33" s="62"/>
      <c r="KZ33" s="62"/>
      <c r="LA33" s="62"/>
      <c r="LB33" s="62"/>
      <c r="LC33" s="62"/>
      <c r="LD33" s="62"/>
      <c r="LE33" s="62"/>
      <c r="LF33" s="62"/>
      <c r="LG33" s="62"/>
      <c r="LH33" s="62"/>
      <c r="LI33" s="62"/>
    </row>
    <row r="34" spans="1:321">
      <c r="D34" s="59">
        <v>7149</v>
      </c>
      <c r="E34" s="60" t="s">
        <v>365</v>
      </c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9"/>
      <c r="R34" s="67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67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9"/>
      <c r="AP34" s="67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9"/>
      <c r="BB34" s="67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9"/>
      <c r="BN34" s="67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9"/>
      <c r="BZ34" s="67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7">
        <v>384654.75</v>
      </c>
      <c r="CM34" s="68">
        <v>549162.88</v>
      </c>
      <c r="CN34" s="68">
        <v>692520.41</v>
      </c>
      <c r="CO34" s="68">
        <v>99217.52</v>
      </c>
      <c r="CP34" s="68">
        <v>74326.66</v>
      </c>
      <c r="CQ34" s="68">
        <v>140176.45000000001</v>
      </c>
      <c r="CR34" s="68">
        <v>161394.89000000001</v>
      </c>
      <c r="CS34" s="68">
        <v>95423.95</v>
      </c>
      <c r="CT34" s="68">
        <v>324870.57</v>
      </c>
      <c r="CU34" s="68">
        <v>164981.73000000001</v>
      </c>
      <c r="CV34" s="68">
        <v>454757.57</v>
      </c>
      <c r="CW34" s="69">
        <v>156499.71</v>
      </c>
      <c r="CX34" s="67">
        <v>596310.49</v>
      </c>
      <c r="CY34" s="68">
        <v>151190.70000000001</v>
      </c>
      <c r="CZ34" s="68">
        <v>174163.47</v>
      </c>
      <c r="DA34" s="68">
        <v>162756.79</v>
      </c>
      <c r="DB34" s="68">
        <v>754025.16</v>
      </c>
      <c r="DC34" s="68">
        <v>663010.98</v>
      </c>
      <c r="DD34" s="68">
        <v>603052.30000000005</v>
      </c>
      <c r="DE34" s="68">
        <v>223047.59</v>
      </c>
      <c r="DF34" s="68">
        <v>220438.23</v>
      </c>
      <c r="DG34" s="68">
        <v>1825550.95</v>
      </c>
      <c r="DH34" s="68">
        <v>146939.47</v>
      </c>
      <c r="DI34" s="69">
        <v>656390.11</v>
      </c>
      <c r="DJ34" s="67">
        <v>122875.69</v>
      </c>
      <c r="DK34" s="68">
        <v>239884.83</v>
      </c>
      <c r="DL34" s="68">
        <v>911531.45</v>
      </c>
      <c r="DM34" s="68">
        <v>175636.79</v>
      </c>
      <c r="DN34" s="68">
        <v>719669.55000000098</v>
      </c>
      <c r="DO34" s="68">
        <v>287667.69</v>
      </c>
      <c r="DP34" s="68">
        <v>655185.99</v>
      </c>
      <c r="DQ34" s="68">
        <v>129567.57</v>
      </c>
      <c r="DR34" s="68">
        <v>295495.42</v>
      </c>
      <c r="DS34" s="68">
        <v>894175.61</v>
      </c>
      <c r="DT34" s="68">
        <v>376816.66</v>
      </c>
      <c r="DU34" s="69">
        <v>530694.27</v>
      </c>
      <c r="DV34" s="61">
        <v>769272.74</v>
      </c>
      <c r="DW34" s="61">
        <v>246490.12</v>
      </c>
      <c r="DX34" s="61">
        <v>281589.78000000003</v>
      </c>
      <c r="DY34" s="61">
        <v>905472.35</v>
      </c>
      <c r="DZ34" s="61">
        <v>230847.04</v>
      </c>
      <c r="EA34" s="61">
        <v>339157.07</v>
      </c>
      <c r="EB34" s="61">
        <v>945260.95</v>
      </c>
      <c r="EC34" s="79">
        <v>50953940.100000001</v>
      </c>
      <c r="ED34" s="79">
        <v>408921.91</v>
      </c>
      <c r="EE34" s="79">
        <v>1047727.11</v>
      </c>
      <c r="EF34" s="79">
        <v>314547.52</v>
      </c>
      <c r="EG34" s="79">
        <v>305656.31</v>
      </c>
      <c r="EH34" s="62"/>
      <c r="EI34" s="62">
        <v>206807.18</v>
      </c>
      <c r="EJ34" s="62">
        <v>399678.83</v>
      </c>
      <c r="EK34" s="62">
        <v>921958.19</v>
      </c>
      <c r="EL34" s="62">
        <v>314665.31</v>
      </c>
      <c r="EM34" s="62">
        <v>281647.61</v>
      </c>
      <c r="EN34" s="62">
        <v>1049203.68</v>
      </c>
      <c r="EO34" s="62">
        <v>327326.21999999997</v>
      </c>
      <c r="EP34" s="62">
        <v>487552.94</v>
      </c>
      <c r="EQ34" s="62">
        <v>992872.12</v>
      </c>
      <c r="ER34" s="62">
        <v>537631.24</v>
      </c>
      <c r="ES34" s="62"/>
      <c r="ET34" s="62">
        <v>856147.47</v>
      </c>
      <c r="EU34" s="62">
        <v>1035296.43</v>
      </c>
      <c r="EV34" s="62">
        <v>510978.97</v>
      </c>
      <c r="EW34" s="62">
        <v>1324875.1499999999</v>
      </c>
      <c r="EX34" s="62">
        <v>315868.19</v>
      </c>
      <c r="EY34" s="62">
        <v>444544.73</v>
      </c>
      <c r="EZ34" s="62">
        <v>1153714.31</v>
      </c>
      <c r="FA34" s="62">
        <v>393102.74</v>
      </c>
      <c r="FB34" s="62">
        <v>586665.79</v>
      </c>
      <c r="FC34" s="62">
        <v>1017961.64</v>
      </c>
      <c r="FD34" s="62">
        <v>715952.49</v>
      </c>
      <c r="FE34" s="62">
        <v>625581.93000000005</v>
      </c>
      <c r="FF34" s="62">
        <v>1392404.68</v>
      </c>
      <c r="FG34" s="62">
        <v>519360.5</v>
      </c>
      <c r="FH34" s="62">
        <v>720883.81</v>
      </c>
      <c r="FI34" s="62">
        <v>887995.83</v>
      </c>
      <c r="FJ34" s="62">
        <v>376418.09</v>
      </c>
      <c r="FK34" s="62">
        <v>729681.57</v>
      </c>
      <c r="FL34" s="62">
        <v>971909.93</v>
      </c>
      <c r="FM34" s="62">
        <v>339331.71</v>
      </c>
      <c r="FN34" s="62">
        <v>909143.25</v>
      </c>
      <c r="FO34" s="62">
        <v>1177001.82</v>
      </c>
      <c r="FP34" s="62">
        <v>723510.93</v>
      </c>
      <c r="FQ34" s="62">
        <v>1266237.8</v>
      </c>
      <c r="FR34" s="62">
        <v>1151964.46</v>
      </c>
      <c r="FS34" s="62">
        <v>991840.42</v>
      </c>
      <c r="FT34" s="62">
        <v>401940.03</v>
      </c>
      <c r="FU34" s="62">
        <v>1270137.42</v>
      </c>
      <c r="FV34" s="62">
        <v>669547.06999999995</v>
      </c>
      <c r="FW34" s="62">
        <v>1039941.55</v>
      </c>
      <c r="FX34" s="62">
        <v>1037166.88</v>
      </c>
      <c r="FY34" s="62">
        <v>1056333.8</v>
      </c>
      <c r="FZ34" s="62">
        <v>807106.06</v>
      </c>
      <c r="GA34" s="62">
        <v>1481236.74</v>
      </c>
      <c r="GB34" s="62">
        <v>1099167.5900000001</v>
      </c>
      <c r="GC34" s="62">
        <v>1492252.79</v>
      </c>
      <c r="GD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62"/>
      <c r="HJ34" s="62"/>
      <c r="HK34" s="62"/>
      <c r="HL34" s="62"/>
      <c r="HM34" s="62"/>
      <c r="HN34" s="62"/>
      <c r="HO34" s="62"/>
      <c r="HP34" s="62"/>
      <c r="HQ34" s="62"/>
      <c r="HR34" s="62"/>
      <c r="HS34" s="62"/>
      <c r="HT34" s="62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62"/>
      <c r="IF34" s="62"/>
      <c r="IG34" s="62"/>
      <c r="IH34" s="62"/>
      <c r="II34" s="62"/>
      <c r="IJ34" s="62"/>
      <c r="IK34" s="62"/>
      <c r="IL34" s="62"/>
      <c r="IM34" s="62"/>
      <c r="IN34" s="62"/>
      <c r="IO34" s="62"/>
      <c r="IP34" s="62"/>
      <c r="IQ34" s="62"/>
      <c r="IR34" s="62"/>
      <c r="IS34" s="62"/>
      <c r="IT34" s="62"/>
      <c r="IU34" s="62"/>
      <c r="IV34" s="62"/>
      <c r="IW34" s="62"/>
      <c r="IX34" s="62"/>
      <c r="IY34" s="62"/>
      <c r="IZ34" s="62"/>
      <c r="JA34" s="62"/>
      <c r="JB34" s="62"/>
      <c r="JC34" s="62"/>
      <c r="JD34" s="62"/>
      <c r="JE34" s="62"/>
      <c r="JF34" s="62"/>
      <c r="JG34" s="62"/>
      <c r="JH34" s="62"/>
      <c r="JI34" s="62"/>
      <c r="JJ34" s="62"/>
      <c r="JK34" s="62"/>
      <c r="JL34" s="62"/>
      <c r="JM34" s="62"/>
      <c r="JN34" s="62"/>
      <c r="JO34" s="62"/>
      <c r="JP34" s="62"/>
      <c r="JQ34" s="62"/>
      <c r="JR34" s="62"/>
      <c r="JS34" s="62"/>
      <c r="JT34" s="62"/>
      <c r="JU34" s="62"/>
      <c r="JV34" s="62"/>
      <c r="JW34" s="62"/>
      <c r="JX34" s="62"/>
      <c r="JY34" s="62"/>
      <c r="JZ34" s="62"/>
      <c r="KA34" s="62"/>
      <c r="KB34" s="62"/>
      <c r="KC34" s="62"/>
      <c r="KD34" s="62"/>
      <c r="KE34" s="62"/>
      <c r="KF34" s="62"/>
      <c r="KG34" s="62"/>
      <c r="KH34" s="62"/>
      <c r="KI34" s="62"/>
      <c r="KJ34" s="62"/>
      <c r="KK34" s="62"/>
      <c r="KL34" s="62"/>
      <c r="KM34" s="62"/>
      <c r="KN34" s="62"/>
      <c r="KO34" s="62"/>
      <c r="KP34" s="62"/>
      <c r="KQ34" s="62"/>
      <c r="KR34" s="62"/>
      <c r="KS34" s="62"/>
      <c r="KT34" s="62"/>
      <c r="KU34" s="62"/>
      <c r="KV34" s="62"/>
      <c r="KW34" s="62"/>
      <c r="KX34" s="62"/>
      <c r="KY34" s="62"/>
      <c r="KZ34" s="62"/>
      <c r="LA34" s="62"/>
      <c r="LB34" s="62"/>
      <c r="LC34" s="62"/>
      <c r="LD34" s="62"/>
      <c r="LE34" s="62"/>
      <c r="LF34" s="62"/>
      <c r="LG34" s="62"/>
      <c r="LH34" s="62"/>
      <c r="LI34" s="62"/>
    </row>
    <row r="35" spans="1:321" s="2" customFormat="1">
      <c r="A35" s="71"/>
      <c r="B35" s="71"/>
      <c r="C35" s="71">
        <v>715</v>
      </c>
      <c r="D35" s="71">
        <v>715</v>
      </c>
      <c r="E35" s="72" t="s">
        <v>142</v>
      </c>
      <c r="F35" s="73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5"/>
      <c r="R35" s="73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5"/>
      <c r="AD35" s="73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5"/>
      <c r="AP35" s="73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5"/>
      <c r="BB35" s="73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5"/>
      <c r="BN35" s="73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5"/>
      <c r="BZ35" s="73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3">
        <v>2325408.91</v>
      </c>
      <c r="CM35" s="74">
        <v>1380294.78</v>
      </c>
      <c r="CN35" s="74">
        <v>1585729.3</v>
      </c>
      <c r="CO35" s="74">
        <v>2752927.87</v>
      </c>
      <c r="CP35" s="74">
        <v>2926591.18</v>
      </c>
      <c r="CQ35" s="74">
        <v>2018414.16</v>
      </c>
      <c r="CR35" s="74">
        <v>3252322.99</v>
      </c>
      <c r="CS35" s="74">
        <v>2552195.7999999998</v>
      </c>
      <c r="CT35" s="74">
        <v>2584912.9</v>
      </c>
      <c r="CU35" s="74">
        <v>2305817.4300000002</v>
      </c>
      <c r="CV35" s="74">
        <v>4419328.6100000003</v>
      </c>
      <c r="CW35" s="75">
        <v>5571807.3499999996</v>
      </c>
      <c r="CX35" s="73">
        <f t="shared" ref="CX35:DI35" si="8">+SUM(CX36:CX39)</f>
        <v>2212904.56</v>
      </c>
      <c r="CY35" s="74">
        <f t="shared" si="8"/>
        <v>1440899.72</v>
      </c>
      <c r="CZ35" s="74">
        <f t="shared" si="8"/>
        <v>1630424.69</v>
      </c>
      <c r="DA35" s="74">
        <f t="shared" si="8"/>
        <v>2252207.5299999998</v>
      </c>
      <c r="DB35" s="74">
        <f t="shared" si="8"/>
        <v>3037379.71</v>
      </c>
      <c r="DC35" s="74">
        <f t="shared" si="8"/>
        <v>3367439.83</v>
      </c>
      <c r="DD35" s="74">
        <f t="shared" si="8"/>
        <v>2293849.2599999998</v>
      </c>
      <c r="DE35" s="74">
        <f t="shared" si="8"/>
        <v>2870214.09</v>
      </c>
      <c r="DF35" s="74">
        <f t="shared" si="8"/>
        <v>2413546.9500000002</v>
      </c>
      <c r="DG35" s="74">
        <f t="shared" si="8"/>
        <v>2077385.13</v>
      </c>
      <c r="DH35" s="74">
        <f t="shared" si="8"/>
        <v>1707765.33</v>
      </c>
      <c r="DI35" s="75">
        <f t="shared" si="8"/>
        <v>4388679.3099999996</v>
      </c>
      <c r="DJ35" s="73">
        <v>1078993.6399999999</v>
      </c>
      <c r="DK35" s="74">
        <v>1358043.44</v>
      </c>
      <c r="DL35" s="74">
        <v>1983595.51</v>
      </c>
      <c r="DM35" s="74">
        <v>3053596.86</v>
      </c>
      <c r="DN35" s="74">
        <v>2679781.17</v>
      </c>
      <c r="DO35" s="74">
        <v>2216392.21</v>
      </c>
      <c r="DP35" s="74">
        <v>2313689.65</v>
      </c>
      <c r="DQ35" s="74">
        <v>2702633.33</v>
      </c>
      <c r="DR35" s="74">
        <v>1765568.75</v>
      </c>
      <c r="DS35" s="74">
        <v>1563645.27</v>
      </c>
      <c r="DT35" s="74">
        <v>2196631.11</v>
      </c>
      <c r="DU35" s="75">
        <v>3657192.34</v>
      </c>
      <c r="DV35" s="76">
        <v>1022331.7</v>
      </c>
      <c r="DW35" s="76">
        <v>1556939.26</v>
      </c>
      <c r="DX35" s="76">
        <v>3490800.54</v>
      </c>
      <c r="DY35" s="76">
        <v>3838235.56</v>
      </c>
      <c r="DZ35" s="76">
        <v>2337906.08</v>
      </c>
      <c r="EA35" s="76">
        <v>3543764.3</v>
      </c>
      <c r="EB35" s="76">
        <v>2503788.2000000002</v>
      </c>
      <c r="EC35" s="77">
        <v>3032034.14</v>
      </c>
      <c r="ED35" s="77">
        <v>2100056.92</v>
      </c>
      <c r="EE35" s="77">
        <v>2033237.59</v>
      </c>
      <c r="EF35" s="77">
        <v>1998936.33</v>
      </c>
      <c r="EG35" s="77">
        <v>6990127.1600000001</v>
      </c>
      <c r="EH35" s="78">
        <v>1549598.76</v>
      </c>
      <c r="EI35" s="78">
        <v>2362534.5499999998</v>
      </c>
      <c r="EJ35" s="78">
        <v>2237749.3199999998</v>
      </c>
      <c r="EK35" s="78">
        <v>3537625.59</v>
      </c>
      <c r="EL35" s="78">
        <v>2195275.86</v>
      </c>
      <c r="EM35" s="78">
        <v>3677729.73</v>
      </c>
      <c r="EN35" s="78">
        <v>5924157.2800000003</v>
      </c>
      <c r="EO35" s="78">
        <v>2465692.11</v>
      </c>
      <c r="EP35" s="78">
        <v>1761653.61</v>
      </c>
      <c r="EQ35" s="78">
        <v>3080830.83</v>
      </c>
      <c r="ER35" s="78">
        <v>1891187.54</v>
      </c>
      <c r="ES35" s="78">
        <v>5038974.07</v>
      </c>
      <c r="ET35" s="78">
        <v>2425522.83</v>
      </c>
      <c r="EU35" s="78">
        <v>1609741.15</v>
      </c>
      <c r="EV35" s="78">
        <v>1991465.56</v>
      </c>
      <c r="EW35" s="78">
        <v>5482661.4299999997</v>
      </c>
      <c r="EX35" s="78">
        <v>2151496.35</v>
      </c>
      <c r="EY35" s="78">
        <v>2746748.26</v>
      </c>
      <c r="EZ35" s="78">
        <v>3904620.91</v>
      </c>
      <c r="FA35" s="78">
        <v>3453591.6</v>
      </c>
      <c r="FB35" s="78">
        <v>37485104.390000001</v>
      </c>
      <c r="FC35" s="78">
        <v>2268381.7599999998</v>
      </c>
      <c r="FD35" s="78">
        <v>3459602.91</v>
      </c>
      <c r="FE35" s="78">
        <v>4336127.47</v>
      </c>
      <c r="FF35" s="78">
        <v>1567147.41</v>
      </c>
      <c r="FG35" s="78">
        <v>2179531.1</v>
      </c>
      <c r="FH35" s="78">
        <v>3193816.55</v>
      </c>
      <c r="FI35" s="78">
        <v>2381848.89</v>
      </c>
      <c r="FJ35" s="78">
        <v>7159071.0099999998</v>
      </c>
      <c r="FK35" s="78">
        <v>3262994.81</v>
      </c>
      <c r="FL35" s="78">
        <v>3734626.12</v>
      </c>
      <c r="FM35" s="78">
        <v>2985463.57</v>
      </c>
      <c r="FN35" s="78">
        <v>2231628.86</v>
      </c>
      <c r="FO35" s="78">
        <v>2504909.62</v>
      </c>
      <c r="FP35" s="78">
        <v>2278280.5299999998</v>
      </c>
      <c r="FQ35" s="78">
        <v>42341645.060000002</v>
      </c>
      <c r="FR35" s="78">
        <f t="shared" ref="FR35:GC35" si="9">SUM(FR36:FR39)</f>
        <v>1483663.67</v>
      </c>
      <c r="FS35" s="78">
        <f t="shared" si="9"/>
        <v>2100277.88</v>
      </c>
      <c r="FT35" s="78">
        <f t="shared" si="9"/>
        <v>4243202.3499999996</v>
      </c>
      <c r="FU35" s="78">
        <f t="shared" si="9"/>
        <v>2093585.81</v>
      </c>
      <c r="FV35" s="78">
        <f t="shared" si="9"/>
        <v>1279434.9099999999</v>
      </c>
      <c r="FW35" s="78">
        <f t="shared" si="9"/>
        <v>1931121.25</v>
      </c>
      <c r="FX35" s="78">
        <f t="shared" si="9"/>
        <v>2459062.7400000002</v>
      </c>
      <c r="FY35" s="78">
        <f t="shared" si="9"/>
        <v>3216715.11</v>
      </c>
      <c r="FZ35" s="78">
        <f t="shared" si="9"/>
        <v>11550447.48</v>
      </c>
      <c r="GA35" s="78">
        <f t="shared" si="9"/>
        <v>2887676.87</v>
      </c>
      <c r="GB35" s="78">
        <f t="shared" si="9"/>
        <v>1756272.85</v>
      </c>
      <c r="GC35" s="78">
        <f t="shared" si="9"/>
        <v>2614148.87</v>
      </c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  <c r="IP35" s="78"/>
      <c r="IQ35" s="78"/>
      <c r="IR35" s="78"/>
      <c r="IS35" s="78"/>
      <c r="IT35" s="78"/>
      <c r="IU35" s="78"/>
      <c r="IV35" s="78"/>
      <c r="IW35" s="78"/>
      <c r="IX35" s="78"/>
      <c r="IY35" s="78"/>
      <c r="IZ35" s="78"/>
      <c r="JA35" s="78"/>
      <c r="JB35" s="78"/>
      <c r="JC35" s="78"/>
      <c r="JD35" s="78"/>
      <c r="JE35" s="78"/>
      <c r="JF35" s="78"/>
      <c r="JG35" s="78"/>
      <c r="JH35" s="78"/>
      <c r="JI35" s="78"/>
      <c r="JJ35" s="78"/>
      <c r="JK35" s="78"/>
      <c r="JL35" s="78"/>
      <c r="JM35" s="78"/>
      <c r="JN35" s="78"/>
      <c r="JO35" s="78"/>
      <c r="JP35" s="78"/>
      <c r="JQ35" s="78"/>
      <c r="JR35" s="78"/>
      <c r="JS35" s="78"/>
      <c r="JT35" s="78"/>
      <c r="JU35" s="78"/>
      <c r="JV35" s="78"/>
      <c r="JW35" s="78"/>
      <c r="JX35" s="78"/>
      <c r="JY35" s="78"/>
      <c r="JZ35" s="78"/>
      <c r="KA35" s="78"/>
      <c r="KB35" s="78"/>
      <c r="KC35" s="78"/>
      <c r="KD35" s="78"/>
      <c r="KE35" s="78"/>
      <c r="KF35" s="78"/>
      <c r="KG35" s="78"/>
      <c r="KH35" s="78"/>
      <c r="KI35" s="78"/>
      <c r="KJ35" s="78"/>
      <c r="KK35" s="78"/>
      <c r="KL35" s="78"/>
      <c r="KM35" s="78"/>
      <c r="KN35" s="78"/>
      <c r="KO35" s="78"/>
      <c r="KP35" s="78"/>
      <c r="KQ35" s="78"/>
      <c r="KR35" s="78"/>
      <c r="KS35" s="78"/>
      <c r="KT35" s="78"/>
      <c r="KU35" s="78"/>
      <c r="KV35" s="78"/>
      <c r="KW35" s="78"/>
      <c r="KX35" s="78"/>
      <c r="KY35" s="78"/>
      <c r="KZ35" s="78"/>
      <c r="LA35" s="78"/>
      <c r="LB35" s="78"/>
      <c r="LC35" s="78"/>
      <c r="LD35" s="78"/>
      <c r="LE35" s="78"/>
      <c r="LF35" s="78"/>
      <c r="LG35" s="78"/>
      <c r="LH35" s="78"/>
      <c r="LI35" s="78"/>
    </row>
    <row r="36" spans="1:321">
      <c r="D36" s="59">
        <v>7151</v>
      </c>
      <c r="E36" s="60" t="s">
        <v>366</v>
      </c>
      <c r="F36" s="67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9"/>
      <c r="R36" s="67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67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9"/>
      <c r="AP36" s="67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9"/>
      <c r="BB36" s="67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9"/>
      <c r="BN36" s="67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9"/>
      <c r="BZ36" s="67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7">
        <v>94696.66</v>
      </c>
      <c r="CM36" s="68">
        <v>18969.599999999999</v>
      </c>
      <c r="CN36" s="68">
        <v>46547.31</v>
      </c>
      <c r="CO36" s="68">
        <v>990030.31</v>
      </c>
      <c r="CP36" s="68">
        <v>254972.36</v>
      </c>
      <c r="CQ36" s="68">
        <v>113427.79</v>
      </c>
      <c r="CR36" s="68">
        <v>79102.33</v>
      </c>
      <c r="CS36" s="68">
        <v>7776.58</v>
      </c>
      <c r="CT36" s="68">
        <v>31884.59</v>
      </c>
      <c r="CU36" s="68">
        <v>75119.199999999997</v>
      </c>
      <c r="CV36" s="68">
        <v>2100781.7799999998</v>
      </c>
      <c r="CW36" s="69">
        <v>2339576.2200000002</v>
      </c>
      <c r="CX36" s="67">
        <v>790825.44</v>
      </c>
      <c r="CY36" s="68">
        <v>6808.29</v>
      </c>
      <c r="CZ36" s="68">
        <v>31068.01</v>
      </c>
      <c r="DA36" s="68">
        <v>479404.25</v>
      </c>
      <c r="DB36" s="68">
        <v>546746.59</v>
      </c>
      <c r="DC36" s="68">
        <v>57097.79</v>
      </c>
      <c r="DD36" s="68">
        <v>132005.81</v>
      </c>
      <c r="DE36" s="68">
        <v>20548.169999999998</v>
      </c>
      <c r="DF36" s="68">
        <v>169093.45</v>
      </c>
      <c r="DG36" s="68">
        <v>272552.94</v>
      </c>
      <c r="DH36" s="68">
        <v>10087.67</v>
      </c>
      <c r="DI36" s="69">
        <v>222075.65</v>
      </c>
      <c r="DJ36" s="67">
        <v>94468.24</v>
      </c>
      <c r="DK36" s="68">
        <v>11948.38</v>
      </c>
      <c r="DL36" s="68">
        <v>385981.36</v>
      </c>
      <c r="DM36" s="68">
        <v>710303.47</v>
      </c>
      <c r="DN36" s="68">
        <v>301859.40999999997</v>
      </c>
      <c r="DO36" s="68">
        <v>102862.66</v>
      </c>
      <c r="DP36" s="68">
        <v>65896.25</v>
      </c>
      <c r="DQ36" s="68">
        <v>26410.94</v>
      </c>
      <c r="DR36" s="68">
        <v>54288.5</v>
      </c>
      <c r="DS36" s="68">
        <v>64386.57</v>
      </c>
      <c r="DT36" s="68">
        <v>31365.73</v>
      </c>
      <c r="DU36" s="69">
        <v>38695.96</v>
      </c>
      <c r="DV36" s="61">
        <v>25654.44</v>
      </c>
      <c r="DW36" s="61">
        <v>68705.47</v>
      </c>
      <c r="DX36" s="61">
        <v>1198845.57</v>
      </c>
      <c r="DY36" s="61">
        <v>1134153.43</v>
      </c>
      <c r="DZ36" s="61">
        <v>384690.44</v>
      </c>
      <c r="EA36" s="61">
        <v>768975.23</v>
      </c>
      <c r="EB36" s="61">
        <v>19022.259999999998</v>
      </c>
      <c r="EC36" s="79">
        <v>377681.99</v>
      </c>
      <c r="ED36" s="79">
        <v>57297.39</v>
      </c>
      <c r="EE36" s="79">
        <v>9384.4500000000007</v>
      </c>
      <c r="EF36" s="79">
        <v>180980.77</v>
      </c>
      <c r="EG36" s="79">
        <v>97232.9</v>
      </c>
      <c r="EH36" s="62">
        <v>73736.11</v>
      </c>
      <c r="EI36" s="62">
        <v>10955.41</v>
      </c>
      <c r="EJ36" s="62">
        <v>237856.46</v>
      </c>
      <c r="EK36" s="62">
        <v>1039868.46</v>
      </c>
      <c r="EL36" s="62">
        <v>9580.2800000000007</v>
      </c>
      <c r="EM36" s="62">
        <v>820648.35</v>
      </c>
      <c r="EN36" s="62">
        <v>3136697.45</v>
      </c>
      <c r="EO36" s="62">
        <v>27156.49</v>
      </c>
      <c r="EP36" s="62">
        <v>13813.05</v>
      </c>
      <c r="EQ36" s="62">
        <v>133915.79999999999</v>
      </c>
      <c r="ER36" s="62">
        <v>210158.28</v>
      </c>
      <c r="ES36" s="62">
        <v>662522.41</v>
      </c>
      <c r="ET36" s="62">
        <v>757684.72</v>
      </c>
      <c r="EU36" s="62">
        <v>26758.59</v>
      </c>
      <c r="EV36" s="62">
        <v>160586.28</v>
      </c>
      <c r="EW36" s="62">
        <v>1943319.77</v>
      </c>
      <c r="EX36" s="62">
        <v>60037.3</v>
      </c>
      <c r="EY36" s="62">
        <v>94564.97</v>
      </c>
      <c r="EZ36" s="62">
        <v>72666.91</v>
      </c>
      <c r="FA36" s="62">
        <v>22307.84</v>
      </c>
      <c r="FB36" s="62">
        <v>35391064.439999998</v>
      </c>
      <c r="FC36" s="62">
        <v>30989.7</v>
      </c>
      <c r="FD36" s="62">
        <v>86764.65</v>
      </c>
      <c r="FE36" s="62">
        <v>1102077.96</v>
      </c>
      <c r="FF36" s="62">
        <v>318933.37</v>
      </c>
      <c r="FG36" s="62">
        <v>248883.21</v>
      </c>
      <c r="FH36" s="62">
        <v>186635.82</v>
      </c>
      <c r="FI36" s="62">
        <v>63899.67</v>
      </c>
      <c r="FJ36" s="62">
        <v>3605088.43</v>
      </c>
      <c r="FK36" s="62">
        <v>707894.38</v>
      </c>
      <c r="FL36" s="62">
        <v>165216.39000000001</v>
      </c>
      <c r="FM36" s="62">
        <v>38122.49</v>
      </c>
      <c r="FN36" s="62">
        <v>46093.9</v>
      </c>
      <c r="FO36" s="62">
        <v>83991.81</v>
      </c>
      <c r="FP36" s="62">
        <v>24244.19</v>
      </c>
      <c r="FQ36" s="62">
        <v>38870803.399999999</v>
      </c>
      <c r="FR36" s="62">
        <v>53364.41</v>
      </c>
      <c r="FS36" s="62">
        <v>217955.03</v>
      </c>
      <c r="FT36" s="62">
        <v>2182396.42</v>
      </c>
      <c r="FU36" s="62">
        <v>482182.84</v>
      </c>
      <c r="FV36" s="62">
        <v>67644.320000000007</v>
      </c>
      <c r="FW36" s="62">
        <v>23069.05</v>
      </c>
      <c r="FX36" s="62">
        <v>189505.45</v>
      </c>
      <c r="FY36" s="62">
        <v>23165.439999999999</v>
      </c>
      <c r="FZ36" s="62">
        <v>9892517.6099999994</v>
      </c>
      <c r="GA36" s="62">
        <v>69999.199999999997</v>
      </c>
      <c r="GB36" s="62">
        <v>33759.99</v>
      </c>
      <c r="GC36" s="62">
        <v>87965.2</v>
      </c>
      <c r="GD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62"/>
      <c r="IF36" s="62"/>
      <c r="IG36" s="62"/>
      <c r="IH36" s="62"/>
      <c r="II36" s="62"/>
      <c r="IJ36" s="62"/>
      <c r="IK36" s="62"/>
      <c r="IL36" s="62"/>
      <c r="IM36" s="62"/>
      <c r="IN36" s="62"/>
      <c r="IO36" s="62"/>
      <c r="IP36" s="62"/>
      <c r="IQ36" s="62"/>
      <c r="IR36" s="62"/>
      <c r="IS36" s="62"/>
      <c r="IT36" s="62"/>
      <c r="IU36" s="62"/>
      <c r="IV36" s="62"/>
      <c r="IW36" s="62"/>
      <c r="IX36" s="62"/>
      <c r="IY36" s="62"/>
      <c r="IZ36" s="62"/>
      <c r="JA36" s="62"/>
      <c r="JB36" s="62"/>
      <c r="JC36" s="62"/>
      <c r="JD36" s="62"/>
      <c r="JE36" s="62"/>
      <c r="JF36" s="62"/>
      <c r="JG36" s="62"/>
      <c r="JH36" s="62"/>
      <c r="JI36" s="62"/>
      <c r="JJ36" s="62"/>
      <c r="JK36" s="62"/>
      <c r="JL36" s="62"/>
      <c r="JM36" s="62"/>
      <c r="JN36" s="62"/>
      <c r="JO36" s="62"/>
      <c r="JP36" s="62"/>
      <c r="JQ36" s="62"/>
      <c r="JR36" s="62"/>
      <c r="JS36" s="62"/>
      <c r="JT36" s="62"/>
      <c r="JU36" s="62"/>
      <c r="JV36" s="62"/>
      <c r="JW36" s="62"/>
      <c r="JX36" s="62"/>
      <c r="JY36" s="62"/>
      <c r="JZ36" s="62"/>
      <c r="KA36" s="62"/>
      <c r="KB36" s="62"/>
      <c r="KC36" s="62"/>
      <c r="KD36" s="62"/>
      <c r="KE36" s="62"/>
      <c r="KF36" s="62"/>
      <c r="KG36" s="62"/>
      <c r="KH36" s="62"/>
      <c r="KI36" s="62"/>
      <c r="KJ36" s="62"/>
      <c r="KK36" s="62"/>
      <c r="KL36" s="62"/>
      <c r="KM36" s="62"/>
      <c r="KN36" s="62"/>
      <c r="KO36" s="62"/>
      <c r="KP36" s="62"/>
      <c r="KQ36" s="62"/>
      <c r="KR36" s="62"/>
      <c r="KS36" s="62"/>
      <c r="KT36" s="62"/>
      <c r="KU36" s="62"/>
      <c r="KV36" s="62"/>
      <c r="KW36" s="62"/>
      <c r="KX36" s="62"/>
      <c r="KY36" s="62"/>
      <c r="KZ36" s="62"/>
      <c r="LA36" s="62"/>
      <c r="LB36" s="62"/>
      <c r="LC36" s="62"/>
      <c r="LD36" s="62"/>
      <c r="LE36" s="62"/>
      <c r="LF36" s="62"/>
      <c r="LG36" s="62"/>
      <c r="LH36" s="62"/>
      <c r="LI36" s="62"/>
    </row>
    <row r="37" spans="1:321" ht="30">
      <c r="D37" s="59">
        <v>7152</v>
      </c>
      <c r="E37" s="60" t="s">
        <v>367</v>
      </c>
      <c r="F37" s="67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9"/>
      <c r="R37" s="67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67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9"/>
      <c r="AP37" s="67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9"/>
      <c r="BB37" s="67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9"/>
      <c r="BN37" s="67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9"/>
      <c r="BZ37" s="67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7">
        <v>557860.02</v>
      </c>
      <c r="CM37" s="68">
        <v>771358.48</v>
      </c>
      <c r="CN37" s="68">
        <v>756900.55</v>
      </c>
      <c r="CO37" s="68">
        <v>784739.93</v>
      </c>
      <c r="CP37" s="68">
        <v>1021420.24</v>
      </c>
      <c r="CQ37" s="68">
        <v>1082837.3999999999</v>
      </c>
      <c r="CR37" s="68">
        <v>1623054.55</v>
      </c>
      <c r="CS37" s="68">
        <v>1626229.21</v>
      </c>
      <c r="CT37" s="68">
        <v>1195519.1200000001</v>
      </c>
      <c r="CU37" s="68">
        <v>922428.98</v>
      </c>
      <c r="CV37" s="68">
        <v>869707.83</v>
      </c>
      <c r="CW37" s="69">
        <v>1104644.1200000001</v>
      </c>
      <c r="CX37" s="67">
        <v>656458.4</v>
      </c>
      <c r="CY37" s="68">
        <v>837985.98</v>
      </c>
      <c r="CZ37" s="68">
        <v>970016.33</v>
      </c>
      <c r="DA37" s="68">
        <v>945260.91</v>
      </c>
      <c r="DB37" s="68">
        <v>952872.01</v>
      </c>
      <c r="DC37" s="68">
        <v>1382633.53</v>
      </c>
      <c r="DD37" s="68">
        <v>1407232.77</v>
      </c>
      <c r="DE37" s="68">
        <v>2109107.23</v>
      </c>
      <c r="DF37" s="68">
        <v>1446940.5</v>
      </c>
      <c r="DG37" s="68">
        <v>1096826.21</v>
      </c>
      <c r="DH37" s="68">
        <v>976844.31</v>
      </c>
      <c r="DI37" s="69">
        <v>1367203.26</v>
      </c>
      <c r="DJ37" s="67">
        <v>626884.9</v>
      </c>
      <c r="DK37" s="68">
        <v>827022.77999999898</v>
      </c>
      <c r="DL37" s="68">
        <v>896065.73999999894</v>
      </c>
      <c r="DM37" s="68">
        <v>896678.86</v>
      </c>
      <c r="DN37" s="68">
        <v>908733.18</v>
      </c>
      <c r="DO37" s="68">
        <v>1319981.71</v>
      </c>
      <c r="DP37" s="68">
        <v>1454883.48</v>
      </c>
      <c r="DQ37" s="68">
        <v>1669311.72</v>
      </c>
      <c r="DR37" s="68">
        <v>1030777.4</v>
      </c>
      <c r="DS37" s="68">
        <v>859172.76999999897</v>
      </c>
      <c r="DT37" s="68">
        <v>918745</v>
      </c>
      <c r="DU37" s="69">
        <v>1219495.1000000001</v>
      </c>
      <c r="DV37" s="61">
        <v>599071.28</v>
      </c>
      <c r="DW37" s="61">
        <v>868522.02</v>
      </c>
      <c r="DX37" s="61">
        <v>1022966.6</v>
      </c>
      <c r="DY37" s="61">
        <v>902917.01</v>
      </c>
      <c r="DZ37" s="61">
        <v>1017499.54</v>
      </c>
      <c r="EA37" s="61">
        <v>1345707.91</v>
      </c>
      <c r="EB37" s="61">
        <v>1623788.74</v>
      </c>
      <c r="EC37" s="79">
        <v>1795848.79</v>
      </c>
      <c r="ED37" s="79">
        <v>1086198.8899999999</v>
      </c>
      <c r="EE37" s="79">
        <v>1253861.75</v>
      </c>
      <c r="EF37" s="79">
        <v>1063617.6100000001</v>
      </c>
      <c r="EG37" s="79">
        <v>1652343.99</v>
      </c>
      <c r="EH37" s="62">
        <v>660335.9</v>
      </c>
      <c r="EI37" s="62">
        <v>879227.58</v>
      </c>
      <c r="EJ37" s="62">
        <v>999580.85</v>
      </c>
      <c r="EK37" s="62">
        <v>933613.03</v>
      </c>
      <c r="EL37" s="62">
        <v>1034325.92</v>
      </c>
      <c r="EM37" s="62">
        <v>1352725.96</v>
      </c>
      <c r="EN37" s="62">
        <v>1600900.61</v>
      </c>
      <c r="EO37" s="62">
        <v>1663334.39</v>
      </c>
      <c r="EP37" s="62">
        <v>990647.35</v>
      </c>
      <c r="EQ37" s="62">
        <v>981780.18</v>
      </c>
      <c r="ER37" s="62">
        <v>895870.02</v>
      </c>
      <c r="ES37" s="62">
        <v>1261112.96</v>
      </c>
      <c r="ET37" s="62">
        <v>657232.74</v>
      </c>
      <c r="EU37" s="62">
        <v>844736.49</v>
      </c>
      <c r="EV37" s="62">
        <v>860879.6</v>
      </c>
      <c r="EW37" s="62">
        <v>1001033.47</v>
      </c>
      <c r="EX37" s="62">
        <v>876009.07</v>
      </c>
      <c r="EY37" s="62">
        <v>1142440.52</v>
      </c>
      <c r="EZ37" s="62">
        <v>1852548.72</v>
      </c>
      <c r="FA37" s="62">
        <v>1714580.38</v>
      </c>
      <c r="FB37" s="62">
        <v>1010493.42</v>
      </c>
      <c r="FC37" s="62">
        <v>1060224.75</v>
      </c>
      <c r="FD37" s="62">
        <v>856535.48</v>
      </c>
      <c r="FE37" s="62">
        <v>1067902.02</v>
      </c>
      <c r="FF37" s="62">
        <v>609800.16</v>
      </c>
      <c r="FG37" s="62">
        <v>943704.64</v>
      </c>
      <c r="FH37" s="62">
        <v>1029233.16</v>
      </c>
      <c r="FI37" s="62">
        <v>1018399.18</v>
      </c>
      <c r="FJ37" s="62">
        <v>1673986.28</v>
      </c>
      <c r="FK37" s="62">
        <v>1387978.01</v>
      </c>
      <c r="FL37" s="62">
        <v>2403586.64</v>
      </c>
      <c r="FM37" s="62">
        <v>2009408.55</v>
      </c>
      <c r="FN37" s="62">
        <v>1160909.3999999999</v>
      </c>
      <c r="FO37" s="62">
        <v>1196227.28</v>
      </c>
      <c r="FP37" s="62">
        <v>977444.01</v>
      </c>
      <c r="FQ37" s="62">
        <v>1240032.1000000001</v>
      </c>
      <c r="FR37" s="62">
        <v>770985.9</v>
      </c>
      <c r="FS37" s="62">
        <v>1051133.5</v>
      </c>
      <c r="FT37" s="62">
        <v>852509.5</v>
      </c>
      <c r="FU37" s="62">
        <v>578139.14</v>
      </c>
      <c r="FV37" s="62">
        <v>681465.85</v>
      </c>
      <c r="FW37" s="62">
        <v>925102.04</v>
      </c>
      <c r="FX37" s="62">
        <v>929150.69</v>
      </c>
      <c r="FY37" s="62">
        <v>1141753.67</v>
      </c>
      <c r="FZ37" s="62">
        <v>836209.19</v>
      </c>
      <c r="GA37" s="62">
        <v>974384.55</v>
      </c>
      <c r="GB37" s="62">
        <v>871127.01</v>
      </c>
      <c r="GC37" s="62">
        <v>1236280.73</v>
      </c>
      <c r="GD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62"/>
      <c r="HJ37" s="62"/>
      <c r="HK37" s="62"/>
      <c r="HL37" s="62"/>
      <c r="HM37" s="62"/>
      <c r="HN37" s="62"/>
      <c r="HO37" s="62"/>
      <c r="HP37" s="62"/>
      <c r="HQ37" s="62"/>
      <c r="HR37" s="62"/>
      <c r="HS37" s="62"/>
      <c r="HT37" s="62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62"/>
      <c r="IF37" s="62"/>
      <c r="IG37" s="62"/>
      <c r="IH37" s="62"/>
      <c r="II37" s="62"/>
      <c r="IJ37" s="62"/>
      <c r="IK37" s="62"/>
      <c r="IL37" s="62"/>
      <c r="IM37" s="62"/>
      <c r="IN37" s="62"/>
      <c r="IO37" s="62"/>
      <c r="IP37" s="62"/>
      <c r="IQ37" s="62"/>
      <c r="IR37" s="62"/>
      <c r="IS37" s="62"/>
      <c r="IT37" s="62"/>
      <c r="IU37" s="62"/>
      <c r="IV37" s="62"/>
      <c r="IW37" s="62"/>
      <c r="IX37" s="62"/>
      <c r="IY37" s="62"/>
      <c r="IZ37" s="62"/>
      <c r="JA37" s="62"/>
      <c r="JB37" s="62"/>
      <c r="JC37" s="62"/>
      <c r="JD37" s="62"/>
      <c r="JE37" s="62"/>
      <c r="JF37" s="62"/>
      <c r="JG37" s="62"/>
      <c r="JH37" s="62"/>
      <c r="JI37" s="62"/>
      <c r="JJ37" s="62"/>
      <c r="JK37" s="62"/>
      <c r="JL37" s="62"/>
      <c r="JM37" s="62"/>
      <c r="JN37" s="62"/>
      <c r="JO37" s="62"/>
      <c r="JP37" s="62"/>
      <c r="JQ37" s="62"/>
      <c r="JR37" s="62"/>
      <c r="JS37" s="62"/>
      <c r="JT37" s="62"/>
      <c r="JU37" s="62"/>
      <c r="JV37" s="62"/>
      <c r="JW37" s="62"/>
      <c r="JX37" s="62"/>
      <c r="JY37" s="62"/>
      <c r="JZ37" s="62"/>
      <c r="KA37" s="62"/>
      <c r="KB37" s="62"/>
      <c r="KC37" s="62"/>
      <c r="KD37" s="62"/>
      <c r="KE37" s="62"/>
      <c r="KF37" s="62"/>
      <c r="KG37" s="62"/>
      <c r="KH37" s="62"/>
      <c r="KI37" s="62"/>
      <c r="KJ37" s="62"/>
      <c r="KK37" s="62"/>
      <c r="KL37" s="62"/>
      <c r="KM37" s="62"/>
      <c r="KN37" s="62"/>
      <c r="KO37" s="62"/>
      <c r="KP37" s="62"/>
      <c r="KQ37" s="62"/>
      <c r="KR37" s="62"/>
      <c r="KS37" s="62"/>
      <c r="KT37" s="62"/>
      <c r="KU37" s="62"/>
      <c r="KV37" s="62"/>
      <c r="KW37" s="62"/>
      <c r="KX37" s="62"/>
      <c r="KY37" s="62"/>
      <c r="KZ37" s="62"/>
      <c r="LA37" s="62"/>
      <c r="LB37" s="62"/>
      <c r="LC37" s="62"/>
      <c r="LD37" s="62"/>
      <c r="LE37" s="62"/>
      <c r="LF37" s="62"/>
      <c r="LG37" s="62"/>
      <c r="LH37" s="62"/>
      <c r="LI37" s="62"/>
    </row>
    <row r="38" spans="1:321" ht="30">
      <c r="D38" s="59">
        <v>7153</v>
      </c>
      <c r="E38" s="60" t="s">
        <v>368</v>
      </c>
      <c r="F38" s="67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9"/>
      <c r="R38" s="67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67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9"/>
      <c r="AP38" s="67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9"/>
      <c r="BB38" s="67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9"/>
      <c r="BN38" s="67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9"/>
      <c r="BZ38" s="67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7">
        <v>90759.26</v>
      </c>
      <c r="CM38" s="68">
        <v>122800.12</v>
      </c>
      <c r="CN38" s="68">
        <v>196877.73</v>
      </c>
      <c r="CO38" s="68">
        <v>166320.09</v>
      </c>
      <c r="CP38" s="68">
        <v>148764.79</v>
      </c>
      <c r="CQ38" s="68">
        <v>212250.31</v>
      </c>
      <c r="CR38" s="68">
        <v>254772.72</v>
      </c>
      <c r="CS38" s="68">
        <v>246804.62</v>
      </c>
      <c r="CT38" s="68">
        <v>170264.2</v>
      </c>
      <c r="CU38" s="68">
        <v>179854.41</v>
      </c>
      <c r="CV38" s="68">
        <v>146602.04999999999</v>
      </c>
      <c r="CW38" s="69">
        <v>243339.96</v>
      </c>
      <c r="CX38" s="67">
        <v>109376.37</v>
      </c>
      <c r="CY38" s="68">
        <v>160251.59</v>
      </c>
      <c r="CZ38" s="68">
        <v>171488.41</v>
      </c>
      <c r="DA38" s="68">
        <v>218231.41</v>
      </c>
      <c r="DB38" s="68">
        <v>317538.11</v>
      </c>
      <c r="DC38" s="68">
        <v>227087.17</v>
      </c>
      <c r="DD38" s="68">
        <v>181729.34</v>
      </c>
      <c r="DE38" s="68">
        <v>200156.99</v>
      </c>
      <c r="DF38" s="68">
        <v>183628.91</v>
      </c>
      <c r="DG38" s="68">
        <v>177171.64</v>
      </c>
      <c r="DH38" s="68">
        <v>151926.85</v>
      </c>
      <c r="DI38" s="69">
        <v>230907.9</v>
      </c>
      <c r="DJ38" s="67">
        <v>95135.84</v>
      </c>
      <c r="DK38" s="68">
        <v>145189.68</v>
      </c>
      <c r="DL38" s="68">
        <v>156223.73000000001</v>
      </c>
      <c r="DM38" s="68">
        <v>204700.83</v>
      </c>
      <c r="DN38" s="68">
        <v>152469.51999999999</v>
      </c>
      <c r="DO38" s="68">
        <v>225386.87</v>
      </c>
      <c r="DP38" s="68">
        <v>164891.54</v>
      </c>
      <c r="DQ38" s="68">
        <v>192790.5</v>
      </c>
      <c r="DR38" s="68">
        <v>161271.62</v>
      </c>
      <c r="DS38" s="68">
        <v>202040.25</v>
      </c>
      <c r="DT38" s="68">
        <v>168196.07</v>
      </c>
      <c r="DU38" s="69">
        <v>200038.17</v>
      </c>
      <c r="DV38" s="61">
        <v>105576.56</v>
      </c>
      <c r="DW38" s="61">
        <v>144744.65</v>
      </c>
      <c r="DX38" s="61">
        <v>170352.87</v>
      </c>
      <c r="DY38" s="61">
        <v>180780.75</v>
      </c>
      <c r="DZ38" s="61">
        <v>189649</v>
      </c>
      <c r="EA38" s="61">
        <v>251575.22</v>
      </c>
      <c r="EB38" s="61">
        <v>345725.95</v>
      </c>
      <c r="EC38" s="79">
        <v>218436.52</v>
      </c>
      <c r="ED38" s="79">
        <v>192384.74</v>
      </c>
      <c r="EE38" s="79">
        <v>182884.8</v>
      </c>
      <c r="EF38" s="79">
        <v>240266.79</v>
      </c>
      <c r="EG38" s="61">
        <v>2506928.4300000002</v>
      </c>
      <c r="EH38" s="62">
        <v>87533.49</v>
      </c>
      <c r="EI38" s="62">
        <v>159540.37</v>
      </c>
      <c r="EJ38" s="62">
        <v>180211.46</v>
      </c>
      <c r="EK38" s="62">
        <v>152048.34</v>
      </c>
      <c r="EL38" s="62">
        <v>223217.35</v>
      </c>
      <c r="EM38" s="62">
        <v>234564.89</v>
      </c>
      <c r="EN38" s="62">
        <v>195028.41</v>
      </c>
      <c r="EO38" s="62">
        <v>188259.96</v>
      </c>
      <c r="EP38" s="62">
        <v>167623.82</v>
      </c>
      <c r="EQ38" s="62">
        <v>161623.74</v>
      </c>
      <c r="ER38" s="62">
        <v>198903.82</v>
      </c>
      <c r="ES38" s="62">
        <v>245348.63</v>
      </c>
      <c r="ET38" s="62">
        <v>126122.18</v>
      </c>
      <c r="EU38" s="62">
        <v>179834.33</v>
      </c>
      <c r="EV38" s="62">
        <v>220071.26</v>
      </c>
      <c r="EW38" s="62">
        <v>266646.62</v>
      </c>
      <c r="EX38" s="62">
        <v>315030.67</v>
      </c>
      <c r="EY38" s="62">
        <v>421466.02</v>
      </c>
      <c r="EZ38" s="62">
        <v>448738.97</v>
      </c>
      <c r="FA38" s="62">
        <v>248887.25</v>
      </c>
      <c r="FB38" s="62">
        <v>289424.78000000003</v>
      </c>
      <c r="FC38" s="62">
        <v>309001.24</v>
      </c>
      <c r="FD38" s="62">
        <v>272604.90000000002</v>
      </c>
      <c r="FE38" s="62">
        <v>289766.11</v>
      </c>
      <c r="FF38" s="62">
        <v>164019.29</v>
      </c>
      <c r="FG38" s="62">
        <v>247340.36</v>
      </c>
      <c r="FH38" s="62">
        <v>328409.52</v>
      </c>
      <c r="FI38" s="62">
        <v>261152.7</v>
      </c>
      <c r="FJ38" s="62">
        <v>230706.4</v>
      </c>
      <c r="FK38" s="62">
        <v>289255.07</v>
      </c>
      <c r="FL38" s="62">
        <v>304530.33</v>
      </c>
      <c r="FM38" s="62">
        <v>221644.03</v>
      </c>
      <c r="FN38" s="62">
        <v>260012.44</v>
      </c>
      <c r="FO38" s="62">
        <v>232812.52</v>
      </c>
      <c r="FP38" s="62">
        <v>243543.83</v>
      </c>
      <c r="FQ38" s="62">
        <v>299856.59000000003</v>
      </c>
      <c r="FR38" s="62">
        <v>170155.41</v>
      </c>
      <c r="FS38" s="62">
        <v>207689.67</v>
      </c>
      <c r="FT38" s="62">
        <v>151455.6</v>
      </c>
      <c r="FU38" s="62">
        <v>78991.53</v>
      </c>
      <c r="FV38" s="62">
        <v>187396.49</v>
      </c>
      <c r="FW38" s="62">
        <v>257747.86</v>
      </c>
      <c r="FX38" s="62">
        <v>225850.35</v>
      </c>
      <c r="FY38" s="62">
        <v>201280.73</v>
      </c>
      <c r="FZ38" s="62">
        <v>209033.58</v>
      </c>
      <c r="GA38" s="62">
        <v>269314.98</v>
      </c>
      <c r="GB38" s="62">
        <v>187164.42</v>
      </c>
      <c r="GC38" s="62">
        <v>215798.29</v>
      </c>
      <c r="GD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62"/>
      <c r="HJ38" s="62"/>
      <c r="HK38" s="62"/>
      <c r="HL38" s="62"/>
      <c r="HM38" s="62"/>
      <c r="HN38" s="62"/>
      <c r="HO38" s="62"/>
      <c r="HP38" s="62"/>
      <c r="HQ38" s="62"/>
      <c r="HR38" s="62"/>
      <c r="HS38" s="62"/>
      <c r="HT38" s="62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62"/>
      <c r="IF38" s="62"/>
      <c r="IG38" s="62"/>
      <c r="IH38" s="62"/>
      <c r="II38" s="62"/>
      <c r="IJ38" s="62"/>
      <c r="IK38" s="62"/>
      <c r="IL38" s="62"/>
      <c r="IM38" s="62"/>
      <c r="IN38" s="62"/>
      <c r="IO38" s="62"/>
      <c r="IP38" s="62"/>
      <c r="IQ38" s="62"/>
      <c r="IR38" s="62"/>
      <c r="IS38" s="62"/>
      <c r="IT38" s="62"/>
      <c r="IU38" s="62"/>
      <c r="IV38" s="62"/>
      <c r="IW38" s="62"/>
      <c r="IX38" s="62"/>
      <c r="IY38" s="62"/>
      <c r="IZ38" s="62"/>
      <c r="JA38" s="62"/>
      <c r="JB38" s="62"/>
      <c r="JC38" s="62"/>
      <c r="JD38" s="62"/>
      <c r="JE38" s="62"/>
      <c r="JF38" s="62"/>
      <c r="JG38" s="62"/>
      <c r="JH38" s="62"/>
      <c r="JI38" s="62"/>
      <c r="JJ38" s="62"/>
      <c r="JK38" s="62"/>
      <c r="JL38" s="62"/>
      <c r="JM38" s="62"/>
      <c r="JN38" s="62"/>
      <c r="JO38" s="62"/>
      <c r="JP38" s="62"/>
      <c r="JQ38" s="62"/>
      <c r="JR38" s="62"/>
      <c r="JS38" s="62"/>
      <c r="JT38" s="62"/>
      <c r="JU38" s="62"/>
      <c r="JV38" s="62"/>
      <c r="JW38" s="62"/>
      <c r="JX38" s="62"/>
      <c r="JY38" s="62"/>
      <c r="JZ38" s="62"/>
      <c r="KA38" s="62"/>
      <c r="KB38" s="62"/>
      <c r="KC38" s="62"/>
      <c r="KD38" s="62"/>
      <c r="KE38" s="62"/>
      <c r="KF38" s="62"/>
      <c r="KG38" s="62"/>
      <c r="KH38" s="62"/>
      <c r="KI38" s="62"/>
      <c r="KJ38" s="62"/>
      <c r="KK38" s="62"/>
      <c r="KL38" s="62"/>
      <c r="KM38" s="62"/>
      <c r="KN38" s="62"/>
      <c r="KO38" s="62"/>
      <c r="KP38" s="62"/>
      <c r="KQ38" s="62"/>
      <c r="KR38" s="62"/>
      <c r="KS38" s="62"/>
      <c r="KT38" s="62"/>
      <c r="KU38" s="62"/>
      <c r="KV38" s="62"/>
      <c r="KW38" s="62"/>
      <c r="KX38" s="62"/>
      <c r="KY38" s="62"/>
      <c r="KZ38" s="62"/>
      <c r="LA38" s="62"/>
      <c r="LB38" s="62"/>
      <c r="LC38" s="62"/>
      <c r="LD38" s="62"/>
      <c r="LE38" s="62"/>
      <c r="LF38" s="62"/>
      <c r="LG38" s="62"/>
      <c r="LH38" s="62"/>
      <c r="LI38" s="62"/>
    </row>
    <row r="39" spans="1:321">
      <c r="D39" s="59">
        <v>7155</v>
      </c>
      <c r="E39" s="60" t="s">
        <v>142</v>
      </c>
      <c r="F39" s="67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9"/>
      <c r="R39" s="67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67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9"/>
      <c r="AP39" s="67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9"/>
      <c r="BB39" s="67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9"/>
      <c r="BN39" s="67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9"/>
      <c r="BZ39" s="67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7">
        <v>1582092.97</v>
      </c>
      <c r="CM39" s="68">
        <v>467166.58</v>
      </c>
      <c r="CN39" s="68">
        <v>585403.71000000101</v>
      </c>
      <c r="CO39" s="68">
        <v>811837.54</v>
      </c>
      <c r="CP39" s="68">
        <v>1501433.79</v>
      </c>
      <c r="CQ39" s="68">
        <v>609898.66</v>
      </c>
      <c r="CR39" s="68">
        <v>1295393.3899999999</v>
      </c>
      <c r="CS39" s="68">
        <v>671385.39</v>
      </c>
      <c r="CT39" s="68">
        <v>1187244.99</v>
      </c>
      <c r="CU39" s="68">
        <v>1128414.8400000001</v>
      </c>
      <c r="CV39" s="68">
        <v>1302236.95</v>
      </c>
      <c r="CW39" s="69">
        <v>1884247.05</v>
      </c>
      <c r="CX39" s="67">
        <v>656244.35</v>
      </c>
      <c r="CY39" s="68">
        <v>435853.86</v>
      </c>
      <c r="CZ39" s="68">
        <v>457851.94</v>
      </c>
      <c r="DA39" s="68">
        <v>609310.96</v>
      </c>
      <c r="DB39" s="68">
        <v>1220223</v>
      </c>
      <c r="DC39" s="68">
        <v>1700621.34</v>
      </c>
      <c r="DD39" s="68">
        <v>572881.34</v>
      </c>
      <c r="DE39" s="68">
        <v>540401.69999999995</v>
      </c>
      <c r="DF39" s="68">
        <v>613884.09</v>
      </c>
      <c r="DG39" s="68">
        <v>530834.34</v>
      </c>
      <c r="DH39" s="68">
        <v>568906.5</v>
      </c>
      <c r="DI39" s="69">
        <v>2568492.5</v>
      </c>
      <c r="DJ39" s="67">
        <v>262504.65999999997</v>
      </c>
      <c r="DK39" s="68">
        <v>373882.6</v>
      </c>
      <c r="DL39" s="68">
        <v>545324.679999999</v>
      </c>
      <c r="DM39" s="68">
        <v>1241913.7</v>
      </c>
      <c r="DN39" s="68">
        <v>1316719.06</v>
      </c>
      <c r="DO39" s="68">
        <v>568160.97</v>
      </c>
      <c r="DP39" s="68">
        <v>628018.38</v>
      </c>
      <c r="DQ39" s="68">
        <v>814120.16999999899</v>
      </c>
      <c r="DR39" s="68">
        <v>519231.23</v>
      </c>
      <c r="DS39" s="68">
        <v>438045.68</v>
      </c>
      <c r="DT39" s="68">
        <v>1078324.31</v>
      </c>
      <c r="DU39" s="69">
        <v>2198963.11</v>
      </c>
      <c r="DV39" s="61">
        <v>292029.42</v>
      </c>
      <c r="DW39" s="61">
        <v>474967.12</v>
      </c>
      <c r="DX39" s="61">
        <v>1098635.5</v>
      </c>
      <c r="DY39" s="61">
        <v>1620384.37</v>
      </c>
      <c r="DZ39" s="61">
        <v>746067.1</v>
      </c>
      <c r="EA39" s="61">
        <v>1177505.94</v>
      </c>
      <c r="EB39" s="61">
        <v>515251.25</v>
      </c>
      <c r="EC39" s="79">
        <v>640066.84</v>
      </c>
      <c r="ED39" s="79">
        <v>764175.9</v>
      </c>
      <c r="EE39" s="79">
        <v>587106.59</v>
      </c>
      <c r="EF39" s="79">
        <v>514071.16</v>
      </c>
      <c r="EG39" s="79">
        <v>2733621.84</v>
      </c>
      <c r="EH39" s="62">
        <v>727993.26</v>
      </c>
      <c r="EI39" s="62">
        <v>1312808.81</v>
      </c>
      <c r="EJ39" s="62">
        <v>820100.55</v>
      </c>
      <c r="EK39" s="62">
        <v>1412095.76</v>
      </c>
      <c r="EL39" s="62">
        <v>928152.31</v>
      </c>
      <c r="EM39" s="62">
        <v>1269790.53</v>
      </c>
      <c r="EN39" s="62">
        <v>991530.81</v>
      </c>
      <c r="EO39" s="62">
        <v>586941.27</v>
      </c>
      <c r="EP39" s="62">
        <v>589569.39</v>
      </c>
      <c r="EQ39" s="62">
        <v>1803511.11</v>
      </c>
      <c r="ER39" s="62">
        <v>586255.42000000004</v>
      </c>
      <c r="ES39" s="62">
        <v>2869990.07</v>
      </c>
      <c r="ET39" s="62">
        <v>884483.19</v>
      </c>
      <c r="EU39" s="62">
        <v>558411.74</v>
      </c>
      <c r="EV39" s="62">
        <v>749928.42</v>
      </c>
      <c r="EW39" s="62">
        <v>2271661.5699999998</v>
      </c>
      <c r="EX39" s="62">
        <v>900419.31</v>
      </c>
      <c r="EY39" s="62">
        <v>1088276.75</v>
      </c>
      <c r="EZ39" s="62">
        <v>1530666.31</v>
      </c>
      <c r="FA39" s="62">
        <v>1467816.13</v>
      </c>
      <c r="FB39" s="62">
        <v>794121.75</v>
      </c>
      <c r="FC39" s="62">
        <v>868166.07</v>
      </c>
      <c r="FD39" s="62">
        <v>2243697.88</v>
      </c>
      <c r="FE39" s="62">
        <v>1876381.38</v>
      </c>
      <c r="FF39" s="62">
        <v>474394.59</v>
      </c>
      <c r="FG39" s="62">
        <v>759602.89</v>
      </c>
      <c r="FH39" s="62">
        <v>1649538.05</v>
      </c>
      <c r="FI39" s="62">
        <v>1041461.2</v>
      </c>
      <c r="FJ39" s="62">
        <v>1649289.9</v>
      </c>
      <c r="FK39" s="62">
        <v>877867.35</v>
      </c>
      <c r="FL39" s="62">
        <v>861292.76</v>
      </c>
      <c r="FM39" s="62">
        <v>716288.5</v>
      </c>
      <c r="FN39" s="62">
        <v>747007.46</v>
      </c>
      <c r="FO39" s="62">
        <v>992002.33</v>
      </c>
      <c r="FP39" s="62">
        <v>1033404</v>
      </c>
      <c r="FQ39" s="62">
        <v>1894330.82</v>
      </c>
      <c r="FR39" s="62">
        <v>489157.95</v>
      </c>
      <c r="FS39" s="62">
        <v>623499.68000000005</v>
      </c>
      <c r="FT39" s="62">
        <v>1056840.83</v>
      </c>
      <c r="FU39" s="62">
        <v>954272.3</v>
      </c>
      <c r="FV39" s="62">
        <v>342928.25</v>
      </c>
      <c r="FW39" s="62">
        <v>725202.3</v>
      </c>
      <c r="FX39" s="62">
        <v>1114556.25</v>
      </c>
      <c r="FY39" s="62">
        <v>1850515.27</v>
      </c>
      <c r="FZ39" s="62">
        <v>612687.1</v>
      </c>
      <c r="GA39" s="62">
        <v>1573978.14</v>
      </c>
      <c r="GB39" s="62">
        <v>664221.43000000005</v>
      </c>
      <c r="GC39" s="62">
        <v>1074104.6499999999</v>
      </c>
      <c r="GD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2"/>
      <c r="HT39" s="62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62"/>
      <c r="IF39" s="62"/>
      <c r="IG39" s="62"/>
      <c r="IH39" s="62"/>
      <c r="II39" s="62"/>
      <c r="IJ39" s="62"/>
      <c r="IK39" s="62"/>
      <c r="IL39" s="62"/>
      <c r="IM39" s="62"/>
      <c r="IN39" s="62"/>
      <c r="IO39" s="62"/>
      <c r="IP39" s="62"/>
      <c r="IQ39" s="62"/>
      <c r="IR39" s="62"/>
      <c r="IS39" s="62"/>
      <c r="IT39" s="62"/>
      <c r="IU39" s="62"/>
      <c r="IV39" s="62"/>
      <c r="IW39" s="62"/>
      <c r="IX39" s="62"/>
      <c r="IY39" s="62"/>
      <c r="IZ39" s="62"/>
      <c r="JA39" s="62"/>
      <c r="JB39" s="62"/>
      <c r="JC39" s="62"/>
      <c r="JD39" s="62"/>
      <c r="JE39" s="62"/>
      <c r="JF39" s="62"/>
      <c r="JG39" s="62"/>
      <c r="JH39" s="62"/>
      <c r="JI39" s="62"/>
      <c r="JJ39" s="62"/>
      <c r="JK39" s="62"/>
      <c r="JL39" s="62"/>
      <c r="JM39" s="62"/>
      <c r="JN39" s="62"/>
      <c r="JO39" s="62"/>
      <c r="JP39" s="62"/>
      <c r="JQ39" s="62"/>
      <c r="JR39" s="62"/>
      <c r="JS39" s="62"/>
      <c r="JT39" s="62"/>
      <c r="JU39" s="62"/>
      <c r="JV39" s="62"/>
      <c r="JW39" s="62"/>
      <c r="JX39" s="62"/>
      <c r="JY39" s="62"/>
      <c r="JZ39" s="62"/>
      <c r="KA39" s="62"/>
      <c r="KB39" s="62"/>
      <c r="KC39" s="62"/>
      <c r="KD39" s="62"/>
      <c r="KE39" s="62"/>
      <c r="KF39" s="62"/>
      <c r="KG39" s="62"/>
      <c r="KH39" s="62"/>
      <c r="KI39" s="62"/>
      <c r="KJ39" s="62"/>
      <c r="KK39" s="62"/>
      <c r="KL39" s="62"/>
      <c r="KM39" s="62"/>
      <c r="KN39" s="62"/>
      <c r="KO39" s="62"/>
      <c r="KP39" s="62"/>
      <c r="KQ39" s="62"/>
      <c r="KR39" s="62"/>
      <c r="KS39" s="62"/>
      <c r="KT39" s="62"/>
      <c r="KU39" s="62"/>
      <c r="KV39" s="62"/>
      <c r="KW39" s="62"/>
      <c r="KX39" s="62"/>
      <c r="KY39" s="62"/>
      <c r="KZ39" s="62"/>
      <c r="LA39" s="62"/>
      <c r="LB39" s="62"/>
      <c r="LC39" s="62"/>
      <c r="LD39" s="62"/>
      <c r="LE39" s="62"/>
      <c r="LF39" s="62"/>
      <c r="LG39" s="62"/>
      <c r="LH39" s="62"/>
      <c r="LI39" s="62"/>
    </row>
    <row r="40" spans="1:321" s="2" customFormat="1">
      <c r="A40" s="71"/>
      <c r="B40" s="71">
        <v>72</v>
      </c>
      <c r="C40" s="71" t="s">
        <v>6</v>
      </c>
      <c r="D40" s="71">
        <v>72</v>
      </c>
      <c r="E40" s="72" t="s">
        <v>178</v>
      </c>
      <c r="F40" s="73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5"/>
      <c r="R40" s="73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5"/>
      <c r="AD40" s="73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5"/>
      <c r="AP40" s="73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5"/>
      <c r="BB40" s="73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5"/>
      <c r="BN40" s="73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5"/>
      <c r="BZ40" s="73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3">
        <v>10542.3</v>
      </c>
      <c r="CM40" s="74">
        <v>34351.879999999997</v>
      </c>
      <c r="CN40" s="74">
        <v>12933.29</v>
      </c>
      <c r="CO40" s="74">
        <v>120350.94</v>
      </c>
      <c r="CP40" s="74">
        <v>206183.41</v>
      </c>
      <c r="CQ40" s="74">
        <v>461491.11</v>
      </c>
      <c r="CR40" s="74">
        <v>435504.8</v>
      </c>
      <c r="CS40" s="74">
        <v>828248.49</v>
      </c>
      <c r="CT40" s="74">
        <v>315288.5</v>
      </c>
      <c r="CU40" s="74">
        <v>261391.69</v>
      </c>
      <c r="CV40" s="74">
        <v>330347.21000000002</v>
      </c>
      <c r="CW40" s="75">
        <v>8932212.7300000004</v>
      </c>
      <c r="CX40" s="73">
        <f>+SUM(CX41:CX42)</f>
        <v>238690.3</v>
      </c>
      <c r="CY40" s="74">
        <f>+SUM(CY41:CY42)</f>
        <v>180551.59</v>
      </c>
      <c r="CZ40" s="74">
        <f>+SUM(CZ41:CZ42)</f>
        <v>238150.88</v>
      </c>
      <c r="DA40" s="74">
        <f>+SUM(DA41:DA42)</f>
        <v>57269.99</v>
      </c>
      <c r="DB40" s="74">
        <f t="shared" ref="DB40:DI40" si="10">+SUM(DB41:DB42)</f>
        <v>144908.31</v>
      </c>
      <c r="DC40" s="74">
        <f t="shared" si="10"/>
        <v>267027.43</v>
      </c>
      <c r="DD40" s="74">
        <f t="shared" si="10"/>
        <v>704985.39</v>
      </c>
      <c r="DE40" s="74">
        <f t="shared" si="10"/>
        <v>471372.96</v>
      </c>
      <c r="DF40" s="74">
        <f t="shared" si="10"/>
        <v>1969746.65</v>
      </c>
      <c r="DG40" s="74">
        <f t="shared" si="10"/>
        <v>882280.21</v>
      </c>
      <c r="DH40" s="74">
        <f t="shared" si="10"/>
        <v>238081.42</v>
      </c>
      <c r="DI40" s="75">
        <f t="shared" si="10"/>
        <v>1298764.57</v>
      </c>
      <c r="DJ40" s="73">
        <v>78698.81</v>
      </c>
      <c r="DK40" s="74">
        <v>172824.69</v>
      </c>
      <c r="DL40" s="74">
        <v>1025099.47</v>
      </c>
      <c r="DM40" s="74">
        <v>23946.27</v>
      </c>
      <c r="DN40" s="74">
        <v>2673826.09</v>
      </c>
      <c r="DO40" s="74">
        <v>70019.59</v>
      </c>
      <c r="DP40" s="74">
        <v>829842.76</v>
      </c>
      <c r="DQ40" s="74">
        <v>1748791.8</v>
      </c>
      <c r="DR40" s="74">
        <v>24096.58</v>
      </c>
      <c r="DS40" s="74">
        <v>156908.39000000001</v>
      </c>
      <c r="DT40" s="74">
        <v>109348.38</v>
      </c>
      <c r="DU40" s="75">
        <v>929741.52</v>
      </c>
      <c r="DV40" s="76">
        <v>32341.5</v>
      </c>
      <c r="DW40" s="76">
        <v>691978.88</v>
      </c>
      <c r="DX40" s="76">
        <v>24390.81</v>
      </c>
      <c r="DY40" s="76">
        <v>112253.6</v>
      </c>
      <c r="DZ40" s="76">
        <v>103090.11</v>
      </c>
      <c r="EA40" s="76">
        <v>83178.69</v>
      </c>
      <c r="EB40" s="76">
        <v>504334.47</v>
      </c>
      <c r="EC40" s="77">
        <v>89093.46</v>
      </c>
      <c r="ED40" s="77">
        <v>551429.85</v>
      </c>
      <c r="EE40" s="77">
        <v>54505.3</v>
      </c>
      <c r="EF40" s="77">
        <v>1206435.3</v>
      </c>
      <c r="EG40" s="77">
        <v>766535.54</v>
      </c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>
        <v>136671.79999999999</v>
      </c>
      <c r="EU40" s="78">
        <v>273046.61</v>
      </c>
      <c r="EV40" s="78">
        <v>2343256.64</v>
      </c>
      <c r="EW40" s="78">
        <v>108273.11</v>
      </c>
      <c r="EX40" s="78">
        <v>215845.16</v>
      </c>
      <c r="EY40" s="78">
        <v>10312117.130000001</v>
      </c>
      <c r="EZ40" s="78">
        <v>406327.81</v>
      </c>
      <c r="FA40" s="78">
        <v>257929.95</v>
      </c>
      <c r="FB40" s="78">
        <v>223709.29</v>
      </c>
      <c r="FC40" s="78">
        <v>158760.32999999999</v>
      </c>
      <c r="FD40" s="78">
        <v>314684.94</v>
      </c>
      <c r="FE40" s="78">
        <v>998458.94</v>
      </c>
      <c r="FF40" s="78">
        <v>26594.13</v>
      </c>
      <c r="FG40" s="78">
        <v>177395.91</v>
      </c>
      <c r="FH40" s="78">
        <v>180547.55</v>
      </c>
      <c r="FI40" s="78">
        <v>169636.46</v>
      </c>
      <c r="FJ40" s="78">
        <v>223780.48000000001</v>
      </c>
      <c r="FK40" s="78">
        <v>722176.42</v>
      </c>
      <c r="FL40" s="78">
        <v>359609.29</v>
      </c>
      <c r="FM40" s="78">
        <v>176786.46</v>
      </c>
      <c r="FN40" s="78">
        <v>225833.46</v>
      </c>
      <c r="FO40" s="78">
        <v>679599.59</v>
      </c>
      <c r="FP40" s="78">
        <v>287050.87</v>
      </c>
      <c r="FQ40" s="78">
        <v>1049072.3</v>
      </c>
      <c r="FR40" s="78">
        <v>62782.51</v>
      </c>
      <c r="FS40" s="78">
        <v>437988.22</v>
      </c>
      <c r="FT40" s="78">
        <v>603218.21</v>
      </c>
      <c r="FU40" s="78">
        <v>198578.39</v>
      </c>
      <c r="FV40" s="78">
        <v>270349.07</v>
      </c>
      <c r="FW40" s="78">
        <v>213993.31</v>
      </c>
      <c r="FX40" s="78">
        <v>3744610.34</v>
      </c>
      <c r="FY40" s="78">
        <v>391133.36</v>
      </c>
      <c r="FZ40" s="78">
        <v>257820.89</v>
      </c>
      <c r="GA40" s="78">
        <v>1253015.19</v>
      </c>
      <c r="GB40" s="78">
        <v>383181.15</v>
      </c>
      <c r="GC40" s="78">
        <v>730580.32</v>
      </c>
      <c r="GD40" s="78"/>
      <c r="GE40" s="78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8"/>
      <c r="GZ40" s="78"/>
      <c r="HA40" s="78"/>
      <c r="HB40" s="78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8"/>
      <c r="HW40" s="78"/>
      <c r="HX40" s="78"/>
      <c r="HY40" s="78"/>
      <c r="HZ40" s="78"/>
      <c r="IA40" s="78"/>
      <c r="IB40" s="78"/>
      <c r="IC40" s="78"/>
      <c r="ID40" s="78"/>
      <c r="IE40" s="78"/>
      <c r="IF40" s="78"/>
      <c r="IG40" s="78"/>
      <c r="IH40" s="78"/>
      <c r="II40" s="78"/>
      <c r="IJ40" s="78"/>
      <c r="IK40" s="78"/>
      <c r="IL40" s="78"/>
      <c r="IM40" s="78"/>
      <c r="IN40" s="78"/>
      <c r="IO40" s="78"/>
      <c r="IP40" s="78"/>
      <c r="IQ40" s="78"/>
      <c r="IR40" s="78"/>
      <c r="IS40" s="78"/>
      <c r="IT40" s="78"/>
      <c r="IU40" s="78"/>
      <c r="IV40" s="78"/>
      <c r="IW40" s="78"/>
      <c r="IX40" s="78"/>
      <c r="IY40" s="78"/>
      <c r="IZ40" s="78"/>
      <c r="JA40" s="78"/>
      <c r="JB40" s="78"/>
      <c r="JC40" s="78"/>
      <c r="JD40" s="78"/>
      <c r="JE40" s="78"/>
      <c r="JF40" s="78"/>
      <c r="JG40" s="78"/>
      <c r="JH40" s="78"/>
      <c r="JI40" s="78"/>
      <c r="JJ40" s="78"/>
      <c r="JK40" s="78"/>
      <c r="JL40" s="78"/>
      <c r="JM40" s="78"/>
      <c r="JN40" s="78"/>
      <c r="JO40" s="78"/>
      <c r="JP40" s="78"/>
      <c r="JQ40" s="78"/>
      <c r="JR40" s="78"/>
      <c r="JS40" s="78"/>
      <c r="JT40" s="78"/>
      <c r="JU40" s="78"/>
      <c r="JV40" s="78"/>
      <c r="JW40" s="78"/>
      <c r="JX40" s="78"/>
      <c r="JY40" s="78"/>
      <c r="JZ40" s="78"/>
      <c r="KA40" s="78"/>
      <c r="KB40" s="78"/>
      <c r="KC40" s="78"/>
      <c r="KD40" s="78"/>
      <c r="KE40" s="78"/>
      <c r="KF40" s="78"/>
      <c r="KG40" s="78"/>
      <c r="KH40" s="78"/>
      <c r="KI40" s="78"/>
      <c r="KJ40" s="78"/>
      <c r="KK40" s="78"/>
      <c r="KL40" s="78"/>
      <c r="KM40" s="78"/>
      <c r="KN40" s="78"/>
      <c r="KO40" s="78"/>
      <c r="KP40" s="78"/>
      <c r="KQ40" s="78"/>
      <c r="KR40" s="78"/>
      <c r="KS40" s="78"/>
      <c r="KT40" s="78"/>
      <c r="KU40" s="78"/>
      <c r="KV40" s="78"/>
      <c r="KW40" s="78"/>
      <c r="KX40" s="78"/>
      <c r="KY40" s="78"/>
      <c r="KZ40" s="78"/>
      <c r="LA40" s="78"/>
      <c r="LB40" s="78"/>
      <c r="LC40" s="78"/>
      <c r="LD40" s="78"/>
      <c r="LE40" s="78"/>
      <c r="LF40" s="78"/>
      <c r="LG40" s="78"/>
      <c r="LH40" s="78"/>
      <c r="LI40" s="78"/>
    </row>
    <row r="41" spans="1:321" ht="30">
      <c r="C41" s="59">
        <v>721</v>
      </c>
      <c r="D41" s="59">
        <v>7212</v>
      </c>
      <c r="E41" s="60" t="s">
        <v>369</v>
      </c>
      <c r="F41" s="67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9"/>
      <c r="R41" s="67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67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9"/>
      <c r="AP41" s="67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9"/>
      <c r="BB41" s="67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9"/>
      <c r="BN41" s="67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9"/>
      <c r="BZ41" s="67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7">
        <v>0</v>
      </c>
      <c r="CM41" s="68">
        <v>0</v>
      </c>
      <c r="CN41" s="68">
        <v>0</v>
      </c>
      <c r="CO41" s="68">
        <v>0</v>
      </c>
      <c r="CP41" s="68">
        <v>0</v>
      </c>
      <c r="CQ41" s="68">
        <v>0</v>
      </c>
      <c r="CR41" s="68">
        <v>0</v>
      </c>
      <c r="CS41" s="68">
        <v>806645.4</v>
      </c>
      <c r="CT41" s="68">
        <v>0</v>
      </c>
      <c r="CU41" s="68">
        <v>42455.02</v>
      </c>
      <c r="CV41" s="68">
        <v>0</v>
      </c>
      <c r="CW41" s="69">
        <v>808096.84</v>
      </c>
      <c r="CX41" s="67">
        <v>238690.3</v>
      </c>
      <c r="CY41" s="68">
        <v>117596.01</v>
      </c>
      <c r="CZ41" s="68">
        <v>238150.88</v>
      </c>
      <c r="DA41" s="68">
        <v>2000</v>
      </c>
      <c r="DB41" s="68">
        <v>144908.31</v>
      </c>
      <c r="DC41" s="68">
        <v>81036.460000000006</v>
      </c>
      <c r="DD41" s="68">
        <v>22801.94</v>
      </c>
      <c r="DE41" s="68">
        <v>8506.2800000000007</v>
      </c>
      <c r="DF41" s="68">
        <v>1931437.28</v>
      </c>
      <c r="DG41" s="68">
        <v>180705.85</v>
      </c>
      <c r="DH41" s="68">
        <v>232737.93</v>
      </c>
      <c r="DI41" s="69">
        <v>811068.65</v>
      </c>
      <c r="DJ41" s="67">
        <v>78698.81</v>
      </c>
      <c r="DK41" s="68">
        <v>172824.69</v>
      </c>
      <c r="DL41" s="68">
        <v>1025099.47</v>
      </c>
      <c r="DM41" s="68">
        <v>23946.27</v>
      </c>
      <c r="DN41" s="68">
        <v>2673826.09</v>
      </c>
      <c r="DO41" s="68">
        <v>70019.59</v>
      </c>
      <c r="DP41" s="68">
        <v>829842.76</v>
      </c>
      <c r="DQ41" s="68">
        <v>1748791.8</v>
      </c>
      <c r="DR41" s="68">
        <v>24096.58</v>
      </c>
      <c r="DS41" s="68">
        <v>156908.39000000001</v>
      </c>
      <c r="DT41" s="68">
        <v>109.348</v>
      </c>
      <c r="DU41" s="69">
        <v>929741.52</v>
      </c>
      <c r="DV41" s="61">
        <v>32341.5</v>
      </c>
      <c r="DW41" s="61">
        <v>691978.88</v>
      </c>
      <c r="DX41" s="61">
        <v>24386.31</v>
      </c>
      <c r="DY41" s="61">
        <v>112253.6</v>
      </c>
      <c r="DZ41" s="80">
        <v>103090.11</v>
      </c>
      <c r="EA41" s="61">
        <v>83178.69</v>
      </c>
      <c r="EB41" s="61">
        <v>504334.47</v>
      </c>
      <c r="EC41" s="79">
        <v>89093.46</v>
      </c>
      <c r="ED41" s="79">
        <v>551429.85</v>
      </c>
      <c r="EE41" s="79">
        <v>54505.3</v>
      </c>
      <c r="EF41" s="79">
        <v>1206435.3</v>
      </c>
      <c r="EG41" s="79">
        <v>766535.54</v>
      </c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70"/>
      <c r="EU41" s="70"/>
      <c r="EV41" s="70"/>
      <c r="EW41" s="70"/>
      <c r="EX41" s="70"/>
      <c r="EY41" s="70"/>
      <c r="EZ41" s="70"/>
      <c r="FA41" s="70"/>
      <c r="FB41" s="70"/>
      <c r="FC41" s="70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62"/>
      <c r="HJ41" s="62"/>
      <c r="HK41" s="62"/>
      <c r="HL41" s="62"/>
      <c r="HM41" s="62"/>
      <c r="HN41" s="62"/>
      <c r="HO41" s="62"/>
      <c r="HP41" s="62"/>
      <c r="HQ41" s="62"/>
      <c r="HR41" s="62"/>
      <c r="HS41" s="62"/>
      <c r="HT41" s="62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62"/>
      <c r="IF41" s="62"/>
      <c r="IG41" s="62"/>
      <c r="IH41" s="62"/>
      <c r="II41" s="62"/>
      <c r="IJ41" s="62"/>
      <c r="IK41" s="62"/>
      <c r="IL41" s="62"/>
      <c r="IM41" s="62"/>
      <c r="IN41" s="62"/>
      <c r="IO41" s="62"/>
      <c r="IP41" s="62"/>
      <c r="IQ41" s="62"/>
      <c r="IR41" s="62"/>
      <c r="IS41" s="62"/>
      <c r="IT41" s="62"/>
      <c r="IU41" s="62"/>
      <c r="IV41" s="62"/>
      <c r="IW41" s="62"/>
      <c r="IX41" s="62"/>
      <c r="IY41" s="62"/>
      <c r="IZ41" s="62"/>
      <c r="JA41" s="62"/>
      <c r="JB41" s="62"/>
      <c r="JC41" s="62"/>
      <c r="JD41" s="62"/>
      <c r="JE41" s="62"/>
      <c r="JF41" s="62"/>
      <c r="JG41" s="62"/>
      <c r="JH41" s="62"/>
      <c r="JI41" s="62"/>
      <c r="JJ41" s="62"/>
      <c r="JK41" s="62"/>
      <c r="JL41" s="62"/>
      <c r="JM41" s="62"/>
      <c r="JN41" s="62"/>
      <c r="JO41" s="62"/>
      <c r="JP41" s="62"/>
      <c r="JQ41" s="62"/>
      <c r="JR41" s="62"/>
      <c r="JS41" s="62"/>
      <c r="JT41" s="62"/>
      <c r="JU41" s="62"/>
      <c r="JV41" s="62"/>
      <c r="JW41" s="62"/>
      <c r="JX41" s="62"/>
      <c r="JY41" s="62"/>
      <c r="JZ41" s="62"/>
      <c r="KA41" s="62"/>
      <c r="KB41" s="62"/>
      <c r="KC41" s="62"/>
      <c r="KD41" s="62"/>
      <c r="KE41" s="62"/>
      <c r="KF41" s="62"/>
      <c r="KG41" s="62"/>
      <c r="KH41" s="62"/>
      <c r="KI41" s="62"/>
      <c r="KJ41" s="62"/>
      <c r="KK41" s="62"/>
      <c r="KL41" s="62"/>
      <c r="KM41" s="62"/>
      <c r="KN41" s="62"/>
      <c r="KO41" s="62"/>
      <c r="KP41" s="62"/>
      <c r="KQ41" s="62"/>
      <c r="KR41" s="62"/>
      <c r="KS41" s="62"/>
      <c r="KT41" s="62"/>
      <c r="KU41" s="62"/>
      <c r="KV41" s="62"/>
      <c r="KW41" s="62"/>
      <c r="KX41" s="62"/>
      <c r="KY41" s="62"/>
      <c r="KZ41" s="62"/>
      <c r="LA41" s="62"/>
      <c r="LB41" s="62"/>
      <c r="LC41" s="62"/>
      <c r="LD41" s="62"/>
      <c r="LE41" s="62"/>
      <c r="LF41" s="62"/>
      <c r="LG41" s="62"/>
      <c r="LH41" s="62"/>
      <c r="LI41" s="62"/>
    </row>
    <row r="42" spans="1:321" ht="30">
      <c r="C42" s="59">
        <v>722</v>
      </c>
      <c r="D42" s="59">
        <v>7222</v>
      </c>
      <c r="E42" s="60" t="s">
        <v>370</v>
      </c>
      <c r="F42" s="67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9"/>
      <c r="R42" s="67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9"/>
      <c r="AP42" s="67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9"/>
      <c r="BB42" s="67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9"/>
      <c r="BN42" s="67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9"/>
      <c r="BZ42" s="67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7">
        <v>10542.3</v>
      </c>
      <c r="CM42" s="68">
        <v>34351.879999999997</v>
      </c>
      <c r="CN42" s="68">
        <v>12933.29</v>
      </c>
      <c r="CO42" s="68">
        <v>120350.94</v>
      </c>
      <c r="CP42" s="68">
        <v>206183.41</v>
      </c>
      <c r="CQ42" s="68">
        <v>461491.11</v>
      </c>
      <c r="CR42" s="68">
        <v>435504.8</v>
      </c>
      <c r="CS42" s="68">
        <v>21603.09</v>
      </c>
      <c r="CT42" s="68">
        <v>315288.5</v>
      </c>
      <c r="CU42" s="68">
        <v>218936.67</v>
      </c>
      <c r="CV42" s="68">
        <v>330347.21000000002</v>
      </c>
      <c r="CW42" s="69">
        <v>8124115.8899999997</v>
      </c>
      <c r="CX42" s="67">
        <v>0</v>
      </c>
      <c r="CY42" s="68">
        <v>62955.58</v>
      </c>
      <c r="DA42" s="68">
        <v>55269.99</v>
      </c>
      <c r="DB42" s="68">
        <v>0</v>
      </c>
      <c r="DC42" s="68">
        <v>185990.97</v>
      </c>
      <c r="DD42" s="68">
        <v>682183.45</v>
      </c>
      <c r="DE42" s="68">
        <v>462866.68</v>
      </c>
      <c r="DF42" s="68">
        <v>38309.370000000003</v>
      </c>
      <c r="DG42" s="68">
        <v>701574.36</v>
      </c>
      <c r="DH42" s="68">
        <v>5343.49</v>
      </c>
      <c r="DI42" s="69">
        <v>487695.92</v>
      </c>
      <c r="DJ42" s="67">
        <v>0</v>
      </c>
      <c r="DK42" s="68">
        <v>0</v>
      </c>
      <c r="DL42" s="68">
        <v>0</v>
      </c>
      <c r="DM42" s="68">
        <v>0</v>
      </c>
      <c r="DN42" s="68">
        <v>0</v>
      </c>
      <c r="DO42" s="68">
        <v>0</v>
      </c>
      <c r="DP42" s="68">
        <v>0</v>
      </c>
      <c r="DQ42" s="68">
        <v>0</v>
      </c>
      <c r="DR42" s="68">
        <v>0</v>
      </c>
      <c r="DS42" s="68">
        <v>0</v>
      </c>
      <c r="DT42" s="68">
        <v>0</v>
      </c>
      <c r="DU42" s="69">
        <v>0</v>
      </c>
      <c r="DV42" s="61">
        <v>0</v>
      </c>
      <c r="DW42" s="61">
        <v>0</v>
      </c>
      <c r="DX42" s="61">
        <v>4.5</v>
      </c>
      <c r="DY42" s="61">
        <v>0</v>
      </c>
      <c r="DZ42" s="61">
        <v>0</v>
      </c>
      <c r="EA42" s="61">
        <v>0</v>
      </c>
      <c r="EB42" s="61">
        <v>0</v>
      </c>
      <c r="EC42" s="79">
        <v>0</v>
      </c>
      <c r="ED42" s="79">
        <v>0</v>
      </c>
      <c r="EE42" s="79">
        <v>0</v>
      </c>
      <c r="EF42" s="79">
        <v>0</v>
      </c>
      <c r="EG42" s="79">
        <v>0</v>
      </c>
      <c r="EH42" s="62">
        <v>150350.67000000001</v>
      </c>
      <c r="EI42" s="62">
        <v>500193.46</v>
      </c>
      <c r="EJ42" s="62">
        <v>126045.79</v>
      </c>
      <c r="EK42" s="62">
        <v>67133.97</v>
      </c>
      <c r="EL42" s="62">
        <v>340170.16</v>
      </c>
      <c r="EM42" s="62">
        <v>1431878.17</v>
      </c>
      <c r="EN42" s="62">
        <v>588856.99</v>
      </c>
      <c r="EO42" s="62">
        <v>142813.88</v>
      </c>
      <c r="EP42" s="62">
        <v>182139.62</v>
      </c>
      <c r="EQ42" s="62">
        <v>603855.75</v>
      </c>
      <c r="ER42" s="62">
        <v>987894.53</v>
      </c>
      <c r="ES42" s="62">
        <v>1153177.5900000001</v>
      </c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62"/>
      <c r="HJ42" s="62"/>
      <c r="HK42" s="62"/>
      <c r="HL42" s="62"/>
      <c r="HM42" s="62"/>
      <c r="HN42" s="62"/>
      <c r="HO42" s="62"/>
      <c r="HP42" s="62"/>
      <c r="HQ42" s="62"/>
      <c r="HR42" s="62"/>
      <c r="HS42" s="62"/>
      <c r="HT42" s="62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62"/>
      <c r="IF42" s="62"/>
      <c r="IG42" s="62"/>
      <c r="IH42" s="62"/>
      <c r="II42" s="62"/>
      <c r="IJ42" s="62"/>
      <c r="IK42" s="62"/>
      <c r="IL42" s="62"/>
      <c r="IM42" s="62"/>
      <c r="IN42" s="62"/>
      <c r="IO42" s="62"/>
      <c r="IP42" s="62"/>
      <c r="IQ42" s="62"/>
      <c r="IR42" s="62"/>
      <c r="IS42" s="62"/>
      <c r="IT42" s="62"/>
      <c r="IU42" s="62"/>
      <c r="IV42" s="62"/>
      <c r="IW42" s="62"/>
      <c r="IX42" s="62"/>
      <c r="IY42" s="62"/>
      <c r="IZ42" s="62"/>
      <c r="JA42" s="62"/>
      <c r="JB42" s="62"/>
      <c r="JC42" s="62"/>
      <c r="JD42" s="62"/>
      <c r="JE42" s="62"/>
      <c r="JF42" s="62"/>
      <c r="JG42" s="62"/>
      <c r="JH42" s="62"/>
      <c r="JI42" s="62"/>
      <c r="JJ42" s="62"/>
      <c r="JK42" s="62"/>
      <c r="JL42" s="62"/>
      <c r="JM42" s="62"/>
      <c r="JN42" s="62"/>
      <c r="JO42" s="62"/>
      <c r="JP42" s="62"/>
      <c r="JQ42" s="62"/>
      <c r="JR42" s="62"/>
      <c r="JS42" s="62"/>
      <c r="JT42" s="62"/>
      <c r="JU42" s="62"/>
      <c r="JV42" s="62"/>
      <c r="JW42" s="62"/>
      <c r="JX42" s="62"/>
      <c r="JY42" s="62"/>
      <c r="JZ42" s="62"/>
      <c r="KA42" s="62"/>
      <c r="KB42" s="62"/>
      <c r="KC42" s="62"/>
      <c r="KD42" s="62"/>
      <c r="KE42" s="62"/>
      <c r="KF42" s="62"/>
      <c r="KG42" s="62"/>
      <c r="KH42" s="62"/>
      <c r="KI42" s="62"/>
      <c r="KJ42" s="62"/>
      <c r="KK42" s="62"/>
      <c r="KL42" s="62"/>
      <c r="KM42" s="62"/>
      <c r="KN42" s="62"/>
      <c r="KO42" s="62"/>
      <c r="KP42" s="62"/>
      <c r="KQ42" s="62"/>
      <c r="KR42" s="62"/>
      <c r="KS42" s="62"/>
      <c r="KT42" s="62"/>
      <c r="KU42" s="62"/>
      <c r="KV42" s="62"/>
      <c r="KW42" s="62"/>
      <c r="KX42" s="62"/>
      <c r="KY42" s="62"/>
      <c r="KZ42" s="62"/>
      <c r="LA42" s="62"/>
      <c r="LB42" s="62"/>
      <c r="LC42" s="62"/>
      <c r="LD42" s="62"/>
      <c r="LE42" s="62"/>
      <c r="LF42" s="62"/>
      <c r="LG42" s="62"/>
      <c r="LH42" s="62"/>
      <c r="LI42" s="62"/>
    </row>
    <row r="43" spans="1:321" s="2" customFormat="1">
      <c r="A43" s="71"/>
      <c r="B43" s="71">
        <v>73</v>
      </c>
      <c r="C43" s="71"/>
      <c r="D43" s="71">
        <v>73</v>
      </c>
      <c r="E43" s="72" t="s">
        <v>20</v>
      </c>
      <c r="F43" s="73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5"/>
      <c r="R43" s="73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5"/>
      <c r="AD43" s="73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5"/>
      <c r="AP43" s="73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5"/>
      <c r="BB43" s="73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5"/>
      <c r="BN43" s="73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5"/>
      <c r="BZ43" s="73"/>
      <c r="CA43" s="74"/>
      <c r="CB43" s="74"/>
      <c r="CC43" s="74"/>
      <c r="CD43" s="74"/>
      <c r="CE43" s="74"/>
      <c r="CF43" s="74"/>
      <c r="CG43" s="74"/>
      <c r="CH43" s="74"/>
      <c r="CI43" s="74"/>
      <c r="CJ43" s="74"/>
      <c r="CK43" s="74"/>
      <c r="CL43" s="73">
        <v>206949.9</v>
      </c>
      <c r="CM43" s="74">
        <v>235107.79</v>
      </c>
      <c r="CN43" s="74">
        <v>299748.19</v>
      </c>
      <c r="CO43" s="74">
        <v>298965.78000000003</v>
      </c>
      <c r="CP43" s="74">
        <v>208873.82</v>
      </c>
      <c r="CQ43" s="74">
        <v>273742.46000000002</v>
      </c>
      <c r="CR43" s="74">
        <v>3435190.41</v>
      </c>
      <c r="CS43" s="74">
        <v>586185.69999999995</v>
      </c>
      <c r="CT43" s="74">
        <v>401482.51</v>
      </c>
      <c r="CU43" s="74">
        <v>614629.94999999995</v>
      </c>
      <c r="CV43" s="74">
        <v>171580.47</v>
      </c>
      <c r="CW43" s="75">
        <v>1810625.69</v>
      </c>
      <c r="CX43" s="73">
        <f>+SUM(CX44:CX45)</f>
        <v>145969.23000000001</v>
      </c>
      <c r="CY43" s="74">
        <f t="shared" ref="CY43:DI43" si="11">+SUM(CY44:CY45)</f>
        <v>107462.68</v>
      </c>
      <c r="CZ43" s="74">
        <f t="shared" si="11"/>
        <v>292731.87</v>
      </c>
      <c r="DA43" s="74">
        <f t="shared" si="11"/>
        <v>369726.11</v>
      </c>
      <c r="DB43" s="74">
        <f t="shared" si="11"/>
        <v>118088.34</v>
      </c>
      <c r="DC43" s="74">
        <f t="shared" si="11"/>
        <v>988773.85</v>
      </c>
      <c r="DD43" s="74">
        <f t="shared" si="11"/>
        <v>98780.82</v>
      </c>
      <c r="DE43" s="74">
        <f t="shared" si="11"/>
        <v>305044.76</v>
      </c>
      <c r="DF43" s="74">
        <f t="shared" si="11"/>
        <v>476893.98</v>
      </c>
      <c r="DG43" s="74">
        <f t="shared" si="11"/>
        <v>368051.05</v>
      </c>
      <c r="DH43" s="74">
        <f t="shared" si="11"/>
        <v>1895040.21</v>
      </c>
      <c r="DI43" s="75">
        <f t="shared" si="11"/>
        <v>3355488.29</v>
      </c>
      <c r="DJ43" s="73">
        <v>444135.32</v>
      </c>
      <c r="DK43" s="74">
        <v>1847442.89</v>
      </c>
      <c r="DL43" s="74">
        <v>506716.22</v>
      </c>
      <c r="DM43" s="74">
        <v>364215.69</v>
      </c>
      <c r="DN43" s="74">
        <v>411816.75</v>
      </c>
      <c r="DO43" s="74">
        <v>1029407.6</v>
      </c>
      <c r="DP43" s="74">
        <v>90543.21</v>
      </c>
      <c r="DQ43" s="74">
        <v>79534.3</v>
      </c>
      <c r="DR43" s="74">
        <v>141338.74</v>
      </c>
      <c r="DS43" s="74">
        <v>599188.87</v>
      </c>
      <c r="DT43" s="74">
        <v>330568.99</v>
      </c>
      <c r="DU43" s="75">
        <v>2084879.29</v>
      </c>
      <c r="DV43" s="76">
        <v>148151.23000000001</v>
      </c>
      <c r="DW43" s="76">
        <v>82290.95</v>
      </c>
      <c r="DX43" s="76">
        <v>119438.57</v>
      </c>
      <c r="DY43" s="76">
        <v>103043.66</v>
      </c>
      <c r="DZ43" s="76">
        <v>921596.33</v>
      </c>
      <c r="EA43" s="76">
        <v>565850.1</v>
      </c>
      <c r="EB43" s="76">
        <v>84480.12</v>
      </c>
      <c r="EC43" s="77">
        <v>79378.06</v>
      </c>
      <c r="ED43" s="77">
        <v>134318.35</v>
      </c>
      <c r="EE43" s="77">
        <v>226256.22</v>
      </c>
      <c r="EF43" s="77">
        <v>783922.87</v>
      </c>
      <c r="EG43" s="77">
        <v>1413894.45</v>
      </c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>
        <v>172043.05</v>
      </c>
      <c r="EU43" s="78">
        <v>78777.210000000006</v>
      </c>
      <c r="EV43" s="78">
        <v>195694.06</v>
      </c>
      <c r="EW43" s="78">
        <v>443978.03</v>
      </c>
      <c r="EX43" s="78">
        <v>1090667.1299999999</v>
      </c>
      <c r="EY43" s="78">
        <v>2374596.09</v>
      </c>
      <c r="EZ43" s="78">
        <v>178131.97</v>
      </c>
      <c r="FA43" s="78">
        <v>146792.74</v>
      </c>
      <c r="FB43" s="78">
        <v>907089.49</v>
      </c>
      <c r="FC43" s="78">
        <v>525509.51</v>
      </c>
      <c r="FD43" s="78">
        <v>4230114.6399999997</v>
      </c>
      <c r="FE43" s="78">
        <v>942551.18</v>
      </c>
      <c r="FF43" s="78">
        <v>69158.880000000005</v>
      </c>
      <c r="FG43" s="78">
        <v>378338.04</v>
      </c>
      <c r="FH43" s="78">
        <v>257172.98</v>
      </c>
      <c r="FI43" s="78">
        <v>349238.34</v>
      </c>
      <c r="FJ43" s="78">
        <v>808656.23</v>
      </c>
      <c r="FK43" s="78">
        <v>1298753.81</v>
      </c>
      <c r="FL43" s="78">
        <v>134648.84</v>
      </c>
      <c r="FM43" s="78">
        <v>1295803.5900000001</v>
      </c>
      <c r="FN43" s="78">
        <v>183612.59</v>
      </c>
      <c r="FO43" s="78">
        <v>223272.51</v>
      </c>
      <c r="FP43" s="78">
        <v>1445230.26</v>
      </c>
      <c r="FQ43" s="78">
        <v>1825677.24</v>
      </c>
      <c r="FR43" s="78">
        <v>80819.179999999993</v>
      </c>
      <c r="FS43" s="78">
        <v>813727.89</v>
      </c>
      <c r="FT43" s="78">
        <v>794561.22</v>
      </c>
      <c r="FU43" s="78">
        <v>561040.23</v>
      </c>
      <c r="FV43" s="78">
        <v>896681.72</v>
      </c>
      <c r="FW43" s="78">
        <v>977750.68</v>
      </c>
      <c r="FX43" s="78">
        <v>53328</v>
      </c>
      <c r="FY43" s="78">
        <v>635570.36</v>
      </c>
      <c r="FZ43" s="78">
        <v>139421.26999999999</v>
      </c>
      <c r="GA43" s="78">
        <v>338814.6</v>
      </c>
      <c r="GB43" s="78">
        <v>1062947.03</v>
      </c>
      <c r="GC43" s="78">
        <v>1060252.57</v>
      </c>
      <c r="GD43" s="78"/>
      <c r="GE43" s="78"/>
      <c r="GF43" s="78"/>
      <c r="GG43" s="78"/>
      <c r="GH43" s="78"/>
      <c r="GI43" s="78"/>
      <c r="GJ43" s="78"/>
      <c r="GK43" s="78"/>
      <c r="GL43" s="78"/>
      <c r="GM43" s="78"/>
      <c r="GN43" s="78"/>
      <c r="GO43" s="78"/>
      <c r="GP43" s="78"/>
      <c r="GQ43" s="78"/>
      <c r="GR43" s="78"/>
      <c r="GS43" s="78"/>
      <c r="GT43" s="78"/>
      <c r="GU43" s="78"/>
      <c r="GV43" s="78"/>
      <c r="GW43" s="78"/>
      <c r="GX43" s="78"/>
      <c r="GY43" s="78"/>
      <c r="GZ43" s="78"/>
      <c r="HA43" s="78"/>
      <c r="HB43" s="78"/>
      <c r="HC43" s="78"/>
      <c r="HD43" s="78"/>
      <c r="HE43" s="78"/>
      <c r="HF43" s="78"/>
      <c r="HG43" s="78"/>
      <c r="HH43" s="78"/>
      <c r="HI43" s="78"/>
      <c r="HJ43" s="78"/>
      <c r="HK43" s="78"/>
      <c r="HL43" s="78"/>
      <c r="HM43" s="78"/>
      <c r="HN43" s="78"/>
      <c r="HO43" s="78"/>
      <c r="HP43" s="78"/>
      <c r="HQ43" s="78"/>
      <c r="HR43" s="78"/>
      <c r="HS43" s="78"/>
      <c r="HT43" s="78"/>
      <c r="HU43" s="78"/>
      <c r="HV43" s="78"/>
      <c r="HW43" s="78"/>
      <c r="HX43" s="78"/>
      <c r="HY43" s="78"/>
      <c r="HZ43" s="78"/>
      <c r="IA43" s="78"/>
      <c r="IB43" s="78"/>
      <c r="IC43" s="78"/>
      <c r="ID43" s="78"/>
      <c r="IE43" s="78"/>
      <c r="IF43" s="78"/>
      <c r="IG43" s="78"/>
      <c r="IH43" s="78"/>
      <c r="II43" s="78"/>
      <c r="IJ43" s="78"/>
      <c r="IK43" s="78"/>
      <c r="IL43" s="78"/>
      <c r="IM43" s="78"/>
      <c r="IN43" s="78"/>
      <c r="IO43" s="78"/>
      <c r="IP43" s="78"/>
      <c r="IQ43" s="78"/>
      <c r="IR43" s="78"/>
      <c r="IS43" s="78"/>
      <c r="IT43" s="78"/>
      <c r="IU43" s="78"/>
      <c r="IV43" s="78"/>
      <c r="IW43" s="78"/>
      <c r="IX43" s="78"/>
      <c r="IY43" s="78"/>
      <c r="IZ43" s="78"/>
      <c r="JA43" s="78"/>
      <c r="JB43" s="78"/>
      <c r="JC43" s="78"/>
      <c r="JD43" s="78"/>
      <c r="JE43" s="78"/>
      <c r="JF43" s="78"/>
      <c r="JG43" s="78"/>
      <c r="JH43" s="78"/>
      <c r="JI43" s="78"/>
      <c r="JJ43" s="78"/>
      <c r="JK43" s="78"/>
      <c r="JL43" s="78"/>
      <c r="JM43" s="78"/>
      <c r="JN43" s="78"/>
      <c r="JO43" s="78"/>
      <c r="JP43" s="78"/>
      <c r="JQ43" s="78"/>
      <c r="JR43" s="78"/>
      <c r="JS43" s="78"/>
      <c r="JT43" s="78"/>
      <c r="JU43" s="78"/>
      <c r="JV43" s="78"/>
      <c r="JW43" s="78"/>
      <c r="JX43" s="78"/>
      <c r="JY43" s="78"/>
      <c r="JZ43" s="78"/>
      <c r="KA43" s="78"/>
      <c r="KB43" s="78"/>
      <c r="KC43" s="78"/>
      <c r="KD43" s="78"/>
      <c r="KE43" s="78"/>
      <c r="KF43" s="78"/>
      <c r="KG43" s="78"/>
      <c r="KH43" s="78"/>
      <c r="KI43" s="78"/>
      <c r="KJ43" s="78"/>
      <c r="KK43" s="78"/>
      <c r="KL43" s="78"/>
      <c r="KM43" s="78"/>
      <c r="KN43" s="78"/>
      <c r="KO43" s="78"/>
      <c r="KP43" s="78"/>
      <c r="KQ43" s="78"/>
      <c r="KR43" s="78"/>
      <c r="KS43" s="78"/>
      <c r="KT43" s="78"/>
      <c r="KU43" s="78"/>
      <c r="KV43" s="78"/>
      <c r="KW43" s="78"/>
      <c r="KX43" s="78"/>
      <c r="KY43" s="78"/>
      <c r="KZ43" s="78"/>
      <c r="LA43" s="78"/>
      <c r="LB43" s="78"/>
      <c r="LC43" s="78"/>
      <c r="LD43" s="78"/>
      <c r="LE43" s="78"/>
      <c r="LF43" s="78"/>
      <c r="LG43" s="78"/>
      <c r="LH43" s="78"/>
      <c r="LI43" s="78"/>
    </row>
    <row r="44" spans="1:321">
      <c r="B44" s="59" t="s">
        <v>6</v>
      </c>
      <c r="C44" s="59">
        <v>731</v>
      </c>
      <c r="D44" s="59">
        <v>7311</v>
      </c>
      <c r="E44" s="60" t="s">
        <v>20</v>
      </c>
      <c r="F44" s="67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9"/>
      <c r="R44" s="67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67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9"/>
      <c r="AP44" s="67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9"/>
      <c r="BB44" s="67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9"/>
      <c r="BN44" s="67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9"/>
      <c r="BZ44" s="67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7">
        <v>206949.9</v>
      </c>
      <c r="CM44" s="68">
        <v>235107.79</v>
      </c>
      <c r="CN44" s="68">
        <v>299748.19</v>
      </c>
      <c r="CO44" s="68">
        <v>298965.78000000003</v>
      </c>
      <c r="CP44" s="68">
        <v>208873.82</v>
      </c>
      <c r="CQ44" s="68">
        <v>273742.46000000002</v>
      </c>
      <c r="CR44" s="68">
        <v>3435190.41</v>
      </c>
      <c r="CS44" s="68">
        <v>586185.69999999995</v>
      </c>
      <c r="CT44" s="68">
        <v>401482.51</v>
      </c>
      <c r="CU44" s="68">
        <v>614629.94999999995</v>
      </c>
      <c r="CV44" s="68">
        <v>171580.47</v>
      </c>
      <c r="CW44" s="69">
        <v>1810625.69</v>
      </c>
      <c r="CX44" s="67">
        <v>145969.23000000001</v>
      </c>
      <c r="CY44" s="68">
        <v>107462.68</v>
      </c>
      <c r="CZ44" s="68">
        <v>292731.87</v>
      </c>
      <c r="DA44" s="68">
        <v>369726.11</v>
      </c>
      <c r="DB44" s="68">
        <v>118088.34</v>
      </c>
      <c r="DC44" s="68">
        <v>988773.85</v>
      </c>
      <c r="DD44" s="68">
        <v>98780.82</v>
      </c>
      <c r="DE44" s="68">
        <v>305044.76</v>
      </c>
      <c r="DF44" s="68">
        <v>476893.98</v>
      </c>
      <c r="DG44" s="68">
        <v>368051.05</v>
      </c>
      <c r="DH44" s="68">
        <v>1895040.21</v>
      </c>
      <c r="DI44" s="69">
        <v>3355488.29</v>
      </c>
      <c r="DJ44" s="67">
        <v>444135.32</v>
      </c>
      <c r="DK44" s="68">
        <v>1847442.89</v>
      </c>
      <c r="DL44" s="68">
        <v>506716.22</v>
      </c>
      <c r="DM44" s="68">
        <v>364215.69</v>
      </c>
      <c r="DN44" s="68">
        <v>411816.75</v>
      </c>
      <c r="DO44" s="68">
        <v>1029407.6</v>
      </c>
      <c r="DP44" s="68">
        <v>90543.21</v>
      </c>
      <c r="DQ44" s="68">
        <v>79534.3</v>
      </c>
      <c r="DR44" s="68">
        <v>141338.74</v>
      </c>
      <c r="DS44" s="68">
        <v>599188.87</v>
      </c>
      <c r="DT44" s="68">
        <v>330568.99</v>
      </c>
      <c r="DU44" s="69">
        <v>2084879.29</v>
      </c>
      <c r="DV44" s="61">
        <v>148151.23000000001</v>
      </c>
      <c r="DW44" s="61">
        <v>82290.95</v>
      </c>
      <c r="DX44" s="61">
        <v>119438.57</v>
      </c>
      <c r="DY44" s="61">
        <v>103043.66</v>
      </c>
      <c r="DZ44" s="80">
        <v>921596.33</v>
      </c>
      <c r="EA44" s="61">
        <v>565850.1</v>
      </c>
      <c r="EB44" s="61">
        <v>84480.12</v>
      </c>
      <c r="EC44" s="79">
        <v>79378.06</v>
      </c>
      <c r="ED44" s="79">
        <v>134318.35</v>
      </c>
      <c r="EE44" s="79">
        <v>226256.22</v>
      </c>
      <c r="EF44" s="79">
        <v>783922.87</v>
      </c>
      <c r="EG44" s="79">
        <v>1034220.21</v>
      </c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2"/>
      <c r="IG44" s="62"/>
      <c r="IH44" s="62"/>
      <c r="II44" s="62"/>
      <c r="IJ44" s="62"/>
      <c r="IK44" s="62"/>
      <c r="IL44" s="62"/>
      <c r="IM44" s="62"/>
      <c r="IN44" s="62"/>
      <c r="IO44" s="62"/>
      <c r="IP44" s="62"/>
      <c r="IQ44" s="62"/>
      <c r="IR44" s="62"/>
      <c r="IS44" s="62"/>
      <c r="IT44" s="62"/>
      <c r="IU44" s="62"/>
      <c r="IV44" s="62"/>
      <c r="IW44" s="62"/>
      <c r="IX44" s="62"/>
      <c r="IY44" s="62"/>
      <c r="IZ44" s="62"/>
      <c r="JA44" s="62"/>
      <c r="JB44" s="62"/>
      <c r="JC44" s="62"/>
      <c r="JD44" s="62"/>
      <c r="JE44" s="62"/>
      <c r="JF44" s="62"/>
      <c r="JG44" s="62"/>
      <c r="JH44" s="62"/>
      <c r="JI44" s="62"/>
      <c r="JJ44" s="62"/>
      <c r="JK44" s="62"/>
      <c r="JL44" s="62"/>
      <c r="JM44" s="62"/>
      <c r="JN44" s="62"/>
      <c r="JO44" s="62"/>
      <c r="JP44" s="62"/>
      <c r="JQ44" s="62"/>
      <c r="JR44" s="62"/>
      <c r="JS44" s="62"/>
      <c r="JT44" s="62"/>
      <c r="JU44" s="62"/>
      <c r="JV44" s="62"/>
      <c r="JW44" s="62"/>
      <c r="JX44" s="62"/>
      <c r="JY44" s="62"/>
      <c r="JZ44" s="62"/>
      <c r="KA44" s="62"/>
      <c r="KB44" s="62"/>
      <c r="KC44" s="62"/>
      <c r="KD44" s="62"/>
      <c r="KE44" s="62"/>
      <c r="KF44" s="62"/>
      <c r="KG44" s="62"/>
      <c r="KH44" s="62"/>
      <c r="KI44" s="62"/>
      <c r="KJ44" s="62"/>
      <c r="KK44" s="62"/>
      <c r="KL44" s="62"/>
      <c r="KM44" s="62"/>
      <c r="KN44" s="62"/>
      <c r="KO44" s="62"/>
      <c r="KP44" s="62"/>
      <c r="KQ44" s="62"/>
      <c r="KR44" s="62"/>
      <c r="KS44" s="62"/>
      <c r="KT44" s="62"/>
      <c r="KU44" s="62"/>
      <c r="KV44" s="62"/>
      <c r="KW44" s="62"/>
      <c r="KX44" s="62"/>
      <c r="KY44" s="62"/>
      <c r="KZ44" s="62"/>
      <c r="LA44" s="62"/>
      <c r="LB44" s="62"/>
      <c r="LC44" s="62"/>
      <c r="LD44" s="62"/>
      <c r="LE44" s="62"/>
      <c r="LF44" s="62"/>
      <c r="LG44" s="62"/>
      <c r="LH44" s="62"/>
      <c r="LI44" s="62"/>
    </row>
    <row r="45" spans="1:321" ht="30">
      <c r="C45" s="59">
        <v>732</v>
      </c>
      <c r="D45" s="59">
        <v>7321</v>
      </c>
      <c r="E45" s="60" t="s">
        <v>371</v>
      </c>
      <c r="F45" s="67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9"/>
      <c r="R45" s="67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67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9"/>
      <c r="AP45" s="67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9"/>
      <c r="BB45" s="67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9"/>
      <c r="BN45" s="67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9"/>
      <c r="BZ45" s="67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7">
        <v>0</v>
      </c>
      <c r="CM45" s="68">
        <v>0</v>
      </c>
      <c r="CN45" s="68">
        <v>0</v>
      </c>
      <c r="CO45" s="68">
        <v>0</v>
      </c>
      <c r="CP45" s="68">
        <v>0</v>
      </c>
      <c r="CQ45" s="68">
        <v>0</v>
      </c>
      <c r="CR45" s="68">
        <v>0</v>
      </c>
      <c r="CS45" s="68">
        <v>0</v>
      </c>
      <c r="CT45" s="68">
        <v>0</v>
      </c>
      <c r="CU45" s="68">
        <v>0</v>
      </c>
      <c r="CV45" s="68">
        <v>0</v>
      </c>
      <c r="CW45" s="69">
        <v>0</v>
      </c>
      <c r="CX45" s="67">
        <v>0</v>
      </c>
      <c r="CY45" s="68">
        <v>0</v>
      </c>
      <c r="CZ45" s="68">
        <v>0</v>
      </c>
      <c r="DA45" s="68">
        <v>0</v>
      </c>
      <c r="DB45" s="68">
        <v>0</v>
      </c>
      <c r="DC45" s="68">
        <v>0</v>
      </c>
      <c r="DD45" s="68">
        <v>0</v>
      </c>
      <c r="DE45" s="68">
        <v>0</v>
      </c>
      <c r="DF45" s="68">
        <v>0</v>
      </c>
      <c r="DG45" s="68">
        <v>0</v>
      </c>
      <c r="DH45" s="68">
        <v>0</v>
      </c>
      <c r="DI45" s="69">
        <v>0</v>
      </c>
      <c r="DJ45" s="67">
        <v>0</v>
      </c>
      <c r="DK45" s="68">
        <v>0</v>
      </c>
      <c r="DL45" s="68">
        <v>0</v>
      </c>
      <c r="DM45" s="68">
        <v>0</v>
      </c>
      <c r="DN45" s="68">
        <v>0</v>
      </c>
      <c r="DO45" s="68">
        <v>0</v>
      </c>
      <c r="DP45" s="68">
        <v>0</v>
      </c>
      <c r="DQ45" s="68">
        <v>0</v>
      </c>
      <c r="DR45" s="68">
        <v>0</v>
      </c>
      <c r="DS45" s="68">
        <v>0</v>
      </c>
      <c r="DT45" s="68">
        <v>0</v>
      </c>
      <c r="DU45" s="69">
        <v>0</v>
      </c>
      <c r="DV45" s="61">
        <v>0</v>
      </c>
      <c r="DW45" s="61">
        <v>0</v>
      </c>
      <c r="DX45" s="61">
        <v>0</v>
      </c>
      <c r="DY45" s="61">
        <v>0</v>
      </c>
      <c r="EC45" s="79">
        <v>0</v>
      </c>
      <c r="ED45" s="79"/>
      <c r="EE45" s="79"/>
      <c r="EF45" s="79"/>
      <c r="EG45" s="79"/>
      <c r="EH45" s="62">
        <v>198902.46</v>
      </c>
      <c r="EI45" s="62">
        <v>1119540.18</v>
      </c>
      <c r="EJ45" s="62">
        <v>2133451.14</v>
      </c>
      <c r="EK45" s="62">
        <v>849572.77</v>
      </c>
      <c r="EL45" s="62">
        <v>1895943.06</v>
      </c>
      <c r="EM45" s="62">
        <v>1063223.94</v>
      </c>
      <c r="EN45" s="62">
        <v>2617220.7200000002</v>
      </c>
      <c r="EO45" s="62">
        <v>693924.15</v>
      </c>
      <c r="EP45" s="62">
        <v>1500964.26</v>
      </c>
      <c r="EQ45" s="62">
        <v>2652981.5699999998</v>
      </c>
      <c r="ER45" s="62">
        <v>2284497.5299999998</v>
      </c>
      <c r="ES45" s="62">
        <v>8271247.9800000004</v>
      </c>
      <c r="ET45" s="70"/>
      <c r="EU45" s="70"/>
      <c r="EV45" s="70"/>
      <c r="EW45" s="70"/>
      <c r="EX45" s="70"/>
      <c r="EY45" s="70"/>
      <c r="EZ45" s="70"/>
      <c r="FA45" s="70"/>
      <c r="FB45" s="70"/>
      <c r="FC45" s="70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2"/>
      <c r="IG45" s="62"/>
      <c r="IH45" s="62"/>
      <c r="II45" s="62"/>
      <c r="IJ45" s="62"/>
      <c r="IK45" s="62"/>
      <c r="IL45" s="62"/>
      <c r="IM45" s="62"/>
      <c r="IN45" s="62"/>
      <c r="IO45" s="62"/>
      <c r="IP45" s="62"/>
      <c r="IQ45" s="62"/>
      <c r="IR45" s="62"/>
      <c r="IS45" s="62"/>
      <c r="IT45" s="62"/>
      <c r="IU45" s="62"/>
      <c r="IV45" s="62"/>
      <c r="IW45" s="62"/>
      <c r="IX45" s="62"/>
      <c r="IY45" s="62"/>
      <c r="IZ45" s="62"/>
      <c r="JA45" s="62"/>
      <c r="JB45" s="62"/>
      <c r="JC45" s="62"/>
      <c r="JD45" s="62"/>
      <c r="JE45" s="62"/>
      <c r="JF45" s="62"/>
      <c r="JG45" s="62"/>
      <c r="JH45" s="62"/>
      <c r="JI45" s="62"/>
      <c r="JJ45" s="62"/>
      <c r="JK45" s="62"/>
      <c r="JL45" s="62"/>
      <c r="JM45" s="62"/>
      <c r="JN45" s="62"/>
      <c r="JO45" s="62"/>
      <c r="JP45" s="62"/>
      <c r="JQ45" s="62"/>
      <c r="JR45" s="62"/>
      <c r="JS45" s="62"/>
      <c r="JT45" s="62"/>
      <c r="JU45" s="62"/>
      <c r="JV45" s="62"/>
      <c r="JW45" s="62"/>
      <c r="JX45" s="62"/>
      <c r="JY45" s="62"/>
      <c r="JZ45" s="62"/>
      <c r="KA45" s="62"/>
      <c r="KB45" s="62"/>
      <c r="KC45" s="62"/>
      <c r="KD45" s="62"/>
      <c r="KE45" s="62"/>
      <c r="KF45" s="62"/>
      <c r="KG45" s="62"/>
      <c r="KH45" s="62"/>
      <c r="KI45" s="62"/>
      <c r="KJ45" s="62"/>
      <c r="KK45" s="62"/>
      <c r="KL45" s="62"/>
      <c r="KM45" s="62"/>
      <c r="KN45" s="62"/>
      <c r="KO45" s="62"/>
      <c r="KP45" s="62"/>
      <c r="KQ45" s="62"/>
      <c r="KR45" s="62"/>
      <c r="KS45" s="62"/>
      <c r="KT45" s="62"/>
      <c r="KU45" s="62"/>
      <c r="KV45" s="62"/>
      <c r="KW45" s="62"/>
      <c r="KX45" s="62"/>
      <c r="KY45" s="62"/>
      <c r="KZ45" s="62"/>
      <c r="LA45" s="62"/>
      <c r="LB45" s="62"/>
      <c r="LC45" s="62"/>
      <c r="LD45" s="62"/>
      <c r="LE45" s="62"/>
      <c r="LF45" s="62"/>
      <c r="LG45" s="62"/>
      <c r="LH45" s="62"/>
      <c r="LI45" s="62"/>
    </row>
    <row r="46" spans="1:321" s="2" customFormat="1">
      <c r="A46" s="71"/>
      <c r="B46" s="71">
        <v>74</v>
      </c>
      <c r="C46" s="71" t="s">
        <v>6</v>
      </c>
      <c r="D46" s="71">
        <v>74</v>
      </c>
      <c r="E46" s="72" t="s">
        <v>144</v>
      </c>
      <c r="F46" s="73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5"/>
      <c r="R46" s="73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5"/>
      <c r="AD46" s="73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5"/>
      <c r="AP46" s="73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5"/>
      <c r="BB46" s="73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5"/>
      <c r="BN46" s="73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5"/>
      <c r="BZ46" s="73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3">
        <v>165851.26</v>
      </c>
      <c r="CM46" s="74">
        <v>158391.43</v>
      </c>
      <c r="CN46" s="74">
        <v>618410.81000000006</v>
      </c>
      <c r="CO46" s="74">
        <v>143255.71</v>
      </c>
      <c r="CP46" s="74">
        <v>330184.13</v>
      </c>
      <c r="CQ46" s="74">
        <v>460006.45</v>
      </c>
      <c r="CR46" s="74">
        <v>487486.95</v>
      </c>
      <c r="CS46" s="74">
        <v>225390.9</v>
      </c>
      <c r="CT46" s="74">
        <v>761867.53</v>
      </c>
      <c r="CU46" s="74">
        <v>1447115.81</v>
      </c>
      <c r="CV46" s="74">
        <v>707499.84</v>
      </c>
      <c r="CW46" s="75">
        <v>1108546.8899999999</v>
      </c>
      <c r="CX46" s="73">
        <f>+SUM(CX47:CX48)</f>
        <v>149764.72</v>
      </c>
      <c r="CY46" s="74">
        <f t="shared" ref="CY46:DI46" si="12">+SUM(CY47:CY48)</f>
        <v>720536.12</v>
      </c>
      <c r="CZ46" s="74">
        <f t="shared" si="12"/>
        <v>173095.78</v>
      </c>
      <c r="DA46" s="74">
        <f t="shared" si="12"/>
        <v>636951.02</v>
      </c>
      <c r="DB46" s="74">
        <f t="shared" si="12"/>
        <v>295224.23</v>
      </c>
      <c r="DC46" s="74">
        <f t="shared" si="12"/>
        <v>145661.5</v>
      </c>
      <c r="DD46" s="74">
        <f t="shared" si="12"/>
        <v>289870.69</v>
      </c>
      <c r="DE46" s="74">
        <f t="shared" si="12"/>
        <v>331260.12</v>
      </c>
      <c r="DF46" s="74">
        <f t="shared" si="12"/>
        <v>407300.13</v>
      </c>
      <c r="DG46" s="74">
        <f t="shared" si="12"/>
        <v>306869.74</v>
      </c>
      <c r="DH46" s="74">
        <f t="shared" si="12"/>
        <v>983922.2</v>
      </c>
      <c r="DI46" s="75">
        <f t="shared" si="12"/>
        <v>1114471.47</v>
      </c>
      <c r="DJ46" s="73">
        <v>261888.06</v>
      </c>
      <c r="DK46" s="74">
        <v>275848.11</v>
      </c>
      <c r="DL46" s="74">
        <v>287203.82</v>
      </c>
      <c r="DM46" s="74">
        <v>571154.26</v>
      </c>
      <c r="DN46" s="74">
        <v>142862.19</v>
      </c>
      <c r="DO46" s="74">
        <v>349110.18</v>
      </c>
      <c r="DP46" s="74">
        <v>735788.29</v>
      </c>
      <c r="DQ46" s="74">
        <v>159688.92000000001</v>
      </c>
      <c r="DR46" s="74">
        <v>386068.31</v>
      </c>
      <c r="DS46" s="74">
        <v>623176.68999999994</v>
      </c>
      <c r="DT46" s="74">
        <v>442043.54</v>
      </c>
      <c r="DU46" s="75">
        <v>2363231.5299999998</v>
      </c>
      <c r="DV46" s="76">
        <v>180241.46</v>
      </c>
      <c r="DW46" s="76">
        <v>153797.54</v>
      </c>
      <c r="DX46" s="76">
        <v>730633.86</v>
      </c>
      <c r="DY46" s="76">
        <v>546087.31000000006</v>
      </c>
      <c r="DZ46" s="76">
        <v>968262.62</v>
      </c>
      <c r="EA46" s="76">
        <v>1146053.18</v>
      </c>
      <c r="EB46" s="76">
        <v>496128.69</v>
      </c>
      <c r="EC46" s="77">
        <v>612721</v>
      </c>
      <c r="ED46" s="77">
        <v>1394917.14</v>
      </c>
      <c r="EE46" s="77">
        <v>1316452.33</v>
      </c>
      <c r="EF46" s="77">
        <v>1562846.95</v>
      </c>
      <c r="EG46" s="77">
        <v>2485021.3199999998</v>
      </c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>
        <v>1517510.59</v>
      </c>
      <c r="EU46" s="78">
        <v>776556.18</v>
      </c>
      <c r="EV46" s="78">
        <v>1210159.24</v>
      </c>
      <c r="EW46" s="78">
        <v>8493510.6400000006</v>
      </c>
      <c r="EX46" s="78">
        <v>1746477.29</v>
      </c>
      <c r="EY46" s="78">
        <v>1534287.36</v>
      </c>
      <c r="EZ46" s="78">
        <v>716886.96</v>
      </c>
      <c r="FA46" s="78">
        <v>259046.56</v>
      </c>
      <c r="FB46" s="78">
        <v>658145.13</v>
      </c>
      <c r="FC46" s="78">
        <v>1526648.73</v>
      </c>
      <c r="FD46" s="78">
        <v>4414865.1500000004</v>
      </c>
      <c r="FE46" s="78">
        <v>3855321.16</v>
      </c>
      <c r="FF46" s="78">
        <v>13526117.220000001</v>
      </c>
      <c r="FG46" s="78">
        <v>1000413.32</v>
      </c>
      <c r="FH46" s="78">
        <v>861265.77</v>
      </c>
      <c r="FI46" s="78">
        <v>627154.51</v>
      </c>
      <c r="FJ46" s="78">
        <v>1388870.5</v>
      </c>
      <c r="FK46" s="78">
        <v>827810.06</v>
      </c>
      <c r="FL46" s="78">
        <v>1651160.65</v>
      </c>
      <c r="FM46" s="78">
        <v>1596012.32</v>
      </c>
      <c r="FN46" s="78">
        <v>1508235.56</v>
      </c>
      <c r="FO46" s="78">
        <v>1944741.98</v>
      </c>
      <c r="FP46" s="78">
        <v>9471069</v>
      </c>
      <c r="FQ46" s="78">
        <v>3805474.98</v>
      </c>
      <c r="FR46" s="78">
        <v>749733.22</v>
      </c>
      <c r="FS46" s="78">
        <v>1634973.52</v>
      </c>
      <c r="FT46" s="78">
        <v>3517796.56</v>
      </c>
      <c r="FU46" s="78">
        <v>2957605.59</v>
      </c>
      <c r="FV46" s="78">
        <v>842020.08</v>
      </c>
      <c r="FW46" s="78">
        <v>2579280.8199999998</v>
      </c>
      <c r="FX46" s="78">
        <v>2556670.7400000002</v>
      </c>
      <c r="FY46" s="78">
        <v>2031508.34</v>
      </c>
      <c r="FZ46" s="78">
        <v>4226201.38</v>
      </c>
      <c r="GA46" s="78">
        <v>1408452.9</v>
      </c>
      <c r="GB46" s="78">
        <v>29291580.460000001</v>
      </c>
      <c r="GC46" s="78">
        <v>6123058.8600000003</v>
      </c>
      <c r="GD46" s="78"/>
      <c r="GE46" s="78"/>
      <c r="GF46" s="78"/>
      <c r="GG46" s="78"/>
      <c r="GH46" s="78"/>
      <c r="GI46" s="78"/>
      <c r="GJ46" s="78"/>
      <c r="GK46" s="78"/>
      <c r="GL46" s="78"/>
      <c r="GM46" s="78"/>
      <c r="GN46" s="78"/>
      <c r="GO46" s="78"/>
      <c r="GP46" s="78"/>
      <c r="GQ46" s="78"/>
      <c r="GR46" s="78"/>
      <c r="GS46" s="78"/>
      <c r="GT46" s="78"/>
      <c r="GU46" s="78"/>
      <c r="GV46" s="78"/>
      <c r="GW46" s="78"/>
      <c r="GX46" s="78"/>
      <c r="GY46" s="78"/>
      <c r="GZ46" s="78"/>
      <c r="HA46" s="78"/>
      <c r="HB46" s="78"/>
      <c r="HC46" s="78"/>
      <c r="HD46" s="78"/>
      <c r="HE46" s="78"/>
      <c r="HF46" s="78"/>
      <c r="HG46" s="78"/>
      <c r="HH46" s="78"/>
      <c r="HI46" s="78"/>
      <c r="HJ46" s="78"/>
      <c r="HK46" s="78"/>
      <c r="HL46" s="78"/>
      <c r="HM46" s="78"/>
      <c r="HN46" s="78"/>
      <c r="HO46" s="78"/>
      <c r="HP46" s="78"/>
      <c r="HQ46" s="78"/>
      <c r="HR46" s="78"/>
      <c r="HS46" s="78"/>
      <c r="HT46" s="78"/>
      <c r="HU46" s="78"/>
      <c r="HV46" s="78"/>
      <c r="HW46" s="78"/>
      <c r="HX46" s="78"/>
      <c r="HY46" s="78"/>
      <c r="HZ46" s="78"/>
      <c r="IA46" s="78"/>
      <c r="IB46" s="78"/>
      <c r="IC46" s="78"/>
      <c r="ID46" s="78"/>
      <c r="IE46" s="78"/>
      <c r="IF46" s="78"/>
      <c r="IG46" s="78"/>
      <c r="IH46" s="78"/>
      <c r="II46" s="78"/>
      <c r="IJ46" s="78"/>
      <c r="IK46" s="78"/>
      <c r="IL46" s="78"/>
      <c r="IM46" s="78"/>
      <c r="IN46" s="78"/>
      <c r="IO46" s="78"/>
      <c r="IP46" s="78"/>
      <c r="IQ46" s="78"/>
      <c r="IR46" s="78"/>
      <c r="IS46" s="78"/>
      <c r="IT46" s="78"/>
      <c r="IU46" s="78"/>
      <c r="IV46" s="78"/>
      <c r="IW46" s="78"/>
      <c r="IX46" s="78"/>
      <c r="IY46" s="78"/>
      <c r="IZ46" s="78"/>
      <c r="JA46" s="78"/>
      <c r="JB46" s="78"/>
      <c r="JC46" s="78"/>
      <c r="JD46" s="78"/>
      <c r="JE46" s="78"/>
      <c r="JF46" s="78"/>
      <c r="JG46" s="78"/>
      <c r="JH46" s="78"/>
      <c r="JI46" s="78"/>
      <c r="JJ46" s="78"/>
      <c r="JK46" s="78"/>
      <c r="JL46" s="78"/>
      <c r="JM46" s="78"/>
      <c r="JN46" s="78"/>
      <c r="JO46" s="78"/>
      <c r="JP46" s="78"/>
      <c r="JQ46" s="78"/>
      <c r="JR46" s="78"/>
      <c r="JS46" s="78"/>
      <c r="JT46" s="78"/>
      <c r="JU46" s="78"/>
      <c r="JV46" s="78"/>
      <c r="JW46" s="78"/>
      <c r="JX46" s="78"/>
      <c r="JY46" s="78"/>
      <c r="JZ46" s="78"/>
      <c r="KA46" s="78"/>
      <c r="KB46" s="78"/>
      <c r="KC46" s="78"/>
      <c r="KD46" s="78"/>
      <c r="KE46" s="78"/>
      <c r="KF46" s="78"/>
      <c r="KG46" s="78"/>
      <c r="KH46" s="78"/>
      <c r="KI46" s="78"/>
      <c r="KJ46" s="78"/>
      <c r="KK46" s="78"/>
      <c r="KL46" s="78"/>
      <c r="KM46" s="78"/>
      <c r="KN46" s="78"/>
      <c r="KO46" s="78"/>
      <c r="KP46" s="78"/>
      <c r="KQ46" s="78"/>
      <c r="KR46" s="78"/>
      <c r="KS46" s="78"/>
      <c r="KT46" s="78"/>
      <c r="KU46" s="78"/>
      <c r="KV46" s="78"/>
      <c r="KW46" s="78"/>
      <c r="KX46" s="78"/>
      <c r="KY46" s="78"/>
      <c r="KZ46" s="78"/>
      <c r="LA46" s="78"/>
      <c r="LB46" s="78"/>
      <c r="LC46" s="78"/>
      <c r="LD46" s="78"/>
      <c r="LE46" s="78"/>
      <c r="LF46" s="78"/>
      <c r="LG46" s="78"/>
      <c r="LH46" s="78"/>
      <c r="LI46" s="78"/>
    </row>
    <row r="47" spans="1:321">
      <c r="C47" s="59">
        <v>741</v>
      </c>
      <c r="D47" s="59">
        <v>7411</v>
      </c>
      <c r="E47" s="60" t="s">
        <v>372</v>
      </c>
      <c r="F47" s="67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9"/>
      <c r="R47" s="67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67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9"/>
      <c r="AP47" s="67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9"/>
      <c r="BB47" s="67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9"/>
      <c r="BN47" s="67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9"/>
      <c r="BZ47" s="67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7">
        <v>165851.26</v>
      </c>
      <c r="CM47" s="68">
        <v>158391.43</v>
      </c>
      <c r="CN47" s="68">
        <v>618410.81000000006</v>
      </c>
      <c r="CO47" s="68">
        <v>143255.71</v>
      </c>
      <c r="CP47" s="68">
        <v>330184.13</v>
      </c>
      <c r="CQ47" s="68">
        <v>460006.45</v>
      </c>
      <c r="CR47" s="68">
        <v>487486.95</v>
      </c>
      <c r="CS47" s="68">
        <v>225390.9</v>
      </c>
      <c r="CT47" s="68">
        <v>761867.53</v>
      </c>
      <c r="CU47" s="68">
        <v>1447115.81</v>
      </c>
      <c r="CV47" s="68">
        <v>707499.84</v>
      </c>
      <c r="CW47" s="69">
        <v>1108546.8899999999</v>
      </c>
      <c r="CX47" s="67">
        <v>149764.72</v>
      </c>
      <c r="CY47" s="68">
        <v>720536.12</v>
      </c>
      <c r="CZ47" s="68">
        <v>173095.78</v>
      </c>
      <c r="DA47" s="68">
        <v>636951.02</v>
      </c>
      <c r="DB47" s="68">
        <v>295224.23</v>
      </c>
      <c r="DC47" s="68">
        <v>145661.5</v>
      </c>
      <c r="DD47" s="68">
        <v>289870.69</v>
      </c>
      <c r="DE47" s="68">
        <v>331260.12</v>
      </c>
      <c r="DF47" s="68">
        <v>407300.13</v>
      </c>
      <c r="DG47" s="68">
        <v>306869.74</v>
      </c>
      <c r="DH47" s="68">
        <v>983922.2</v>
      </c>
      <c r="DI47" s="69">
        <v>1114471.47</v>
      </c>
      <c r="DJ47" s="67">
        <v>261888.06</v>
      </c>
      <c r="DK47" s="68">
        <v>275848.11</v>
      </c>
      <c r="DL47" s="68">
        <v>287203.82</v>
      </c>
      <c r="DM47" s="68">
        <v>571154.26</v>
      </c>
      <c r="DN47" s="68">
        <v>142862.19</v>
      </c>
      <c r="DO47" s="68">
        <v>349110.18</v>
      </c>
      <c r="DP47" s="68">
        <v>735788.29</v>
      </c>
      <c r="DQ47" s="68">
        <v>159688.92000000001</v>
      </c>
      <c r="DR47" s="68">
        <v>386068.31</v>
      </c>
      <c r="DS47" s="68">
        <v>623176.68999999994</v>
      </c>
      <c r="DT47" s="68">
        <v>442043.54</v>
      </c>
      <c r="DU47" s="69">
        <v>2363231.5299999998</v>
      </c>
      <c r="DV47" s="61">
        <v>196891.76</v>
      </c>
      <c r="DW47" s="61">
        <v>153797.54</v>
      </c>
      <c r="DX47" s="61">
        <v>730633.86</v>
      </c>
      <c r="DY47" s="61">
        <v>546087.31000000006</v>
      </c>
      <c r="DZ47" s="61">
        <v>968262.62</v>
      </c>
      <c r="EA47" s="61">
        <v>1146053.18</v>
      </c>
      <c r="EB47" s="61">
        <v>496128.69</v>
      </c>
      <c r="EC47" s="79">
        <v>612721</v>
      </c>
      <c r="ED47" s="79">
        <v>1394917.14</v>
      </c>
      <c r="EE47" s="79">
        <v>1303452.33</v>
      </c>
      <c r="EF47" s="79">
        <v>1562846.95</v>
      </c>
      <c r="EG47" s="79">
        <v>2483747.6800000002</v>
      </c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70"/>
      <c r="EU47" s="70"/>
      <c r="EV47" s="70"/>
      <c r="EW47" s="70"/>
      <c r="EX47" s="70"/>
      <c r="EY47" s="70"/>
      <c r="EZ47" s="70"/>
      <c r="FA47" s="70"/>
      <c r="FB47" s="70"/>
      <c r="FC47" s="70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  <c r="IO47" s="62"/>
      <c r="IP47" s="62"/>
      <c r="IQ47" s="62"/>
      <c r="IR47" s="62"/>
      <c r="IS47" s="62"/>
      <c r="IT47" s="62"/>
      <c r="IU47" s="62"/>
      <c r="IV47" s="62"/>
      <c r="IW47" s="62"/>
      <c r="IX47" s="62"/>
      <c r="IY47" s="62"/>
      <c r="IZ47" s="62"/>
      <c r="JA47" s="62"/>
      <c r="JB47" s="62"/>
      <c r="JC47" s="62"/>
      <c r="JD47" s="62"/>
      <c r="JE47" s="62"/>
      <c r="JF47" s="62"/>
      <c r="JG47" s="62"/>
      <c r="JH47" s="62"/>
      <c r="JI47" s="62"/>
      <c r="JJ47" s="62"/>
      <c r="JK47" s="62"/>
      <c r="JL47" s="62"/>
      <c r="JM47" s="62"/>
      <c r="JN47" s="62"/>
      <c r="JO47" s="62"/>
      <c r="JP47" s="62"/>
      <c r="JQ47" s="62"/>
      <c r="JR47" s="62"/>
      <c r="JS47" s="62"/>
      <c r="JT47" s="62"/>
      <c r="JU47" s="62"/>
      <c r="JV47" s="62"/>
      <c r="JW47" s="62"/>
      <c r="JX47" s="62"/>
      <c r="JY47" s="62"/>
      <c r="JZ47" s="62"/>
      <c r="KA47" s="62"/>
      <c r="KB47" s="62"/>
      <c r="KC47" s="62"/>
      <c r="KD47" s="62"/>
      <c r="KE47" s="62"/>
      <c r="KF47" s="62"/>
      <c r="KG47" s="62"/>
      <c r="KH47" s="62"/>
      <c r="KI47" s="62"/>
      <c r="KJ47" s="62"/>
      <c r="KK47" s="62"/>
      <c r="KL47" s="62"/>
      <c r="KM47" s="62"/>
      <c r="KN47" s="62"/>
      <c r="KO47" s="62"/>
      <c r="KP47" s="62"/>
      <c r="KQ47" s="62"/>
      <c r="KR47" s="62"/>
      <c r="KS47" s="62"/>
      <c r="KT47" s="62"/>
      <c r="KU47" s="62"/>
      <c r="KV47" s="62"/>
      <c r="KW47" s="62"/>
      <c r="KX47" s="62"/>
      <c r="KY47" s="62"/>
      <c r="KZ47" s="62"/>
      <c r="LA47" s="62"/>
      <c r="LB47" s="62"/>
      <c r="LC47" s="62"/>
      <c r="LD47" s="62"/>
      <c r="LE47" s="62"/>
      <c r="LF47" s="62"/>
      <c r="LG47" s="62"/>
      <c r="LH47" s="62"/>
      <c r="LI47" s="62"/>
    </row>
    <row r="48" spans="1:321">
      <c r="C48" s="59">
        <v>742</v>
      </c>
      <c r="D48" s="59">
        <v>7421</v>
      </c>
      <c r="E48" s="60" t="s">
        <v>373</v>
      </c>
      <c r="F48" s="67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9"/>
      <c r="R48" s="67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67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9"/>
      <c r="AP48" s="67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9"/>
      <c r="BB48" s="67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9"/>
      <c r="BN48" s="67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9"/>
      <c r="BZ48" s="67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7">
        <v>0</v>
      </c>
      <c r="CM48" s="68">
        <v>0</v>
      </c>
      <c r="CN48" s="68">
        <v>0</v>
      </c>
      <c r="CO48" s="68">
        <v>0</v>
      </c>
      <c r="CP48" s="68">
        <v>0</v>
      </c>
      <c r="CQ48" s="68">
        <v>0</v>
      </c>
      <c r="CR48" s="68">
        <v>0</v>
      </c>
      <c r="CS48" s="68">
        <v>0</v>
      </c>
      <c r="CT48" s="68">
        <v>0</v>
      </c>
      <c r="CU48" s="68">
        <v>0</v>
      </c>
      <c r="CV48" s="68">
        <v>0</v>
      </c>
      <c r="CW48" s="69">
        <v>0</v>
      </c>
      <c r="CX48" s="67">
        <v>0</v>
      </c>
      <c r="CY48" s="68">
        <v>0</v>
      </c>
      <c r="CZ48" s="68">
        <v>0</v>
      </c>
      <c r="DA48" s="68">
        <v>0</v>
      </c>
      <c r="DB48" s="68">
        <v>0</v>
      </c>
      <c r="DC48" s="68">
        <v>0</v>
      </c>
      <c r="DD48" s="68">
        <v>0</v>
      </c>
      <c r="DE48" s="68">
        <v>0</v>
      </c>
      <c r="DF48" s="68">
        <v>0</v>
      </c>
      <c r="DG48" s="68">
        <v>0</v>
      </c>
      <c r="DH48" s="68">
        <v>0</v>
      </c>
      <c r="DI48" s="69">
        <v>0</v>
      </c>
      <c r="DJ48" s="67">
        <v>0</v>
      </c>
      <c r="DK48" s="68">
        <v>0</v>
      </c>
      <c r="DL48" s="68">
        <v>0</v>
      </c>
      <c r="DM48" s="68">
        <v>0</v>
      </c>
      <c r="DN48" s="68">
        <v>0</v>
      </c>
      <c r="DO48" s="68">
        <v>0</v>
      </c>
      <c r="DP48" s="68">
        <v>0</v>
      </c>
      <c r="DQ48" s="68">
        <v>0</v>
      </c>
      <c r="DR48" s="68">
        <v>0</v>
      </c>
      <c r="DS48" s="68">
        <v>0</v>
      </c>
      <c r="DT48" s="68">
        <v>0</v>
      </c>
      <c r="DU48" s="69">
        <v>0</v>
      </c>
      <c r="DV48" s="61">
        <v>0</v>
      </c>
      <c r="DW48" s="61">
        <v>0</v>
      </c>
      <c r="DX48" s="61">
        <v>0</v>
      </c>
      <c r="DY48" s="61">
        <v>0</v>
      </c>
      <c r="EC48" s="79">
        <v>0</v>
      </c>
      <c r="ED48" s="79"/>
      <c r="EE48" s="81"/>
      <c r="EF48" s="79"/>
      <c r="EG48" s="79"/>
      <c r="EH48" s="62">
        <v>335235.24</v>
      </c>
      <c r="EI48" s="62">
        <v>23071904.219999999</v>
      </c>
      <c r="EJ48" s="62">
        <v>59275742.969999999</v>
      </c>
      <c r="EK48" s="62">
        <v>28598295.489999998</v>
      </c>
      <c r="EL48" s="62">
        <v>259019.66</v>
      </c>
      <c r="EM48" s="62">
        <v>29146143.309999999</v>
      </c>
      <c r="EN48" s="62">
        <v>25183759.27</v>
      </c>
      <c r="EO48" s="62">
        <v>76253335.569999993</v>
      </c>
      <c r="EP48" s="62">
        <v>43020325.210000001</v>
      </c>
      <c r="EQ48" s="62">
        <v>20632990.120000001</v>
      </c>
      <c r="ER48" s="62">
        <v>28222092.870000001</v>
      </c>
      <c r="ES48" s="62">
        <v>127429947.7</v>
      </c>
      <c r="ET48" s="70"/>
      <c r="EU48" s="70"/>
      <c r="EV48" s="70"/>
      <c r="EW48" s="70"/>
      <c r="EX48" s="70"/>
      <c r="EY48" s="70"/>
      <c r="EZ48" s="70"/>
      <c r="FA48" s="70"/>
      <c r="FB48" s="70"/>
      <c r="FC48" s="70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  <c r="IP48" s="62"/>
      <c r="IQ48" s="62"/>
      <c r="IR48" s="62"/>
      <c r="IS48" s="62"/>
      <c r="IT48" s="62"/>
      <c r="IU48" s="62"/>
      <c r="IV48" s="62"/>
      <c r="IW48" s="62"/>
      <c r="IX48" s="62"/>
      <c r="IY48" s="62"/>
      <c r="IZ48" s="62"/>
      <c r="JA48" s="62"/>
      <c r="JB48" s="62"/>
      <c r="JC48" s="62"/>
      <c r="JD48" s="62"/>
      <c r="JE48" s="62"/>
      <c r="JF48" s="62"/>
      <c r="JG48" s="62"/>
      <c r="JH48" s="62"/>
      <c r="JI48" s="62"/>
      <c r="JJ48" s="62"/>
      <c r="JK48" s="62"/>
      <c r="JL48" s="62"/>
      <c r="JM48" s="62"/>
      <c r="JN48" s="62"/>
      <c r="JO48" s="62"/>
      <c r="JP48" s="62"/>
      <c r="JQ48" s="62"/>
      <c r="JR48" s="62"/>
      <c r="JS48" s="62"/>
      <c r="JT48" s="62"/>
      <c r="JU48" s="62"/>
      <c r="JV48" s="62"/>
      <c r="JW48" s="62"/>
      <c r="JX48" s="62"/>
      <c r="JY48" s="62"/>
      <c r="JZ48" s="62"/>
      <c r="KA48" s="62"/>
      <c r="KB48" s="62"/>
      <c r="KC48" s="62"/>
      <c r="KD48" s="62"/>
      <c r="KE48" s="62"/>
      <c r="KF48" s="62"/>
      <c r="KG48" s="62"/>
      <c r="KH48" s="62"/>
      <c r="KI48" s="62"/>
      <c r="KJ48" s="62"/>
      <c r="KK48" s="62"/>
      <c r="KL48" s="62"/>
      <c r="KM48" s="62"/>
      <c r="KN48" s="62"/>
      <c r="KO48" s="62"/>
      <c r="KP48" s="62"/>
      <c r="KQ48" s="62"/>
      <c r="KR48" s="62"/>
      <c r="KS48" s="62"/>
      <c r="KT48" s="62"/>
      <c r="KU48" s="62"/>
      <c r="KV48" s="62"/>
      <c r="KW48" s="62"/>
      <c r="KX48" s="62"/>
      <c r="KY48" s="62"/>
      <c r="KZ48" s="62"/>
      <c r="LA48" s="62"/>
      <c r="LB48" s="62"/>
      <c r="LC48" s="62"/>
      <c r="LD48" s="62"/>
      <c r="LE48" s="62"/>
      <c r="LF48" s="62"/>
      <c r="LG48" s="62"/>
      <c r="LH48" s="62"/>
      <c r="LI48" s="62"/>
    </row>
    <row r="49" spans="1:321" s="2" customFormat="1">
      <c r="A49" s="71"/>
      <c r="B49" s="71">
        <v>75</v>
      </c>
      <c r="C49" s="71"/>
      <c r="D49" s="71">
        <v>75</v>
      </c>
      <c r="E49" s="72" t="s">
        <v>374</v>
      </c>
      <c r="F49" s="73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5"/>
      <c r="R49" s="73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5"/>
      <c r="AD49" s="73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5"/>
      <c r="AP49" s="73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5"/>
      <c r="BB49" s="73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5"/>
      <c r="BN49" s="73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5"/>
      <c r="BZ49" s="73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3">
        <v>35315594.670000002</v>
      </c>
      <c r="CM49" s="74">
        <v>5268335.01</v>
      </c>
      <c r="CN49" s="74">
        <v>24101008.739999998</v>
      </c>
      <c r="CO49" s="74">
        <v>15271204.140000001</v>
      </c>
      <c r="CP49" s="74">
        <v>5539143.8399999999</v>
      </c>
      <c r="CQ49" s="74">
        <v>11192069.119999999</v>
      </c>
      <c r="CR49" s="74">
        <v>70863883.469999999</v>
      </c>
      <c r="CS49" s="74">
        <v>45329380.350000001</v>
      </c>
      <c r="CT49" s="74">
        <v>16107867.279999999</v>
      </c>
      <c r="CU49" s="74">
        <v>443723.69</v>
      </c>
      <c r="CV49" s="74">
        <v>890239.71</v>
      </c>
      <c r="CW49" s="75">
        <v>103544900.23</v>
      </c>
      <c r="CX49" s="73">
        <f>+CX50</f>
        <v>8633399.2100000009</v>
      </c>
      <c r="CY49" s="74">
        <f t="shared" ref="CY49:DI49" si="13">+CY50</f>
        <v>43700264.219999999</v>
      </c>
      <c r="CZ49" s="74">
        <f t="shared" si="13"/>
        <v>83407940.25</v>
      </c>
      <c r="DA49" s="74">
        <f t="shared" si="13"/>
        <v>32989063.890000001</v>
      </c>
      <c r="DB49" s="74">
        <f t="shared" si="13"/>
        <v>280177927.55000001</v>
      </c>
      <c r="DC49" s="74">
        <f t="shared" si="13"/>
        <v>524720.36</v>
      </c>
      <c r="DD49" s="74">
        <f t="shared" si="13"/>
        <v>15730778.189999999</v>
      </c>
      <c r="DE49" s="74">
        <f t="shared" si="13"/>
        <v>41036448.079999998</v>
      </c>
      <c r="DF49" s="74">
        <f t="shared" si="13"/>
        <v>15186675.5</v>
      </c>
      <c r="DG49" s="74">
        <f t="shared" si="13"/>
        <v>4181439.22</v>
      </c>
      <c r="DH49" s="74">
        <f t="shared" si="13"/>
        <v>3184747.73</v>
      </c>
      <c r="DI49" s="75">
        <f t="shared" si="13"/>
        <v>6995721.2999999998</v>
      </c>
      <c r="DJ49" s="73">
        <v>35537903.219999999</v>
      </c>
      <c r="DK49" s="74">
        <v>41805682.140000001</v>
      </c>
      <c r="DL49" s="74">
        <v>521661464.61000001</v>
      </c>
      <c r="DM49" s="74">
        <v>70720087.209999993</v>
      </c>
      <c r="DN49" s="74">
        <v>844590.43</v>
      </c>
      <c r="DO49" s="74">
        <v>69787474.810000002</v>
      </c>
      <c r="DP49" s="74">
        <v>19292311.539999999</v>
      </c>
      <c r="DQ49" s="74">
        <v>40857073.5</v>
      </c>
      <c r="DR49" s="74">
        <v>21843054.989999998</v>
      </c>
      <c r="DS49" s="74">
        <v>6340749.1399999997</v>
      </c>
      <c r="DT49" s="74">
        <v>1224576.83</v>
      </c>
      <c r="DU49" s="75">
        <v>2875354.8</v>
      </c>
      <c r="DV49" s="76">
        <v>329543.98</v>
      </c>
      <c r="DW49" s="76">
        <v>1028135.44</v>
      </c>
      <c r="DX49" s="76">
        <v>305578933.99000001</v>
      </c>
      <c r="DY49" s="76">
        <v>611208.74</v>
      </c>
      <c r="DZ49" s="76">
        <v>680920.61</v>
      </c>
      <c r="EA49" s="76">
        <v>10805822.66</v>
      </c>
      <c r="EB49" s="76">
        <v>10466614.34</v>
      </c>
      <c r="EC49" s="77">
        <v>319243.06</v>
      </c>
      <c r="ED49" s="77">
        <v>584698.59</v>
      </c>
      <c r="EE49" s="82">
        <v>713462.32</v>
      </c>
      <c r="EF49" s="77">
        <v>82530376.260000005</v>
      </c>
      <c r="EG49" s="77">
        <v>28136840.120000001</v>
      </c>
      <c r="EH49" s="78"/>
      <c r="EI49" s="78">
        <v>23071904.219999999</v>
      </c>
      <c r="EJ49" s="78">
        <v>59275742.969999999</v>
      </c>
      <c r="EK49" s="78">
        <v>28598295.489999998</v>
      </c>
      <c r="EL49" s="78">
        <v>259019.66</v>
      </c>
      <c r="EM49" s="78">
        <v>29146143.309999999</v>
      </c>
      <c r="EN49" s="78">
        <v>25183759.27</v>
      </c>
      <c r="EO49" s="78">
        <v>76253335.569999993</v>
      </c>
      <c r="EP49" s="78">
        <v>43020325.210000001</v>
      </c>
      <c r="EQ49" s="78"/>
      <c r="ER49" s="78"/>
      <c r="ES49" s="78"/>
      <c r="ET49" s="78">
        <v>24756264.800000001</v>
      </c>
      <c r="EU49" s="78">
        <v>75548588.189999998</v>
      </c>
      <c r="EV49" s="78">
        <v>25944700.27</v>
      </c>
      <c r="EW49" s="78">
        <v>125398354.06999999</v>
      </c>
      <c r="EX49" s="78">
        <v>7673073.0999999996</v>
      </c>
      <c r="EY49" s="78">
        <v>16114636.85</v>
      </c>
      <c r="EZ49" s="78">
        <v>21115189.899999999</v>
      </c>
      <c r="FA49" s="78">
        <v>59204639.390000001</v>
      </c>
      <c r="FB49" s="78">
        <v>16543113.73</v>
      </c>
      <c r="FC49" s="78">
        <v>18813731.219999999</v>
      </c>
      <c r="FD49" s="78">
        <v>38823788.329999998</v>
      </c>
      <c r="FE49" s="78">
        <v>23679982.34</v>
      </c>
      <c r="FF49" s="78"/>
      <c r="FG49" s="78"/>
      <c r="FH49" s="78"/>
      <c r="FI49" s="78"/>
      <c r="FJ49" s="78"/>
      <c r="FK49" s="78">
        <v>8784836.1999999993</v>
      </c>
      <c r="FL49" s="78"/>
      <c r="FM49" s="78"/>
      <c r="FN49" s="78">
        <v>1935839.29</v>
      </c>
      <c r="FO49" s="78">
        <v>494215367.44</v>
      </c>
      <c r="FP49" s="78">
        <v>57124902.299999997</v>
      </c>
      <c r="FQ49" s="78">
        <v>47594759.329999998</v>
      </c>
      <c r="FR49" s="78"/>
      <c r="FS49" s="78"/>
      <c r="FT49" s="78"/>
      <c r="FU49" s="78"/>
      <c r="FV49" s="78"/>
      <c r="FW49" s="78"/>
      <c r="FX49" s="78"/>
      <c r="FY49" s="78"/>
      <c r="FZ49" s="78"/>
      <c r="GA49" s="78"/>
      <c r="GB49" s="78"/>
      <c r="GC49" s="78"/>
      <c r="GD49" s="78"/>
      <c r="GE49" s="78"/>
      <c r="GF49" s="78"/>
      <c r="GG49" s="78"/>
      <c r="GH49" s="78"/>
      <c r="GI49" s="78"/>
      <c r="GJ49" s="78"/>
      <c r="GK49" s="78"/>
      <c r="GL49" s="78"/>
      <c r="GM49" s="78"/>
      <c r="GN49" s="78"/>
      <c r="GO49" s="78"/>
      <c r="GP49" s="78"/>
      <c r="GQ49" s="78"/>
      <c r="GR49" s="78"/>
      <c r="GS49" s="78"/>
      <c r="GT49" s="78"/>
      <c r="GU49" s="78"/>
      <c r="GV49" s="78"/>
      <c r="GW49" s="78"/>
      <c r="GX49" s="78"/>
      <c r="GY49" s="78"/>
      <c r="GZ49" s="78"/>
      <c r="HA49" s="78"/>
      <c r="HB49" s="78"/>
      <c r="HC49" s="78"/>
      <c r="HD49" s="78"/>
      <c r="HE49" s="78"/>
      <c r="HF49" s="78"/>
      <c r="HG49" s="78"/>
      <c r="HH49" s="78"/>
      <c r="HI49" s="78"/>
      <c r="HJ49" s="78"/>
      <c r="HK49" s="78"/>
      <c r="HL49" s="78"/>
      <c r="HM49" s="78"/>
      <c r="HN49" s="78"/>
      <c r="HO49" s="78"/>
      <c r="HP49" s="78"/>
      <c r="HQ49" s="78"/>
      <c r="HR49" s="78"/>
      <c r="HS49" s="78"/>
      <c r="HT49" s="78"/>
      <c r="HU49" s="78"/>
      <c r="HV49" s="78"/>
      <c r="HW49" s="78"/>
      <c r="HX49" s="78"/>
      <c r="HY49" s="78"/>
      <c r="HZ49" s="78"/>
      <c r="IA49" s="78"/>
      <c r="IB49" s="78"/>
      <c r="IC49" s="78"/>
      <c r="ID49" s="78"/>
      <c r="IE49" s="78"/>
      <c r="IF49" s="78"/>
      <c r="IG49" s="78"/>
      <c r="IH49" s="78"/>
      <c r="II49" s="78"/>
      <c r="IJ49" s="78"/>
      <c r="IK49" s="78"/>
      <c r="IL49" s="78"/>
      <c r="IM49" s="78"/>
      <c r="IN49" s="78"/>
      <c r="IO49" s="78"/>
      <c r="IP49" s="78"/>
      <c r="IQ49" s="78"/>
      <c r="IR49" s="78"/>
      <c r="IS49" s="78"/>
      <c r="IT49" s="78"/>
      <c r="IU49" s="78"/>
      <c r="IV49" s="78"/>
      <c r="IW49" s="78"/>
      <c r="IX49" s="78"/>
      <c r="IY49" s="78"/>
      <c r="IZ49" s="78"/>
      <c r="JA49" s="78"/>
      <c r="JB49" s="78"/>
      <c r="JC49" s="78"/>
      <c r="JD49" s="78"/>
      <c r="JE49" s="78"/>
      <c r="JF49" s="78"/>
      <c r="JG49" s="78"/>
      <c r="JH49" s="78"/>
      <c r="JI49" s="78"/>
      <c r="JJ49" s="78"/>
      <c r="JK49" s="78"/>
      <c r="JL49" s="78"/>
      <c r="JM49" s="78"/>
      <c r="JN49" s="78"/>
      <c r="JO49" s="78"/>
      <c r="JP49" s="78"/>
      <c r="JQ49" s="78"/>
      <c r="JR49" s="78"/>
      <c r="JS49" s="78"/>
      <c r="JT49" s="78"/>
      <c r="JU49" s="78"/>
      <c r="JV49" s="78"/>
      <c r="JW49" s="78"/>
      <c r="JX49" s="78"/>
      <c r="JY49" s="78"/>
      <c r="JZ49" s="78"/>
      <c r="KA49" s="78"/>
      <c r="KB49" s="78"/>
      <c r="KC49" s="78"/>
      <c r="KD49" s="78"/>
      <c r="KE49" s="78"/>
      <c r="KF49" s="78"/>
      <c r="KG49" s="78"/>
      <c r="KH49" s="78"/>
      <c r="KI49" s="78"/>
      <c r="KJ49" s="78"/>
      <c r="KK49" s="78"/>
      <c r="KL49" s="78"/>
      <c r="KM49" s="78"/>
      <c r="KN49" s="78"/>
      <c r="KO49" s="78"/>
      <c r="KP49" s="78"/>
      <c r="KQ49" s="78"/>
      <c r="KR49" s="78"/>
      <c r="KS49" s="78"/>
      <c r="KT49" s="78"/>
      <c r="KU49" s="78"/>
      <c r="KV49" s="78"/>
      <c r="KW49" s="78"/>
      <c r="KX49" s="78"/>
      <c r="KY49" s="78"/>
      <c r="KZ49" s="78"/>
      <c r="LA49" s="78"/>
      <c r="LB49" s="78"/>
      <c r="LC49" s="78"/>
      <c r="LD49" s="78"/>
      <c r="LE49" s="78"/>
      <c r="LF49" s="78"/>
      <c r="LG49" s="78"/>
      <c r="LH49" s="78"/>
      <c r="LI49" s="78"/>
    </row>
    <row r="50" spans="1:321">
      <c r="C50" s="59">
        <v>751</v>
      </c>
      <c r="D50" s="59">
        <v>751</v>
      </c>
      <c r="E50" s="60" t="s">
        <v>22</v>
      </c>
      <c r="F50" s="67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9"/>
      <c r="R50" s="67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67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9"/>
      <c r="AP50" s="67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9"/>
      <c r="BB50" s="67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9"/>
      <c r="BN50" s="67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9"/>
      <c r="BZ50" s="67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7">
        <v>35315594.670000002</v>
      </c>
      <c r="CM50" s="68">
        <v>5268335.01</v>
      </c>
      <c r="CN50" s="68">
        <v>24101008.739999998</v>
      </c>
      <c r="CO50" s="68">
        <v>15271204.140000001</v>
      </c>
      <c r="CP50" s="68">
        <v>5539143.8399999999</v>
      </c>
      <c r="CQ50" s="68">
        <v>11192069.119999999</v>
      </c>
      <c r="CR50" s="68">
        <v>70863883.469999999</v>
      </c>
      <c r="CS50" s="68">
        <v>45329380.350000001</v>
      </c>
      <c r="CT50" s="68">
        <v>16107867.279999999</v>
      </c>
      <c r="CU50" s="68">
        <v>443723.69</v>
      </c>
      <c r="CV50" s="68">
        <v>890239.71</v>
      </c>
      <c r="CW50" s="69">
        <v>103544900.23</v>
      </c>
      <c r="CX50" s="67">
        <f>+SUM(CX51:CX52)</f>
        <v>8633399.2100000009</v>
      </c>
      <c r="CY50" s="68">
        <f t="shared" ref="CY50:DI50" si="14">+SUM(CY51:CY52)</f>
        <v>43700264.219999999</v>
      </c>
      <c r="CZ50" s="68">
        <f t="shared" si="14"/>
        <v>83407940.25</v>
      </c>
      <c r="DA50" s="68">
        <f t="shared" si="14"/>
        <v>32989063.890000001</v>
      </c>
      <c r="DB50" s="68">
        <f t="shared" si="14"/>
        <v>280177927.55000001</v>
      </c>
      <c r="DC50" s="68">
        <f t="shared" si="14"/>
        <v>524720.36</v>
      </c>
      <c r="DD50" s="68">
        <f t="shared" si="14"/>
        <v>15730778.189999999</v>
      </c>
      <c r="DE50" s="68">
        <f t="shared" si="14"/>
        <v>41036448.079999998</v>
      </c>
      <c r="DF50" s="68">
        <f t="shared" si="14"/>
        <v>15186675.5</v>
      </c>
      <c r="DG50" s="68">
        <f t="shared" si="14"/>
        <v>4181439.22</v>
      </c>
      <c r="DH50" s="68">
        <f t="shared" si="14"/>
        <v>3184747.73</v>
      </c>
      <c r="DI50" s="69">
        <f t="shared" si="14"/>
        <v>6995721.2999999998</v>
      </c>
      <c r="DJ50" s="67">
        <v>35537903.219999999</v>
      </c>
      <c r="DK50" s="68">
        <v>41805682.140000001</v>
      </c>
      <c r="DL50" s="68">
        <v>521661464.61000001</v>
      </c>
      <c r="DM50" s="68">
        <v>70720087.209999993</v>
      </c>
      <c r="DN50" s="68">
        <v>844590.43</v>
      </c>
      <c r="DO50" s="68">
        <v>69787474.810000002</v>
      </c>
      <c r="DP50" s="68">
        <v>19292311.539999999</v>
      </c>
      <c r="DQ50" s="68">
        <v>40857073.5</v>
      </c>
      <c r="DR50" s="68">
        <v>21843054.989999998</v>
      </c>
      <c r="DS50" s="68">
        <v>6340749.1399999997</v>
      </c>
      <c r="DT50" s="68">
        <v>1224576.83</v>
      </c>
      <c r="DU50" s="69">
        <v>2875354.8</v>
      </c>
      <c r="EC50" s="79"/>
      <c r="ED50" s="79">
        <v>584698.59</v>
      </c>
      <c r="EE50" s="79"/>
      <c r="EF50" s="79"/>
      <c r="EG50" s="79"/>
      <c r="EH50" s="62">
        <v>16700681.109999999</v>
      </c>
      <c r="EI50" s="62">
        <v>55339318.890000001</v>
      </c>
      <c r="EJ50" s="62">
        <v>74583448.420000002</v>
      </c>
      <c r="EK50" s="62">
        <v>22911551.579999998</v>
      </c>
      <c r="EL50" s="62">
        <v>0</v>
      </c>
      <c r="EM50" s="62">
        <v>13000000</v>
      </c>
      <c r="EN50" s="62">
        <v>24450000</v>
      </c>
      <c r="EO50" s="62">
        <v>50085000</v>
      </c>
      <c r="EP50" s="62">
        <v>0</v>
      </c>
      <c r="EQ50" s="62">
        <v>0</v>
      </c>
      <c r="ER50" s="62">
        <v>0</v>
      </c>
      <c r="ES50" s="62">
        <v>3000000</v>
      </c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62"/>
      <c r="HJ50" s="62"/>
      <c r="HK50" s="62"/>
      <c r="HL50" s="62"/>
      <c r="HM50" s="62"/>
      <c r="HN50" s="62"/>
      <c r="HO50" s="62"/>
      <c r="HP50" s="62"/>
      <c r="HQ50" s="62"/>
      <c r="HR50" s="62"/>
      <c r="HS50" s="62"/>
      <c r="HT50" s="62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62"/>
      <c r="IF50" s="62"/>
      <c r="IG50" s="62"/>
      <c r="IH50" s="62"/>
      <c r="II50" s="62"/>
      <c r="IJ50" s="62"/>
      <c r="IK50" s="62"/>
      <c r="IL50" s="62"/>
      <c r="IM50" s="62"/>
      <c r="IN50" s="62"/>
      <c r="IO50" s="62"/>
      <c r="IP50" s="62"/>
      <c r="IQ50" s="62"/>
      <c r="IR50" s="62"/>
      <c r="IS50" s="62"/>
      <c r="IT50" s="62"/>
      <c r="IU50" s="62"/>
      <c r="IV50" s="62"/>
      <c r="IW50" s="62"/>
      <c r="IX50" s="62"/>
      <c r="IY50" s="62"/>
      <c r="IZ50" s="62"/>
      <c r="JA50" s="62"/>
      <c r="JB50" s="62"/>
      <c r="JC50" s="62"/>
      <c r="JD50" s="62"/>
      <c r="JE50" s="62"/>
      <c r="JF50" s="62"/>
      <c r="JG50" s="62"/>
      <c r="JH50" s="62"/>
      <c r="JI50" s="62"/>
      <c r="JJ50" s="62"/>
      <c r="JK50" s="62"/>
      <c r="JL50" s="62"/>
      <c r="JM50" s="62"/>
      <c r="JN50" s="62"/>
      <c r="JO50" s="62"/>
      <c r="JP50" s="62"/>
      <c r="JQ50" s="62"/>
      <c r="JR50" s="62"/>
      <c r="JS50" s="62"/>
      <c r="JT50" s="62"/>
      <c r="JU50" s="62"/>
      <c r="JV50" s="62"/>
      <c r="JW50" s="62"/>
      <c r="JX50" s="62"/>
      <c r="JY50" s="62"/>
      <c r="JZ50" s="62"/>
      <c r="KA50" s="62"/>
      <c r="KB50" s="62"/>
      <c r="KC50" s="62"/>
      <c r="KD50" s="62"/>
      <c r="KE50" s="62"/>
      <c r="KF50" s="62"/>
      <c r="KG50" s="62"/>
      <c r="KH50" s="62"/>
      <c r="KI50" s="62"/>
      <c r="KJ50" s="62"/>
      <c r="KK50" s="62"/>
      <c r="KL50" s="62"/>
      <c r="KM50" s="62"/>
      <c r="KN50" s="62"/>
      <c r="KO50" s="62"/>
      <c r="KP50" s="62"/>
      <c r="KQ50" s="62"/>
      <c r="KR50" s="62"/>
      <c r="KS50" s="62"/>
      <c r="KT50" s="62"/>
      <c r="KU50" s="62"/>
      <c r="KV50" s="62"/>
      <c r="KW50" s="62"/>
      <c r="KX50" s="62"/>
      <c r="KY50" s="62"/>
      <c r="KZ50" s="62"/>
      <c r="LA50" s="62"/>
      <c r="LB50" s="62"/>
      <c r="LC50" s="62"/>
      <c r="LD50" s="62"/>
      <c r="LE50" s="62"/>
      <c r="LF50" s="62"/>
      <c r="LG50" s="62"/>
      <c r="LH50" s="62"/>
      <c r="LI50" s="62"/>
    </row>
    <row r="51" spans="1:321" ht="30">
      <c r="D51" s="59">
        <v>7511</v>
      </c>
      <c r="E51" s="60" t="s">
        <v>176</v>
      </c>
      <c r="F51" s="67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9"/>
      <c r="R51" s="67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67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9"/>
      <c r="AP51" s="67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9"/>
      <c r="BB51" s="67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9"/>
      <c r="BN51" s="67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9"/>
      <c r="BZ51" s="67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7">
        <v>0</v>
      </c>
      <c r="CM51" s="68">
        <v>3971500</v>
      </c>
      <c r="CN51" s="68">
        <v>23000000</v>
      </c>
      <c r="CO51" s="68">
        <v>14499142</v>
      </c>
      <c r="CP51" s="68">
        <v>4400000</v>
      </c>
      <c r="CQ51" s="68">
        <v>7801000</v>
      </c>
      <c r="CR51" s="68">
        <v>11000000</v>
      </c>
      <c r="CS51" s="68">
        <v>44678500</v>
      </c>
      <c r="CT51" s="68">
        <v>16000000</v>
      </c>
      <c r="CU51" s="68">
        <v>0</v>
      </c>
      <c r="CV51" s="68">
        <v>0</v>
      </c>
      <c r="CW51" s="69">
        <v>20000000</v>
      </c>
      <c r="CX51" s="67">
        <v>8520000</v>
      </c>
      <c r="CY51" s="68">
        <v>43408500</v>
      </c>
      <c r="CZ51" s="68">
        <v>83100000</v>
      </c>
      <c r="DA51" s="68">
        <v>32192300</v>
      </c>
      <c r="DB51" s="68">
        <v>0</v>
      </c>
      <c r="DC51" s="68">
        <v>0</v>
      </c>
      <c r="DD51" s="68">
        <v>13700000</v>
      </c>
      <c r="DE51" s="68">
        <v>40000000</v>
      </c>
      <c r="DF51" s="68">
        <v>14500000</v>
      </c>
      <c r="DG51" s="68">
        <v>3514300</v>
      </c>
      <c r="DH51" s="68">
        <v>0</v>
      </c>
      <c r="DI51" s="69">
        <v>6000000</v>
      </c>
      <c r="DJ51" s="67">
        <v>34828188.380000003</v>
      </c>
      <c r="DK51" s="68">
        <v>41475711.619999997</v>
      </c>
      <c r="DL51" s="68">
        <v>21230003.140000001</v>
      </c>
      <c r="DM51" s="68">
        <v>0</v>
      </c>
      <c r="DN51" s="68">
        <v>0</v>
      </c>
      <c r="DO51" s="68">
        <v>0</v>
      </c>
      <c r="DP51" s="68">
        <v>15234209.67</v>
      </c>
      <c r="DQ51" s="68">
        <v>40000000</v>
      </c>
      <c r="DR51" s="68">
        <v>21230000</v>
      </c>
      <c r="DS51" s="68">
        <v>1250090.33</v>
      </c>
      <c r="DT51" s="68">
        <v>0</v>
      </c>
      <c r="DU51" s="69">
        <v>0</v>
      </c>
      <c r="DV51" s="61">
        <v>16400000</v>
      </c>
      <c r="DW51" s="61">
        <v>51250217.07</v>
      </c>
      <c r="DX51" s="61">
        <v>25719782.93</v>
      </c>
      <c r="DY51" s="61">
        <v>13400000</v>
      </c>
      <c r="EA51" s="61">
        <v>15000000</v>
      </c>
      <c r="EB51" s="61">
        <v>26400000</v>
      </c>
      <c r="EC51" s="79">
        <v>61314300</v>
      </c>
      <c r="ED51" s="79"/>
      <c r="EE51" s="79"/>
      <c r="EF51" s="79">
        <v>80410000</v>
      </c>
      <c r="EG51" s="79">
        <v>27890000</v>
      </c>
      <c r="EH51" s="1">
        <v>34554.129999999997</v>
      </c>
      <c r="EI51" s="62">
        <v>322585.33</v>
      </c>
      <c r="EJ51" s="62">
        <v>5656594.5499999998</v>
      </c>
      <c r="EK51" s="62">
        <v>84125996.959999993</v>
      </c>
      <c r="EL51" s="62">
        <v>259019.66</v>
      </c>
      <c r="EM51" s="62">
        <v>16146143.310000001</v>
      </c>
      <c r="EN51" s="62">
        <v>733759.27</v>
      </c>
      <c r="EO51" s="62">
        <v>26168335.57</v>
      </c>
      <c r="EP51" s="62">
        <v>43020325.210000001</v>
      </c>
      <c r="EQ51" s="62">
        <v>20632990.120000001</v>
      </c>
      <c r="ER51" s="62">
        <v>28222092.870000001</v>
      </c>
      <c r="ES51" s="62">
        <v>127444455.40000001</v>
      </c>
      <c r="ET51" s="62">
        <v>24535941.960000001</v>
      </c>
      <c r="EU51" s="62">
        <v>91357443.420000002</v>
      </c>
      <c r="EV51" s="62">
        <v>20706614.620000001</v>
      </c>
      <c r="EW51" s="62">
        <v>0</v>
      </c>
      <c r="EX51" s="62">
        <v>0</v>
      </c>
      <c r="EY51" s="62"/>
      <c r="EZ51" s="62">
        <v>18000000</v>
      </c>
      <c r="FA51" s="62">
        <v>59000000</v>
      </c>
      <c r="FB51" s="62"/>
      <c r="FC51" s="62"/>
      <c r="FD51" s="62"/>
      <c r="FE51" s="62"/>
      <c r="FF51" s="62">
        <v>18000000</v>
      </c>
      <c r="FG51" s="62">
        <v>54000000</v>
      </c>
      <c r="FH51" s="62"/>
      <c r="FI51" s="62">
        <v>74623000</v>
      </c>
      <c r="FJ51" s="62">
        <v>67815000</v>
      </c>
      <c r="FK51" s="62"/>
      <c r="FL51" s="62">
        <v>18000000</v>
      </c>
      <c r="FM51" s="62">
        <v>54000000</v>
      </c>
      <c r="FN51" s="62"/>
      <c r="FO51" s="62"/>
      <c r="FP51" s="62">
        <v>47000000</v>
      </c>
      <c r="FQ51" s="62">
        <v>30000000</v>
      </c>
      <c r="FR51" s="62">
        <v>14900000</v>
      </c>
      <c r="FS51" s="62">
        <v>23000000</v>
      </c>
      <c r="FT51" s="62"/>
      <c r="FU51" s="62">
        <v>19932059.129999999</v>
      </c>
      <c r="FV51" s="62">
        <v>10000000</v>
      </c>
      <c r="FW51" s="62"/>
      <c r="FX51" s="62">
        <v>44900000</v>
      </c>
      <c r="FY51" s="62">
        <v>11800000</v>
      </c>
      <c r="FZ51" s="62"/>
      <c r="GA51" s="62">
        <v>15000000</v>
      </c>
      <c r="GB51" s="62">
        <v>28000000</v>
      </c>
      <c r="GC51" s="62"/>
      <c r="GD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  <c r="HN51" s="62"/>
      <c r="HO51" s="62"/>
      <c r="HP51" s="62"/>
      <c r="HQ51" s="62"/>
      <c r="HR51" s="62"/>
      <c r="HS51" s="62"/>
      <c r="HT51" s="62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62"/>
      <c r="IF51" s="62"/>
      <c r="IG51" s="62"/>
      <c r="IH51" s="62"/>
      <c r="II51" s="62"/>
      <c r="IJ51" s="62"/>
      <c r="IK51" s="62"/>
      <c r="IL51" s="62"/>
      <c r="IM51" s="62"/>
      <c r="IN51" s="62"/>
      <c r="IO51" s="62"/>
      <c r="IP51" s="62"/>
      <c r="IQ51" s="62"/>
      <c r="IR51" s="62"/>
      <c r="IS51" s="62"/>
      <c r="IT51" s="62"/>
      <c r="IU51" s="62"/>
      <c r="IV51" s="62"/>
      <c r="IW51" s="62"/>
      <c r="IX51" s="62"/>
      <c r="IY51" s="62"/>
      <c r="IZ51" s="62"/>
      <c r="JA51" s="62"/>
      <c r="JB51" s="62"/>
      <c r="JC51" s="62"/>
      <c r="JD51" s="62"/>
      <c r="JE51" s="62"/>
      <c r="JF51" s="62"/>
      <c r="JG51" s="62"/>
      <c r="JH51" s="62"/>
      <c r="JI51" s="62"/>
      <c r="JJ51" s="62"/>
      <c r="JK51" s="62"/>
      <c r="JL51" s="62"/>
      <c r="JM51" s="62"/>
      <c r="JN51" s="62"/>
      <c r="JO51" s="62"/>
      <c r="JP51" s="62"/>
      <c r="JQ51" s="62"/>
      <c r="JR51" s="62"/>
      <c r="JS51" s="62"/>
      <c r="JT51" s="62"/>
      <c r="JU51" s="62"/>
      <c r="JV51" s="62"/>
      <c r="JW51" s="62"/>
      <c r="JX51" s="62"/>
      <c r="JY51" s="62"/>
      <c r="JZ51" s="62"/>
      <c r="KA51" s="62"/>
      <c r="KB51" s="62"/>
      <c r="KC51" s="62"/>
      <c r="KD51" s="62"/>
      <c r="KE51" s="62"/>
      <c r="KF51" s="62"/>
      <c r="KG51" s="62"/>
      <c r="KH51" s="62"/>
      <c r="KI51" s="62"/>
      <c r="KJ51" s="62"/>
      <c r="KK51" s="62"/>
      <c r="KL51" s="62"/>
      <c r="KM51" s="62"/>
      <c r="KN51" s="62"/>
      <c r="KO51" s="62"/>
      <c r="KP51" s="62"/>
      <c r="KQ51" s="62"/>
      <c r="KR51" s="62"/>
      <c r="KS51" s="62"/>
      <c r="KT51" s="62"/>
      <c r="KU51" s="62"/>
      <c r="KV51" s="62"/>
      <c r="KW51" s="62"/>
      <c r="KX51" s="62"/>
      <c r="KY51" s="62"/>
      <c r="KZ51" s="62"/>
      <c r="LA51" s="62"/>
      <c r="LB51" s="62"/>
      <c r="LC51" s="62"/>
      <c r="LD51" s="62"/>
      <c r="LE51" s="62"/>
      <c r="LF51" s="62"/>
      <c r="LG51" s="62"/>
      <c r="LH51" s="62"/>
      <c r="LI51" s="62"/>
    </row>
    <row r="52" spans="1:321" ht="30">
      <c r="D52" s="59">
        <v>7512</v>
      </c>
      <c r="E52" s="60" t="s">
        <v>177</v>
      </c>
      <c r="F52" s="67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9"/>
      <c r="R52" s="67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67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9"/>
      <c r="AP52" s="67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9"/>
      <c r="BB52" s="67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9"/>
      <c r="BN52" s="67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9"/>
      <c r="BZ52" s="67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7">
        <v>35315594.670000002</v>
      </c>
      <c r="CM52" s="68">
        <v>1296835.01</v>
      </c>
      <c r="CN52" s="68">
        <v>1101008.74</v>
      </c>
      <c r="CO52" s="68">
        <v>772062.14</v>
      </c>
      <c r="CP52" s="68">
        <v>1139143.8400000001</v>
      </c>
      <c r="CQ52" s="68">
        <v>3391069.12</v>
      </c>
      <c r="CR52" s="68">
        <v>59863883.469999999</v>
      </c>
      <c r="CS52" s="68">
        <v>650880.35000001104</v>
      </c>
      <c r="CT52" s="68">
        <v>107867.28</v>
      </c>
      <c r="CU52" s="68">
        <v>443723.69</v>
      </c>
      <c r="CV52" s="68">
        <v>890239.71</v>
      </c>
      <c r="CW52" s="69">
        <v>83544900.230000004</v>
      </c>
      <c r="CX52" s="67">
        <v>113399.21</v>
      </c>
      <c r="CY52" s="68">
        <v>291764.21999999997</v>
      </c>
      <c r="CZ52" s="68">
        <v>307940.25</v>
      </c>
      <c r="DA52" s="68">
        <v>796763.89</v>
      </c>
      <c r="DB52" s="68">
        <v>280177927.55000001</v>
      </c>
      <c r="DC52" s="68">
        <v>524720.36</v>
      </c>
      <c r="DD52" s="68">
        <v>2030778.19</v>
      </c>
      <c r="DE52" s="68">
        <v>1036448.08</v>
      </c>
      <c r="DF52" s="68">
        <v>686675.5</v>
      </c>
      <c r="DG52" s="68">
        <v>667139.22</v>
      </c>
      <c r="DH52" s="68">
        <v>3184747.73</v>
      </c>
      <c r="DI52" s="69">
        <v>995721.3</v>
      </c>
      <c r="DJ52" s="67">
        <v>709714.84</v>
      </c>
      <c r="DK52" s="68">
        <v>329970.52</v>
      </c>
      <c r="DL52" s="68">
        <v>500431461.47000003</v>
      </c>
      <c r="DM52" s="68">
        <v>70720087.209999993</v>
      </c>
      <c r="DN52" s="68">
        <v>844590.43</v>
      </c>
      <c r="DO52" s="68">
        <v>69787474.810000002</v>
      </c>
      <c r="DP52" s="68">
        <v>4058101.87</v>
      </c>
      <c r="DQ52" s="68">
        <v>857073.5</v>
      </c>
      <c r="DR52" s="68">
        <v>613054.99</v>
      </c>
      <c r="DS52" s="68">
        <v>5090658.8099999996</v>
      </c>
      <c r="DT52" s="68">
        <v>1224576.83</v>
      </c>
      <c r="DU52" s="69">
        <v>2875354.8</v>
      </c>
      <c r="DV52" s="61">
        <v>329543.98</v>
      </c>
      <c r="DW52" s="61">
        <v>1518782.95</v>
      </c>
      <c r="DX52" s="61">
        <v>306080409.44999999</v>
      </c>
      <c r="DY52" s="61">
        <v>611208.74</v>
      </c>
      <c r="DZ52" s="61">
        <v>680920.61</v>
      </c>
      <c r="EA52" s="61">
        <v>805822.66</v>
      </c>
      <c r="EB52" s="61">
        <v>466534.34</v>
      </c>
      <c r="EC52" s="79">
        <v>1171956.5900000001</v>
      </c>
      <c r="ED52" s="79">
        <v>584698.59</v>
      </c>
      <c r="EE52" s="79">
        <v>3292203.84</v>
      </c>
      <c r="EF52" s="79">
        <v>2120376.2599999998</v>
      </c>
      <c r="EG52" s="79">
        <v>14113738.050000001</v>
      </c>
      <c r="EH52" s="62"/>
      <c r="EI52" s="62"/>
      <c r="EK52" s="62"/>
      <c r="EL52" s="62"/>
      <c r="EM52" s="62"/>
      <c r="EN52" s="62"/>
      <c r="EO52" s="62"/>
      <c r="EP52" s="62"/>
      <c r="EQ52" s="62">
        <v>160221133.53999999</v>
      </c>
      <c r="ER52" s="62">
        <v>163344901.65000001</v>
      </c>
      <c r="ES52" s="62"/>
      <c r="ET52" s="62">
        <v>220322.84</v>
      </c>
      <c r="EU52" s="62">
        <v>191078.77</v>
      </c>
      <c r="EV52" s="62">
        <v>5273085.6500000004</v>
      </c>
      <c r="EW52" s="62">
        <v>503121949.51999998</v>
      </c>
      <c r="EX52" s="62">
        <v>7673073.0999999996</v>
      </c>
      <c r="EY52" s="62">
        <v>266189636.84999999</v>
      </c>
      <c r="EZ52" s="62">
        <v>15363581.189999999</v>
      </c>
      <c r="FA52" s="62">
        <v>13117458.42</v>
      </c>
      <c r="FB52" s="62">
        <v>16543113.73</v>
      </c>
      <c r="FC52" s="62">
        <v>18813731.219999999</v>
      </c>
      <c r="FD52" s="62">
        <v>38823788.329999998</v>
      </c>
      <c r="FE52" s="62">
        <v>24442619.199999999</v>
      </c>
      <c r="FF52" s="62">
        <v>25748930.140000001</v>
      </c>
      <c r="FG52" s="62">
        <v>3819449.69</v>
      </c>
      <c r="FH52" s="62">
        <v>14059999.119999999</v>
      </c>
      <c r="FI52" s="62">
        <v>6496285.4699999997</v>
      </c>
      <c r="FJ52" s="62">
        <v>7856343.8600000003</v>
      </c>
      <c r="FK52" s="62">
        <v>8784836.1999999993</v>
      </c>
      <c r="FL52" s="62">
        <v>2698966.86</v>
      </c>
      <c r="FM52" s="62">
        <v>32388565.289999999</v>
      </c>
      <c r="FN52" s="62">
        <v>9020553.9199999999</v>
      </c>
      <c r="FO52" s="62">
        <v>512682672.61000001</v>
      </c>
      <c r="FP52" s="62">
        <v>10136902.300000001</v>
      </c>
      <c r="FQ52" s="62">
        <v>17886787.969999999</v>
      </c>
      <c r="FR52" s="62">
        <v>316564.84000000003</v>
      </c>
      <c r="FS52" s="62">
        <v>1511136.76</v>
      </c>
      <c r="FT52" s="62">
        <v>3834054.75</v>
      </c>
      <c r="FU52" s="62">
        <v>4493810.3600000003</v>
      </c>
      <c r="FV52" s="62">
        <v>250307576.15000001</v>
      </c>
      <c r="FW52" s="62">
        <v>83297964.459999993</v>
      </c>
      <c r="FX52" s="62">
        <v>18425337.739999998</v>
      </c>
      <c r="FY52" s="62">
        <v>6606851.8499999996</v>
      </c>
      <c r="FZ52" s="62">
        <v>3867306.65</v>
      </c>
      <c r="GA52" s="62">
        <v>43616999.969999999</v>
      </c>
      <c r="GB52" s="62">
        <v>5875847.9400000004</v>
      </c>
      <c r="GC52" s="62">
        <v>763591402.35000002</v>
      </c>
      <c r="GD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  <c r="IJ52" s="62"/>
      <c r="IK52" s="62"/>
      <c r="IL52" s="62"/>
      <c r="IM52" s="62"/>
      <c r="IN52" s="62"/>
      <c r="IO52" s="62"/>
      <c r="IP52" s="62"/>
      <c r="IQ52" s="62"/>
      <c r="IR52" s="62"/>
      <c r="IS52" s="62"/>
      <c r="IT52" s="62"/>
      <c r="IU52" s="62"/>
      <c r="IV52" s="62"/>
      <c r="IW52" s="62"/>
      <c r="IX52" s="62"/>
      <c r="IY52" s="62"/>
      <c r="IZ52" s="62"/>
      <c r="JA52" s="62"/>
      <c r="JB52" s="62"/>
      <c r="JC52" s="62"/>
      <c r="JD52" s="62"/>
      <c r="JE52" s="62"/>
      <c r="JF52" s="62"/>
      <c r="JG52" s="62"/>
      <c r="JH52" s="62"/>
      <c r="JI52" s="62"/>
      <c r="JJ52" s="62"/>
      <c r="JK52" s="62"/>
      <c r="JL52" s="62"/>
      <c r="JM52" s="62"/>
      <c r="JN52" s="62"/>
      <c r="JO52" s="62"/>
      <c r="JP52" s="62"/>
      <c r="JQ52" s="62"/>
      <c r="JR52" s="62"/>
      <c r="JS52" s="62"/>
      <c r="JT52" s="62"/>
      <c r="JU52" s="62"/>
      <c r="JV52" s="62"/>
      <c r="JW52" s="62"/>
      <c r="JX52" s="62"/>
      <c r="JY52" s="62"/>
      <c r="JZ52" s="62"/>
      <c r="KA52" s="62"/>
      <c r="KB52" s="62"/>
      <c r="KC52" s="62"/>
      <c r="KD52" s="62"/>
      <c r="KE52" s="62"/>
      <c r="KF52" s="62"/>
      <c r="KG52" s="62"/>
      <c r="KH52" s="62"/>
      <c r="KI52" s="62"/>
      <c r="KJ52" s="62"/>
      <c r="KK52" s="62"/>
      <c r="KL52" s="62"/>
      <c r="KM52" s="62"/>
      <c r="KN52" s="62"/>
      <c r="KO52" s="62"/>
      <c r="KP52" s="62"/>
      <c r="KQ52" s="62"/>
      <c r="KR52" s="62"/>
      <c r="KS52" s="62"/>
      <c r="KT52" s="62"/>
      <c r="KU52" s="62"/>
      <c r="KV52" s="62"/>
      <c r="KW52" s="62"/>
      <c r="KX52" s="62"/>
      <c r="KY52" s="62"/>
      <c r="KZ52" s="62"/>
      <c r="LA52" s="62"/>
      <c r="LB52" s="62"/>
      <c r="LC52" s="62"/>
      <c r="LD52" s="62"/>
      <c r="LE52" s="62"/>
      <c r="LF52" s="62"/>
      <c r="LG52" s="62"/>
      <c r="LH52" s="62"/>
      <c r="LI52" s="62"/>
    </row>
    <row r="53" spans="1:321">
      <c r="A53" s="59">
        <v>4</v>
      </c>
      <c r="B53" s="59" t="s">
        <v>6</v>
      </c>
      <c r="E53" s="60" t="s">
        <v>375</v>
      </c>
      <c r="F53" s="67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9"/>
      <c r="R53" s="67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67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9"/>
      <c r="AP53" s="67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9"/>
      <c r="BB53" s="67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9"/>
      <c r="BN53" s="67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9"/>
      <c r="BZ53" s="67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7">
        <v>94307949.459999993</v>
      </c>
      <c r="CM53" s="68">
        <v>96306254.560000002</v>
      </c>
      <c r="CN53" s="68">
        <v>105643727.31999999</v>
      </c>
      <c r="CO53" s="68">
        <v>123882956.19</v>
      </c>
      <c r="CP53" s="68">
        <v>104952049.41</v>
      </c>
      <c r="CQ53" s="68">
        <v>107208498.05</v>
      </c>
      <c r="CR53" s="68">
        <v>183973851.75</v>
      </c>
      <c r="CS53" s="68">
        <v>153443488.12</v>
      </c>
      <c r="CT53" s="68">
        <v>138489025.28</v>
      </c>
      <c r="CU53" s="68">
        <v>110071743.04000001</v>
      </c>
      <c r="CV53" s="68">
        <v>108715971.88</v>
      </c>
      <c r="CW53" s="69">
        <v>215842736.37</v>
      </c>
      <c r="CX53" s="67">
        <v>79942495.040000007</v>
      </c>
      <c r="CY53" s="68">
        <v>127014848.97</v>
      </c>
      <c r="CZ53" s="68">
        <v>138520718.91999999</v>
      </c>
      <c r="DA53" s="68">
        <v>187643170.75</v>
      </c>
      <c r="DB53" s="68">
        <v>202332268.41999999</v>
      </c>
      <c r="DC53" s="68">
        <v>160054179.16999999</v>
      </c>
      <c r="DD53" s="68">
        <v>157652918.66</v>
      </c>
      <c r="DE53" s="68">
        <v>164821601.02000001</v>
      </c>
      <c r="DF53" s="68">
        <v>147812523.28</v>
      </c>
      <c r="DG53" s="68">
        <v>183488295.22999999</v>
      </c>
      <c r="DH53" s="68">
        <v>103670820.14</v>
      </c>
      <c r="DI53" s="69">
        <v>238900713.08000001</v>
      </c>
      <c r="DJ53" s="67">
        <v>122995229.47</v>
      </c>
      <c r="DK53" s="68">
        <v>148045843.31</v>
      </c>
      <c r="DL53" s="68">
        <v>173787626.72999999</v>
      </c>
      <c r="DM53" s="68">
        <v>246732915.36000001</v>
      </c>
      <c r="DN53" s="68">
        <v>116025153.78</v>
      </c>
      <c r="DO53" s="68">
        <v>215435486.06999999</v>
      </c>
      <c r="DP53" s="68">
        <v>183206323.34999999</v>
      </c>
      <c r="DQ53" s="68">
        <v>140381694.63</v>
      </c>
      <c r="DR53" s="68">
        <v>309275945.12</v>
      </c>
      <c r="DS53" s="68">
        <v>110895845.78</v>
      </c>
      <c r="DT53" s="68">
        <v>112390835.38</v>
      </c>
      <c r="DU53" s="69">
        <v>203117834.03</v>
      </c>
      <c r="DV53" s="61">
        <v>103413046.31</v>
      </c>
      <c r="DW53" s="61">
        <v>102142955.61</v>
      </c>
      <c r="DX53" s="61">
        <v>146200718.83000001</v>
      </c>
      <c r="DY53" s="61">
        <v>109135680.37</v>
      </c>
      <c r="DZ53" s="79">
        <v>126288268.34999999</v>
      </c>
      <c r="EA53" s="79"/>
      <c r="EC53" s="79"/>
      <c r="ED53" s="79"/>
      <c r="EE53" s="79"/>
      <c r="EF53" s="79"/>
      <c r="EG53" s="79"/>
      <c r="EH53" s="62"/>
      <c r="EI53" s="62"/>
      <c r="EJ53" s="62"/>
      <c r="EK53" s="62"/>
      <c r="EL53" s="62"/>
      <c r="EM53" s="62"/>
      <c r="EN53" s="62"/>
      <c r="EO53" s="62"/>
      <c r="EP53" s="62"/>
      <c r="EQ53" s="62">
        <v>53180290.399999999</v>
      </c>
      <c r="ER53" s="62">
        <v>57739544.189999998</v>
      </c>
      <c r="ES53" s="62"/>
      <c r="ET53" s="62">
        <v>104498495.13</v>
      </c>
      <c r="EU53" s="62">
        <v>123153743.48</v>
      </c>
      <c r="EV53" s="62">
        <v>192481569.78999999</v>
      </c>
      <c r="EW53" s="62">
        <v>172255329.59999999</v>
      </c>
      <c r="EX53" s="62">
        <v>218705424.59</v>
      </c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  <c r="IJ53" s="62"/>
      <c r="IK53" s="62"/>
      <c r="IL53" s="62"/>
      <c r="IM53" s="62"/>
      <c r="IN53" s="62"/>
      <c r="IO53" s="62"/>
      <c r="IP53" s="62"/>
      <c r="IQ53" s="62"/>
      <c r="IR53" s="62"/>
      <c r="IS53" s="62"/>
      <c r="IT53" s="62"/>
      <c r="IU53" s="62"/>
      <c r="IV53" s="62"/>
      <c r="IW53" s="62"/>
      <c r="IX53" s="62"/>
      <c r="IY53" s="62"/>
      <c r="IZ53" s="62"/>
      <c r="JA53" s="62"/>
      <c r="JB53" s="62"/>
      <c r="JC53" s="62"/>
      <c r="JD53" s="62"/>
      <c r="JE53" s="62"/>
      <c r="JF53" s="62"/>
      <c r="JG53" s="62"/>
      <c r="JH53" s="62"/>
      <c r="JI53" s="62"/>
      <c r="JJ53" s="62"/>
      <c r="JK53" s="62"/>
      <c r="JL53" s="62"/>
      <c r="JM53" s="62"/>
      <c r="JN53" s="62"/>
      <c r="JO53" s="62"/>
      <c r="JP53" s="62"/>
      <c r="JQ53" s="62"/>
      <c r="JR53" s="62"/>
      <c r="JS53" s="62"/>
      <c r="JT53" s="62"/>
      <c r="JU53" s="62"/>
      <c r="JV53" s="62"/>
      <c r="JW53" s="62"/>
      <c r="JX53" s="62"/>
      <c r="JY53" s="62"/>
      <c r="JZ53" s="62"/>
      <c r="KA53" s="62"/>
      <c r="KB53" s="62"/>
      <c r="KC53" s="62"/>
      <c r="KD53" s="62"/>
      <c r="KE53" s="62"/>
      <c r="KF53" s="62"/>
      <c r="KG53" s="62"/>
      <c r="KH53" s="62"/>
      <c r="KI53" s="62"/>
      <c r="KJ53" s="62"/>
      <c r="KK53" s="62"/>
      <c r="KL53" s="62"/>
      <c r="KM53" s="62"/>
      <c r="KN53" s="62"/>
      <c r="KO53" s="62"/>
      <c r="KP53" s="62"/>
      <c r="KQ53" s="62"/>
      <c r="KR53" s="62"/>
      <c r="KS53" s="62"/>
      <c r="KT53" s="62"/>
      <c r="KU53" s="62"/>
      <c r="KV53" s="62"/>
      <c r="KW53" s="62"/>
      <c r="KX53" s="62"/>
      <c r="KY53" s="62"/>
      <c r="KZ53" s="62"/>
      <c r="LA53" s="62"/>
      <c r="LB53" s="62"/>
      <c r="LC53" s="62"/>
      <c r="LD53" s="62"/>
      <c r="LE53" s="62"/>
      <c r="LF53" s="62"/>
      <c r="LG53" s="62"/>
      <c r="LH53" s="62"/>
      <c r="LI53" s="62"/>
    </row>
    <row r="54" spans="1:321">
      <c r="A54" s="59" t="s">
        <v>6</v>
      </c>
      <c r="B54" s="59">
        <v>41</v>
      </c>
      <c r="D54" s="59">
        <v>41</v>
      </c>
      <c r="E54" s="60" t="s">
        <v>146</v>
      </c>
      <c r="F54" s="67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9"/>
      <c r="R54" s="67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67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9"/>
      <c r="AP54" s="67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9"/>
      <c r="BB54" s="67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9"/>
      <c r="BN54" s="67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9"/>
      <c r="BZ54" s="67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7">
        <v>37559259.920000002</v>
      </c>
      <c r="CM54" s="68">
        <v>43448523.990000002</v>
      </c>
      <c r="CN54" s="68">
        <v>45712746.450000003</v>
      </c>
      <c r="CO54" s="68">
        <v>66765798.219999999</v>
      </c>
      <c r="CP54" s="68">
        <v>47578093.07</v>
      </c>
      <c r="CQ54" s="68">
        <v>39972707.770000003</v>
      </c>
      <c r="CR54" s="68">
        <v>52244035.140000001</v>
      </c>
      <c r="CS54" s="68">
        <v>46109305.100000001</v>
      </c>
      <c r="CT54" s="68">
        <v>64428387.520000003</v>
      </c>
      <c r="CU54" s="68">
        <v>44963115.270000003</v>
      </c>
      <c r="CV54" s="68">
        <v>46191093.280000001</v>
      </c>
      <c r="CW54" s="69">
        <v>70669565.129999995</v>
      </c>
      <c r="CX54" s="67">
        <v>21406349.600000001</v>
      </c>
      <c r="CY54" s="68">
        <v>34812757.530000001</v>
      </c>
      <c r="CZ54" s="68">
        <v>47702041.880000003</v>
      </c>
      <c r="DA54" s="68">
        <v>82349471.900000006</v>
      </c>
      <c r="DB54" s="68">
        <v>49949051.460000001</v>
      </c>
      <c r="DC54" s="68">
        <v>157652918.66</v>
      </c>
      <c r="DD54" s="68">
        <v>45833422.189999998</v>
      </c>
      <c r="DE54" s="68">
        <v>50688339.799999997</v>
      </c>
      <c r="DF54" s="68">
        <v>59253752.030000001</v>
      </c>
      <c r="DG54" s="68">
        <v>56219372.969999999</v>
      </c>
      <c r="DH54" s="68">
        <v>36609532.700000003</v>
      </c>
      <c r="DI54" s="69">
        <v>105642624.81</v>
      </c>
      <c r="DJ54" s="67">
        <v>40781953.020000003</v>
      </c>
      <c r="DK54" s="68">
        <v>45944664.780000001</v>
      </c>
      <c r="DL54" s="68">
        <v>56680452.189999998</v>
      </c>
      <c r="DM54" s="68">
        <v>64330063.780000001</v>
      </c>
      <c r="DN54" s="68">
        <v>59571599.049999997</v>
      </c>
      <c r="DO54" s="68">
        <v>46793158.850000001</v>
      </c>
      <c r="DP54" s="68">
        <v>57574449.549999997</v>
      </c>
      <c r="DQ54" s="68">
        <v>43874279.890000001</v>
      </c>
      <c r="DR54" s="68">
        <v>67422898.129999995</v>
      </c>
      <c r="DS54" s="68">
        <v>46476897.329999998</v>
      </c>
      <c r="DT54" s="68">
        <v>49435943.5</v>
      </c>
      <c r="DU54" s="69">
        <v>80350897.759999901</v>
      </c>
      <c r="DV54" s="61">
        <v>41183127.18</v>
      </c>
      <c r="DW54" s="61">
        <v>44161664.020000003</v>
      </c>
      <c r="DX54" s="61">
        <v>56793036.859999999</v>
      </c>
      <c r="DY54" s="61">
        <v>39745019.130000003</v>
      </c>
      <c r="DZ54" s="79">
        <v>52886075.979999997</v>
      </c>
      <c r="EA54" s="79"/>
      <c r="EC54" s="79"/>
      <c r="ED54" s="79"/>
      <c r="EE54" s="79"/>
      <c r="EF54" s="79"/>
      <c r="EG54" s="79"/>
      <c r="ET54" s="62">
        <v>17822596.359999999</v>
      </c>
      <c r="EU54" s="62">
        <v>53222053.950000003</v>
      </c>
      <c r="EV54" s="62">
        <v>94277740.469999999</v>
      </c>
      <c r="EW54" s="62">
        <v>59024234.859999999</v>
      </c>
      <c r="EX54" s="62">
        <v>57053271.649999999</v>
      </c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2"/>
      <c r="HE54" s="62"/>
      <c r="HF54" s="62"/>
      <c r="HG54" s="62"/>
      <c r="HH54" s="62"/>
      <c r="HI54" s="62"/>
      <c r="HJ54" s="62"/>
      <c r="HK54" s="62"/>
      <c r="HL54" s="62"/>
      <c r="HM54" s="62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  <c r="IE54" s="62"/>
      <c r="IF54" s="62"/>
      <c r="IG54" s="62"/>
      <c r="IH54" s="62"/>
      <c r="II54" s="62"/>
      <c r="IJ54" s="62"/>
      <c r="IK54" s="62"/>
      <c r="IL54" s="62"/>
      <c r="IM54" s="62"/>
      <c r="IN54" s="62"/>
      <c r="IO54" s="62"/>
      <c r="IP54" s="62"/>
      <c r="IQ54" s="62"/>
      <c r="IR54" s="62"/>
      <c r="IS54" s="62"/>
      <c r="IT54" s="62"/>
      <c r="IU54" s="62"/>
      <c r="IV54" s="62"/>
      <c r="IW54" s="62"/>
      <c r="IX54" s="62"/>
      <c r="IY54" s="62"/>
      <c r="IZ54" s="62"/>
      <c r="JA54" s="62"/>
      <c r="JB54" s="62"/>
      <c r="JC54" s="62"/>
      <c r="JD54" s="62"/>
      <c r="JE54" s="62"/>
      <c r="JF54" s="62"/>
      <c r="JG54" s="62"/>
      <c r="JH54" s="62"/>
      <c r="JI54" s="62"/>
      <c r="JJ54" s="62"/>
      <c r="JK54" s="62"/>
      <c r="JL54" s="62"/>
      <c r="JM54" s="62"/>
      <c r="JN54" s="62"/>
      <c r="JO54" s="62"/>
      <c r="JP54" s="62"/>
      <c r="JQ54" s="62"/>
      <c r="JR54" s="62"/>
      <c r="JS54" s="62"/>
      <c r="JT54" s="62"/>
      <c r="JU54" s="62"/>
      <c r="JV54" s="62"/>
      <c r="JW54" s="62"/>
      <c r="JX54" s="62"/>
      <c r="JY54" s="62"/>
      <c r="JZ54" s="62"/>
      <c r="KA54" s="62"/>
      <c r="KB54" s="62"/>
      <c r="KC54" s="62"/>
      <c r="KD54" s="62"/>
      <c r="KE54" s="62"/>
      <c r="KF54" s="62"/>
      <c r="KG54" s="62"/>
      <c r="KH54" s="62"/>
      <c r="KI54" s="62"/>
      <c r="KJ54" s="62"/>
      <c r="KK54" s="62"/>
      <c r="KL54" s="62"/>
      <c r="KM54" s="62"/>
      <c r="KN54" s="62"/>
      <c r="KO54" s="62"/>
      <c r="KP54" s="62"/>
      <c r="KQ54" s="62"/>
      <c r="KR54" s="62"/>
      <c r="KS54" s="62"/>
      <c r="KT54" s="62"/>
      <c r="KU54" s="62"/>
      <c r="KV54" s="62"/>
      <c r="KW54" s="62"/>
      <c r="KX54" s="62"/>
      <c r="KY54" s="62"/>
      <c r="KZ54" s="62"/>
      <c r="LA54" s="62"/>
      <c r="LB54" s="62"/>
      <c r="LC54" s="62"/>
      <c r="LD54" s="62"/>
      <c r="LE54" s="62"/>
      <c r="LF54" s="62"/>
      <c r="LG54" s="62"/>
      <c r="LH54" s="62"/>
      <c r="LI54" s="62"/>
    </row>
    <row r="55" spans="1:321" ht="30">
      <c r="C55" s="59">
        <v>411</v>
      </c>
      <c r="D55" s="59">
        <v>411</v>
      </c>
      <c r="E55" s="60" t="s">
        <v>147</v>
      </c>
      <c r="F55" s="67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9"/>
      <c r="R55" s="67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67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9"/>
      <c r="AP55" s="67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9"/>
      <c r="BB55" s="67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9"/>
      <c r="BN55" s="67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9"/>
      <c r="BZ55" s="67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7">
        <v>30971376.559999999</v>
      </c>
      <c r="CM55" s="68">
        <v>31767543.57</v>
      </c>
      <c r="CN55" s="68">
        <v>27281136.949999999</v>
      </c>
      <c r="CO55" s="68">
        <v>29258745.940000001</v>
      </c>
      <c r="CP55" s="68">
        <v>36008593.490000002</v>
      </c>
      <c r="CQ55" s="68">
        <v>25859054.300000001</v>
      </c>
      <c r="CR55" s="68">
        <v>34643447.109999999</v>
      </c>
      <c r="CS55" s="68">
        <v>30708364.170000002</v>
      </c>
      <c r="CT55" s="68">
        <v>31076205.190000001</v>
      </c>
      <c r="CU55" s="68">
        <v>30090664.149999999</v>
      </c>
      <c r="CV55" s="68">
        <v>33509791.739999998</v>
      </c>
      <c r="CW55" s="69">
        <v>29829447</v>
      </c>
      <c r="CX55" s="67">
        <v>23924065.489999998</v>
      </c>
      <c r="CY55" s="68">
        <v>21726936.789999999</v>
      </c>
      <c r="CZ55" s="68">
        <v>28535773.460000001</v>
      </c>
      <c r="DA55" s="68">
        <v>41975696.229999997</v>
      </c>
      <c r="DB55" s="68">
        <v>33852284.299999997</v>
      </c>
      <c r="DC55" s="68">
        <v>24811426.859999999</v>
      </c>
      <c r="DD55" s="68">
        <v>34292978.649999999</v>
      </c>
      <c r="DE55" s="68">
        <v>31454503.149999999</v>
      </c>
      <c r="DF55" s="68">
        <v>30286190.710000001</v>
      </c>
      <c r="DG55" s="68">
        <v>29992284.260000002</v>
      </c>
      <c r="DH55" s="68">
        <v>33842065.600000001</v>
      </c>
      <c r="DI55" s="69">
        <v>52649267.810000002</v>
      </c>
      <c r="DJ55" s="67">
        <v>31417131.420000002</v>
      </c>
      <c r="DK55" s="68">
        <v>31713123.149999999</v>
      </c>
      <c r="DL55" s="68">
        <v>31097646.16</v>
      </c>
      <c r="DM55" s="68">
        <v>30027106.57</v>
      </c>
      <c r="DN55" s="68">
        <v>30719874.460000001</v>
      </c>
      <c r="DO55" s="68">
        <v>31555486.390000001</v>
      </c>
      <c r="DP55" s="68">
        <v>33924786.880000003</v>
      </c>
      <c r="DQ55" s="68">
        <v>28021328.510000002</v>
      </c>
      <c r="DR55" s="68">
        <v>34903249.240000002</v>
      </c>
      <c r="DS55" s="68">
        <v>29141461.66</v>
      </c>
      <c r="DT55" s="68">
        <v>35946041.439999998</v>
      </c>
      <c r="DU55" s="69">
        <v>33709845.939999998</v>
      </c>
      <c r="DV55" s="61">
        <v>31820224.66</v>
      </c>
      <c r="DW55" s="61">
        <v>30464008.449999999</v>
      </c>
      <c r="DX55" s="61">
        <v>35219650.600000001</v>
      </c>
      <c r="DY55" s="61">
        <v>31553560.68</v>
      </c>
      <c r="DZ55" s="61">
        <v>38195596.229999997</v>
      </c>
      <c r="EA55" s="61">
        <v>31848022.640000001</v>
      </c>
      <c r="EB55" s="61">
        <v>38170479.030000001</v>
      </c>
      <c r="EC55" s="79">
        <v>34615240.759999998</v>
      </c>
      <c r="ED55" s="79">
        <v>35860750.060000002</v>
      </c>
      <c r="EE55" s="79">
        <v>36033379.700000003</v>
      </c>
      <c r="EF55" s="79">
        <v>38323683.899999999</v>
      </c>
      <c r="EG55" s="79">
        <v>40386170.310000002</v>
      </c>
      <c r="EH55" s="62">
        <v>36341017.520000003</v>
      </c>
      <c r="EI55" s="62">
        <v>36442747.460000001</v>
      </c>
      <c r="EJ55" s="62">
        <v>36477113.590000004</v>
      </c>
      <c r="EK55" s="62">
        <v>36703828.340000004</v>
      </c>
      <c r="EL55" s="62">
        <v>34203194.770000003</v>
      </c>
      <c r="EM55" s="62">
        <v>40628800.600000001</v>
      </c>
      <c r="EN55" s="62">
        <v>36224128.640000001</v>
      </c>
      <c r="EO55" s="62">
        <v>35575955.729999997</v>
      </c>
      <c r="EP55" s="62">
        <v>36145069.369999997</v>
      </c>
      <c r="EQ55" s="62">
        <v>37968977.82</v>
      </c>
      <c r="ER55" s="62">
        <v>37257887.189999998</v>
      </c>
      <c r="ES55" s="62">
        <v>41404585.670000002</v>
      </c>
      <c r="ET55" s="62">
        <v>37313745.240000002</v>
      </c>
      <c r="EU55" s="62">
        <v>38053361.399999999</v>
      </c>
      <c r="EV55" s="62">
        <v>36623552.420000002</v>
      </c>
      <c r="EW55" s="62">
        <v>38350898.119999997</v>
      </c>
      <c r="EX55" s="62">
        <v>38447534.82</v>
      </c>
      <c r="EY55" s="62">
        <v>38983266.57</v>
      </c>
      <c r="EZ55" s="62">
        <v>37411972.93</v>
      </c>
      <c r="FA55" s="62">
        <v>36767851.93</v>
      </c>
      <c r="FB55" s="62">
        <v>38163535.509999998</v>
      </c>
      <c r="FC55" s="62">
        <v>39555048.049999997</v>
      </c>
      <c r="FD55" s="62">
        <v>45304980.549999997</v>
      </c>
      <c r="FE55" s="62">
        <v>34820487.009999998</v>
      </c>
      <c r="FF55" s="62">
        <v>38898745.609999999</v>
      </c>
      <c r="FG55" s="62">
        <v>38603036.109999999</v>
      </c>
      <c r="FH55" s="62">
        <v>39176968.049999997</v>
      </c>
      <c r="FI55" s="62">
        <v>38923552.049999997</v>
      </c>
      <c r="FJ55" s="62">
        <v>39904782.170000002</v>
      </c>
      <c r="FK55" s="62">
        <v>41565368.68</v>
      </c>
      <c r="FL55" s="62">
        <v>38100886.07</v>
      </c>
      <c r="FM55" s="62">
        <v>37237058.799999997</v>
      </c>
      <c r="FN55" s="62">
        <v>38571466.869999997</v>
      </c>
      <c r="FO55" s="62">
        <v>38895006.189999998</v>
      </c>
      <c r="FP55" s="62">
        <v>39570495.68</v>
      </c>
      <c r="FQ55" s="62">
        <v>43406510.43</v>
      </c>
      <c r="FR55" s="62">
        <v>40879419.469999999</v>
      </c>
      <c r="FS55" s="62">
        <v>41362850.270000003</v>
      </c>
      <c r="FT55" s="62">
        <v>41444412.079999998</v>
      </c>
      <c r="FU55" s="62">
        <v>41745440.189999998</v>
      </c>
      <c r="FV55" s="62">
        <v>40758304.579999998</v>
      </c>
      <c r="FW55" s="62">
        <v>43040867.280000001</v>
      </c>
      <c r="FX55" s="62">
        <v>41134725.810000002</v>
      </c>
      <c r="FY55" s="62">
        <v>40354849.710000001</v>
      </c>
      <c r="FZ55" s="62">
        <v>40276343.780000001</v>
      </c>
      <c r="GA55" s="62">
        <v>42400898.109999999</v>
      </c>
      <c r="GB55" s="62">
        <v>38685460.780000001</v>
      </c>
      <c r="GC55" s="62">
        <v>47063398.039999999</v>
      </c>
      <c r="GD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  <c r="IE55" s="62"/>
      <c r="IF55" s="62"/>
      <c r="IG55" s="62"/>
      <c r="IH55" s="62"/>
      <c r="II55" s="62"/>
      <c r="IJ55" s="62"/>
      <c r="IK55" s="62"/>
      <c r="IL55" s="62"/>
      <c r="IM55" s="62"/>
      <c r="IN55" s="62"/>
      <c r="IO55" s="62"/>
      <c r="IP55" s="62"/>
      <c r="IQ55" s="62"/>
      <c r="IR55" s="62"/>
      <c r="IS55" s="62"/>
      <c r="IT55" s="62"/>
      <c r="IU55" s="62"/>
      <c r="IV55" s="62"/>
      <c r="IW55" s="62"/>
      <c r="IX55" s="62"/>
      <c r="IY55" s="62"/>
      <c r="IZ55" s="62"/>
      <c r="JA55" s="62"/>
      <c r="JB55" s="62"/>
      <c r="JC55" s="62"/>
      <c r="JD55" s="62"/>
      <c r="JE55" s="62"/>
      <c r="JF55" s="62"/>
      <c r="JG55" s="62"/>
      <c r="JH55" s="62"/>
      <c r="JI55" s="62"/>
      <c r="JJ55" s="62"/>
      <c r="JK55" s="62"/>
      <c r="JL55" s="62"/>
      <c r="JM55" s="62"/>
      <c r="JN55" s="62"/>
      <c r="JO55" s="62"/>
      <c r="JP55" s="62"/>
      <c r="JQ55" s="62"/>
      <c r="JR55" s="62"/>
      <c r="JS55" s="62"/>
      <c r="JT55" s="62"/>
      <c r="JU55" s="62"/>
      <c r="JV55" s="62"/>
      <c r="JW55" s="62"/>
      <c r="JX55" s="62"/>
      <c r="JY55" s="62"/>
      <c r="JZ55" s="62"/>
      <c r="KA55" s="62"/>
      <c r="KB55" s="62"/>
      <c r="KC55" s="62"/>
      <c r="KD55" s="62"/>
      <c r="KE55" s="62"/>
      <c r="KF55" s="62"/>
      <c r="KG55" s="62"/>
      <c r="KH55" s="62"/>
      <c r="KI55" s="62"/>
      <c r="KJ55" s="62"/>
      <c r="KK55" s="62"/>
      <c r="KL55" s="62"/>
      <c r="KM55" s="62"/>
      <c r="KN55" s="62"/>
      <c r="KO55" s="62"/>
      <c r="KP55" s="62"/>
      <c r="KQ55" s="62"/>
      <c r="KR55" s="62"/>
      <c r="KS55" s="62"/>
      <c r="KT55" s="62"/>
      <c r="KU55" s="62"/>
      <c r="KV55" s="62"/>
      <c r="KW55" s="62"/>
      <c r="KX55" s="62"/>
      <c r="KY55" s="62"/>
      <c r="KZ55" s="62"/>
      <c r="LA55" s="62"/>
      <c r="LB55" s="62"/>
      <c r="LC55" s="62"/>
      <c r="LD55" s="62"/>
      <c r="LE55" s="62"/>
      <c r="LF55" s="62"/>
      <c r="LG55" s="62"/>
      <c r="LH55" s="62"/>
      <c r="LI55" s="62"/>
    </row>
    <row r="56" spans="1:321">
      <c r="D56" s="59">
        <v>4111</v>
      </c>
      <c r="E56" s="60" t="s">
        <v>376</v>
      </c>
      <c r="F56" s="67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9"/>
      <c r="R56" s="67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67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9"/>
      <c r="AP56" s="67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9"/>
      <c r="BB56" s="67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9"/>
      <c r="BN56" s="67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9"/>
      <c r="BZ56" s="67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7">
        <v>18758147.75</v>
      </c>
      <c r="CM56" s="68">
        <v>18989881.539999999</v>
      </c>
      <c r="CN56" s="68">
        <v>18491769.34</v>
      </c>
      <c r="CO56" s="68">
        <v>18557037.07</v>
      </c>
      <c r="CP56" s="68">
        <v>18809546.539999999</v>
      </c>
      <c r="CQ56" s="68">
        <v>18845356.609999999</v>
      </c>
      <c r="CR56" s="68">
        <v>18329118.359999999</v>
      </c>
      <c r="CS56" s="68">
        <v>17729850.41</v>
      </c>
      <c r="CT56" s="68">
        <v>18635314.670000002</v>
      </c>
      <c r="CU56" s="68">
        <v>18568296.600000001</v>
      </c>
      <c r="CV56" s="68">
        <v>18594970.309999999</v>
      </c>
      <c r="CW56" s="69">
        <v>17457834.379999999</v>
      </c>
      <c r="CX56" s="67">
        <v>8161268.1699999999</v>
      </c>
      <c r="CY56" s="68">
        <v>19006831.739999998</v>
      </c>
      <c r="CZ56" s="68">
        <v>18690045.350000001</v>
      </c>
      <c r="DA56" s="68">
        <v>18847542.829999998</v>
      </c>
      <c r="DB56" s="68">
        <v>18962976.52</v>
      </c>
      <c r="DC56" s="68">
        <v>18798683.289999999</v>
      </c>
      <c r="DD56" s="68">
        <v>18728690.68</v>
      </c>
      <c r="DE56" s="68">
        <v>18176066.640000001</v>
      </c>
      <c r="DF56" s="68">
        <v>18820822.93</v>
      </c>
      <c r="DG56" s="68">
        <v>18899273.949999999</v>
      </c>
      <c r="DH56" s="68">
        <v>19064032.809999999</v>
      </c>
      <c r="DI56" s="69">
        <v>19808287.59</v>
      </c>
      <c r="DJ56" s="67">
        <v>18672267.489999998</v>
      </c>
      <c r="DK56" s="68">
        <v>18755401.350000001</v>
      </c>
      <c r="DL56" s="68">
        <v>18490790.25</v>
      </c>
      <c r="DM56" s="68">
        <v>18512111.879999999</v>
      </c>
      <c r="DN56" s="68">
        <v>18703654.850000001</v>
      </c>
      <c r="DO56" s="68">
        <v>18407099.800000001</v>
      </c>
      <c r="DP56" s="68">
        <v>18296180.899999999</v>
      </c>
      <c r="DQ56" s="68">
        <v>17822778.239999998</v>
      </c>
      <c r="DR56" s="68">
        <v>18750182.190000001</v>
      </c>
      <c r="DS56" s="68">
        <v>18466417.239999998</v>
      </c>
      <c r="DT56" s="68">
        <v>19240845.699999999</v>
      </c>
      <c r="DU56" s="69">
        <v>19226281.350000001</v>
      </c>
      <c r="DV56" s="61">
        <v>18810151.82</v>
      </c>
      <c r="DW56" s="61">
        <v>19284187.59</v>
      </c>
      <c r="DX56" s="61">
        <v>19569136.620000001</v>
      </c>
      <c r="DY56" s="61">
        <v>20109230.530000001</v>
      </c>
      <c r="DZ56" s="79">
        <v>20765765.32</v>
      </c>
      <c r="EB56" s="61">
        <v>20917895.859999999</v>
      </c>
      <c r="EC56" s="79"/>
      <c r="ED56" s="79"/>
      <c r="EE56" s="79"/>
      <c r="EF56" s="79"/>
      <c r="EG56" s="79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  <c r="IJ56" s="62"/>
      <c r="IK56" s="62"/>
      <c r="IL56" s="62"/>
      <c r="IM56" s="62"/>
      <c r="IN56" s="62"/>
      <c r="IO56" s="62"/>
      <c r="IP56" s="62"/>
      <c r="IQ56" s="62"/>
      <c r="IR56" s="62"/>
      <c r="IS56" s="62"/>
      <c r="IT56" s="62"/>
      <c r="IU56" s="62"/>
      <c r="IV56" s="62"/>
      <c r="IW56" s="62"/>
      <c r="IX56" s="62"/>
      <c r="IY56" s="62"/>
      <c r="IZ56" s="62"/>
      <c r="JA56" s="62"/>
      <c r="JB56" s="62"/>
      <c r="JC56" s="62"/>
      <c r="JD56" s="62"/>
      <c r="JE56" s="62"/>
      <c r="JF56" s="62"/>
      <c r="JG56" s="62"/>
      <c r="JH56" s="62"/>
      <c r="JI56" s="62"/>
      <c r="JJ56" s="62"/>
      <c r="JK56" s="62"/>
      <c r="JL56" s="62"/>
      <c r="JM56" s="62"/>
      <c r="JN56" s="62"/>
      <c r="JO56" s="62"/>
      <c r="JP56" s="62"/>
      <c r="JQ56" s="62"/>
      <c r="JR56" s="62"/>
      <c r="JS56" s="62"/>
      <c r="JT56" s="62"/>
      <c r="JU56" s="62"/>
      <c r="JV56" s="62"/>
      <c r="JW56" s="62"/>
      <c r="JX56" s="62"/>
      <c r="JY56" s="62"/>
      <c r="JZ56" s="62"/>
      <c r="KA56" s="62"/>
      <c r="KB56" s="62"/>
      <c r="KC56" s="62"/>
      <c r="KD56" s="62"/>
      <c r="KE56" s="62"/>
      <c r="KF56" s="62"/>
      <c r="KG56" s="62"/>
      <c r="KH56" s="62"/>
      <c r="KI56" s="62"/>
      <c r="KJ56" s="62"/>
      <c r="KK56" s="62"/>
      <c r="KL56" s="62"/>
      <c r="KM56" s="62"/>
      <c r="KN56" s="62"/>
      <c r="KO56" s="62"/>
      <c r="KP56" s="62"/>
      <c r="KQ56" s="62"/>
      <c r="KR56" s="62"/>
      <c r="KS56" s="62"/>
      <c r="KT56" s="62"/>
      <c r="KU56" s="62"/>
      <c r="KV56" s="62"/>
      <c r="KW56" s="62"/>
      <c r="KX56" s="62"/>
      <c r="KY56" s="62"/>
      <c r="KZ56" s="62"/>
      <c r="LA56" s="62"/>
      <c r="LB56" s="62"/>
      <c r="LC56" s="62"/>
      <c r="LD56" s="62"/>
      <c r="LE56" s="62"/>
      <c r="LF56" s="62"/>
      <c r="LG56" s="62"/>
      <c r="LH56" s="62"/>
      <c r="LI56" s="62"/>
    </row>
    <row r="57" spans="1:321">
      <c r="D57" s="59">
        <v>4112</v>
      </c>
      <c r="E57" s="60" t="s">
        <v>377</v>
      </c>
      <c r="F57" s="67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9"/>
      <c r="R57" s="67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67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9"/>
      <c r="AP57" s="67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9"/>
      <c r="BB57" s="67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9"/>
      <c r="BN57" s="67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9"/>
      <c r="BZ57" s="67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7">
        <v>2431094.83</v>
      </c>
      <c r="CM57" s="68">
        <v>2651304.4</v>
      </c>
      <c r="CN57" s="68">
        <v>1609026.99</v>
      </c>
      <c r="CO57" s="68">
        <v>2182272.67</v>
      </c>
      <c r="CP57" s="68">
        <v>3617366.32</v>
      </c>
      <c r="CQ57" s="68">
        <v>1485049.09</v>
      </c>
      <c r="CR57" s="68">
        <v>3587807.79</v>
      </c>
      <c r="CS57" s="68">
        <v>2639815.1</v>
      </c>
      <c r="CT57" s="68">
        <v>2531424.2999999998</v>
      </c>
      <c r="CU57" s="68">
        <v>2534399.56</v>
      </c>
      <c r="CV57" s="68">
        <v>3159372.88</v>
      </c>
      <c r="CW57" s="69">
        <v>2753289.49</v>
      </c>
      <c r="CX57" s="67">
        <v>2675264.75</v>
      </c>
      <c r="CY57" s="68">
        <v>2705751.2</v>
      </c>
      <c r="CZ57" s="68">
        <v>2103408.4900000002</v>
      </c>
      <c r="DA57" s="68">
        <v>3206091.22</v>
      </c>
      <c r="DB57" s="68">
        <v>3060411.29</v>
      </c>
      <c r="DC57" s="68">
        <v>2151902.88</v>
      </c>
      <c r="DD57" s="68">
        <v>2665901.84</v>
      </c>
      <c r="DE57" s="68">
        <v>3141726.94</v>
      </c>
      <c r="DF57" s="68">
        <v>2763120.84</v>
      </c>
      <c r="DG57" s="68">
        <v>1664258.18</v>
      </c>
      <c r="DH57" s="68">
        <v>3999693.79</v>
      </c>
      <c r="DI57" s="69">
        <v>3380577.32</v>
      </c>
      <c r="DJ57" s="67">
        <v>2653067.73</v>
      </c>
      <c r="DK57" s="68">
        <v>2593668</v>
      </c>
      <c r="DL57" s="68">
        <v>2630710.91</v>
      </c>
      <c r="DM57" s="68">
        <v>2468617.7200000002</v>
      </c>
      <c r="DN57" s="68">
        <v>2210217.2400000002</v>
      </c>
      <c r="DO57" s="68">
        <v>2694234.42</v>
      </c>
      <c r="DP57" s="68">
        <v>3135529.24</v>
      </c>
      <c r="DQ57" s="68">
        <v>2002758.54</v>
      </c>
      <c r="DR57" s="68">
        <v>3298968.3</v>
      </c>
      <c r="DS57" s="68">
        <v>2101454.42</v>
      </c>
      <c r="DT57" s="68">
        <v>3913359.49</v>
      </c>
      <c r="DU57" s="69">
        <v>2605460.7599999998</v>
      </c>
      <c r="DV57" s="61">
        <v>2579225.59</v>
      </c>
      <c r="DW57" s="61">
        <v>2209930.11</v>
      </c>
      <c r="DX57" s="61">
        <v>3166058.2</v>
      </c>
      <c r="DY57" s="61">
        <v>2833612.56</v>
      </c>
      <c r="DZ57" s="79">
        <v>2845756.22</v>
      </c>
      <c r="EB57" s="61">
        <v>2891031.89</v>
      </c>
      <c r="EC57" s="79"/>
      <c r="ED57" s="79"/>
      <c r="EE57" s="79"/>
      <c r="EF57" s="79"/>
      <c r="EG57" s="79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  <c r="IE57" s="62"/>
      <c r="IF57" s="62"/>
      <c r="IG57" s="62"/>
      <c r="IH57" s="62"/>
      <c r="II57" s="62"/>
      <c r="IJ57" s="62"/>
      <c r="IK57" s="62"/>
      <c r="IL57" s="62"/>
      <c r="IM57" s="62"/>
      <c r="IN57" s="62"/>
      <c r="IO57" s="62"/>
      <c r="IP57" s="62"/>
      <c r="IQ57" s="62"/>
      <c r="IR57" s="62"/>
      <c r="IS57" s="62"/>
      <c r="IT57" s="62"/>
      <c r="IU57" s="62"/>
      <c r="IV57" s="62"/>
      <c r="IW57" s="62"/>
      <c r="IX57" s="62"/>
      <c r="IY57" s="62"/>
      <c r="IZ57" s="62"/>
      <c r="JA57" s="62"/>
      <c r="JB57" s="62"/>
      <c r="JC57" s="62"/>
      <c r="JD57" s="62"/>
      <c r="JE57" s="62"/>
      <c r="JF57" s="62"/>
      <c r="JG57" s="62"/>
      <c r="JH57" s="62"/>
      <c r="JI57" s="62"/>
      <c r="JJ57" s="62"/>
      <c r="JK57" s="62"/>
      <c r="JL57" s="62"/>
      <c r="JM57" s="62"/>
      <c r="JN57" s="62"/>
      <c r="JO57" s="62"/>
      <c r="JP57" s="62"/>
      <c r="JQ57" s="62"/>
      <c r="JR57" s="62"/>
      <c r="JS57" s="62"/>
      <c r="JT57" s="62"/>
      <c r="JU57" s="62"/>
      <c r="JV57" s="62"/>
      <c r="JW57" s="62"/>
      <c r="JX57" s="62"/>
      <c r="JY57" s="62"/>
      <c r="JZ57" s="62"/>
      <c r="KA57" s="62"/>
      <c r="KB57" s="62"/>
      <c r="KC57" s="62"/>
      <c r="KD57" s="62"/>
      <c r="KE57" s="62"/>
      <c r="KF57" s="62"/>
      <c r="KG57" s="62"/>
      <c r="KH57" s="62"/>
      <c r="KI57" s="62"/>
      <c r="KJ57" s="62"/>
      <c r="KK57" s="62"/>
      <c r="KL57" s="62"/>
      <c r="KM57" s="62"/>
      <c r="KN57" s="62"/>
      <c r="KO57" s="62"/>
      <c r="KP57" s="62"/>
      <c r="KQ57" s="62"/>
      <c r="KR57" s="62"/>
      <c r="KS57" s="62"/>
      <c r="KT57" s="62"/>
      <c r="KU57" s="62"/>
      <c r="KV57" s="62"/>
      <c r="KW57" s="62"/>
      <c r="KX57" s="62"/>
      <c r="KY57" s="62"/>
      <c r="KZ57" s="62"/>
      <c r="LA57" s="62"/>
      <c r="LB57" s="62"/>
      <c r="LC57" s="62"/>
      <c r="LD57" s="62"/>
      <c r="LE57" s="62"/>
      <c r="LF57" s="62"/>
      <c r="LG57" s="62"/>
      <c r="LH57" s="62"/>
      <c r="LI57" s="62"/>
    </row>
    <row r="58" spans="1:321">
      <c r="D58" s="59">
        <v>4113</v>
      </c>
      <c r="E58" s="60" t="s">
        <v>378</v>
      </c>
      <c r="F58" s="67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9"/>
      <c r="R58" s="67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67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9"/>
      <c r="AP58" s="67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9"/>
      <c r="BB58" s="67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9"/>
      <c r="BN58" s="67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9"/>
      <c r="BZ58" s="67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7">
        <v>6343908.7599999998</v>
      </c>
      <c r="CM58" s="68">
        <v>6417211.3300000001</v>
      </c>
      <c r="CN58" s="68">
        <v>4181642.17</v>
      </c>
      <c r="CO58" s="68">
        <v>5287956.88</v>
      </c>
      <c r="CP58" s="68">
        <v>8800435.3200000003</v>
      </c>
      <c r="CQ58" s="68">
        <v>3046457.2</v>
      </c>
      <c r="CR58" s="68">
        <v>8138688.8899999904</v>
      </c>
      <c r="CS58" s="68">
        <v>6611090.3299999898</v>
      </c>
      <c r="CT58" s="68">
        <v>6272723.6100000003</v>
      </c>
      <c r="CU58" s="68">
        <v>5646318.7199999997</v>
      </c>
      <c r="CV58" s="68">
        <v>7714058.6299999999</v>
      </c>
      <c r="CW58" s="69">
        <v>6070028.1500000004</v>
      </c>
      <c r="CX58" s="67">
        <v>6537985.25</v>
      </c>
      <c r="CY58" s="68">
        <v>6565570.8700000001</v>
      </c>
      <c r="CZ58" s="68">
        <v>5120485.97</v>
      </c>
      <c r="DA58" s="68">
        <v>6909301.3700000001</v>
      </c>
      <c r="DB58" s="68">
        <v>7837021.7300000004</v>
      </c>
      <c r="DC58" s="68">
        <v>5312936.74</v>
      </c>
      <c r="DD58" s="68">
        <v>6511278.9900000002</v>
      </c>
      <c r="DE58" s="68">
        <v>7870507.0899999999</v>
      </c>
      <c r="DF58" s="68">
        <v>6748205.0300000003</v>
      </c>
      <c r="DG58" s="68">
        <v>5155134.66</v>
      </c>
      <c r="DH58" s="68">
        <v>8404579.7099999897</v>
      </c>
      <c r="DI58" s="69">
        <v>7898105.0899999999</v>
      </c>
      <c r="DJ58" s="67">
        <v>6459838.0800000001</v>
      </c>
      <c r="DK58" s="68">
        <v>6483082.8700000001</v>
      </c>
      <c r="DL58" s="68">
        <v>6393423.8700000104</v>
      </c>
      <c r="DM58" s="68">
        <v>5397618.7199999997</v>
      </c>
      <c r="DN58" s="68">
        <v>6107437.1500000004</v>
      </c>
      <c r="DO58" s="68">
        <v>6523721.71</v>
      </c>
      <c r="DP58" s="68">
        <v>7913168.71</v>
      </c>
      <c r="DQ58" s="68">
        <v>5060799.5999999996</v>
      </c>
      <c r="DR58" s="68">
        <v>8081364.7400000002</v>
      </c>
      <c r="DS58" s="68">
        <v>5301625.07</v>
      </c>
      <c r="DT58" s="68">
        <v>8428394.6099999994</v>
      </c>
      <c r="DU58" s="69">
        <v>7185325.0800000001</v>
      </c>
      <c r="DV58" s="61">
        <v>6578944.9299999997</v>
      </c>
      <c r="DW58" s="61">
        <v>5762932.5099999998</v>
      </c>
      <c r="DX58" s="61">
        <v>7819877.8099999996</v>
      </c>
      <c r="DY58" s="61">
        <v>7142795.0800000001</v>
      </c>
      <c r="DZ58" s="79">
        <v>7281303.6100000003</v>
      </c>
      <c r="EB58" s="61">
        <v>7104100.9299999997</v>
      </c>
      <c r="EC58" s="79"/>
      <c r="ED58" s="79"/>
      <c r="EE58" s="79"/>
      <c r="EF58" s="79"/>
      <c r="EG58" s="79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  <c r="IJ58" s="62"/>
      <c r="IK58" s="62"/>
      <c r="IL58" s="62"/>
      <c r="IM58" s="62"/>
      <c r="IN58" s="62"/>
      <c r="IO58" s="62"/>
      <c r="IP58" s="62"/>
      <c r="IQ58" s="62"/>
      <c r="IR58" s="62"/>
      <c r="IS58" s="62"/>
      <c r="IT58" s="62"/>
      <c r="IU58" s="62"/>
      <c r="IV58" s="62"/>
      <c r="IW58" s="62"/>
      <c r="IX58" s="62"/>
      <c r="IY58" s="62"/>
      <c r="IZ58" s="62"/>
      <c r="JA58" s="62"/>
      <c r="JB58" s="62"/>
      <c r="JC58" s="62"/>
      <c r="JD58" s="62"/>
      <c r="JE58" s="62"/>
      <c r="JF58" s="62"/>
      <c r="JG58" s="62"/>
      <c r="JH58" s="62"/>
      <c r="JI58" s="62"/>
      <c r="JJ58" s="62"/>
      <c r="JK58" s="62"/>
      <c r="JL58" s="62"/>
      <c r="JM58" s="62"/>
      <c r="JN58" s="62"/>
      <c r="JO58" s="62"/>
      <c r="JP58" s="62"/>
      <c r="JQ58" s="62"/>
      <c r="JR58" s="62"/>
      <c r="JS58" s="62"/>
      <c r="JT58" s="62"/>
      <c r="JU58" s="62"/>
      <c r="JV58" s="62"/>
      <c r="JW58" s="62"/>
      <c r="JX58" s="62"/>
      <c r="JY58" s="62"/>
      <c r="JZ58" s="62"/>
      <c r="KA58" s="62"/>
      <c r="KB58" s="62"/>
      <c r="KC58" s="62"/>
      <c r="KD58" s="62"/>
      <c r="KE58" s="62"/>
      <c r="KF58" s="62"/>
      <c r="KG58" s="62"/>
      <c r="KH58" s="62"/>
      <c r="KI58" s="62"/>
      <c r="KJ58" s="62"/>
      <c r="KK58" s="62"/>
      <c r="KL58" s="62"/>
      <c r="KM58" s="62"/>
      <c r="KN58" s="62"/>
      <c r="KO58" s="62"/>
      <c r="KP58" s="62"/>
      <c r="KQ58" s="62"/>
      <c r="KR58" s="62"/>
      <c r="KS58" s="62"/>
      <c r="KT58" s="62"/>
      <c r="KU58" s="62"/>
      <c r="KV58" s="62"/>
      <c r="KW58" s="62"/>
      <c r="KX58" s="62"/>
      <c r="KY58" s="62"/>
      <c r="KZ58" s="62"/>
      <c r="LA58" s="62"/>
      <c r="LB58" s="62"/>
      <c r="LC58" s="62"/>
      <c r="LD58" s="62"/>
      <c r="LE58" s="62"/>
      <c r="LF58" s="62"/>
      <c r="LG58" s="62"/>
      <c r="LH58" s="62"/>
      <c r="LI58" s="62"/>
    </row>
    <row r="59" spans="1:321">
      <c r="D59" s="59">
        <v>4114</v>
      </c>
      <c r="E59" s="60" t="s">
        <v>379</v>
      </c>
      <c r="F59" s="67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9"/>
      <c r="R59" s="67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67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9"/>
      <c r="AP59" s="67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9"/>
      <c r="BB59" s="67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9"/>
      <c r="BN59" s="67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9"/>
      <c r="BZ59" s="67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7">
        <v>3322321.01</v>
      </c>
      <c r="CM59" s="68">
        <v>3390483.39</v>
      </c>
      <c r="CN59" s="68">
        <v>2701315.02</v>
      </c>
      <c r="CO59" s="68">
        <v>2868289.19</v>
      </c>
      <c r="CP59" s="68">
        <v>4326169.67</v>
      </c>
      <c r="CQ59" s="68">
        <v>2193301.4300000002</v>
      </c>
      <c r="CR59" s="68">
        <v>3951470.64</v>
      </c>
      <c r="CS59" s="68">
        <v>3347001.8199999901</v>
      </c>
      <c r="CT59" s="68">
        <v>3269202.28</v>
      </c>
      <c r="CU59" s="68">
        <v>3242322.49</v>
      </c>
      <c r="CV59" s="68">
        <v>3315110.63</v>
      </c>
      <c r="CW59" s="69">
        <v>3155457.28</v>
      </c>
      <c r="CX59" s="67">
        <v>3348368.99</v>
      </c>
      <c r="CY59" s="68">
        <v>3600953.83</v>
      </c>
      <c r="CZ59" s="68">
        <v>2741076.26</v>
      </c>
      <c r="DA59" s="68">
        <v>3971889.81</v>
      </c>
      <c r="DB59" s="68">
        <v>3439099.77</v>
      </c>
      <c r="DC59" s="68">
        <v>2874066.8</v>
      </c>
      <c r="DD59" s="68">
        <v>3346931.65</v>
      </c>
      <c r="DE59" s="68">
        <v>3895981.34</v>
      </c>
      <c r="DF59" s="68">
        <v>3516555.98</v>
      </c>
      <c r="DG59" s="68">
        <v>2321253.34</v>
      </c>
      <c r="DH59" s="68">
        <v>4573579.57</v>
      </c>
      <c r="DI59" s="69">
        <v>4015725.66</v>
      </c>
      <c r="DJ59" s="67">
        <v>3373120.68</v>
      </c>
      <c r="DK59" s="68">
        <v>3503325.82</v>
      </c>
      <c r="DL59" s="68">
        <v>3476486.85</v>
      </c>
      <c r="DM59" s="68">
        <v>2985803.3</v>
      </c>
      <c r="DN59" s="68">
        <v>3403057.29</v>
      </c>
      <c r="DO59" s="68">
        <v>3553842.78</v>
      </c>
      <c r="DP59" s="68">
        <v>4133837.51</v>
      </c>
      <c r="DQ59" s="68">
        <v>2815699.88</v>
      </c>
      <c r="DR59" s="68">
        <v>4297429.7400000095</v>
      </c>
      <c r="DS59" s="68">
        <v>2973218.07</v>
      </c>
      <c r="DT59" s="68">
        <v>4185686.94</v>
      </c>
      <c r="DU59" s="69">
        <v>3984201.4200000102</v>
      </c>
      <c r="DV59" s="61">
        <v>3545898.12</v>
      </c>
      <c r="DW59" s="61">
        <v>2930435.57</v>
      </c>
      <c r="DX59" s="61">
        <v>4123893.97</v>
      </c>
      <c r="DY59" s="61">
        <v>3863235.38</v>
      </c>
      <c r="DZ59" s="79">
        <v>3914226.01</v>
      </c>
      <c r="EB59" s="61">
        <v>3904156.29</v>
      </c>
      <c r="EC59" s="79"/>
      <c r="ED59" s="79"/>
      <c r="EE59" s="79"/>
      <c r="EF59" s="79"/>
      <c r="EG59" s="79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2"/>
      <c r="HI59" s="62"/>
      <c r="HJ59" s="62"/>
      <c r="HK59" s="62"/>
      <c r="HL59" s="62"/>
      <c r="HM59" s="62"/>
      <c r="HN59" s="62"/>
      <c r="HO59" s="62"/>
      <c r="HP59" s="62"/>
      <c r="HQ59" s="62"/>
      <c r="HR59" s="62"/>
      <c r="HS59" s="62"/>
      <c r="HT59" s="62"/>
      <c r="HU59" s="62"/>
      <c r="HV59" s="62"/>
      <c r="HW59" s="62"/>
      <c r="HX59" s="62"/>
      <c r="HY59" s="62"/>
      <c r="HZ59" s="62"/>
      <c r="IA59" s="62"/>
      <c r="IB59" s="62"/>
      <c r="IC59" s="62"/>
      <c r="ID59" s="62"/>
      <c r="IE59" s="62"/>
      <c r="IF59" s="62"/>
      <c r="IG59" s="62"/>
      <c r="IH59" s="62"/>
      <c r="II59" s="62"/>
      <c r="IJ59" s="62"/>
      <c r="IK59" s="62"/>
      <c r="IL59" s="62"/>
      <c r="IM59" s="62"/>
      <c r="IN59" s="62"/>
      <c r="IO59" s="62"/>
      <c r="IP59" s="62"/>
      <c r="IQ59" s="62"/>
      <c r="IR59" s="62"/>
      <c r="IS59" s="62"/>
      <c r="IT59" s="62"/>
      <c r="IU59" s="62"/>
      <c r="IV59" s="62"/>
      <c r="IW59" s="62"/>
      <c r="IX59" s="62"/>
      <c r="IY59" s="62"/>
      <c r="IZ59" s="62"/>
      <c r="JA59" s="62"/>
      <c r="JB59" s="62"/>
      <c r="JC59" s="62"/>
      <c r="JD59" s="62"/>
      <c r="JE59" s="62"/>
      <c r="JF59" s="62"/>
      <c r="JG59" s="62"/>
      <c r="JH59" s="62"/>
      <c r="JI59" s="62"/>
      <c r="JJ59" s="62"/>
      <c r="JK59" s="62"/>
      <c r="JL59" s="62"/>
      <c r="JM59" s="62"/>
      <c r="JN59" s="62"/>
      <c r="JO59" s="62"/>
      <c r="JP59" s="62"/>
      <c r="JQ59" s="62"/>
      <c r="JR59" s="62"/>
      <c r="JS59" s="62"/>
      <c r="JT59" s="62"/>
      <c r="JU59" s="62"/>
      <c r="JV59" s="62"/>
      <c r="JW59" s="62"/>
      <c r="JX59" s="62"/>
      <c r="JY59" s="62"/>
      <c r="JZ59" s="62"/>
      <c r="KA59" s="62"/>
      <c r="KB59" s="62"/>
      <c r="KC59" s="62"/>
      <c r="KD59" s="62"/>
      <c r="KE59" s="62"/>
      <c r="KF59" s="62"/>
      <c r="KG59" s="62"/>
      <c r="KH59" s="62"/>
      <c r="KI59" s="62"/>
      <c r="KJ59" s="62"/>
      <c r="KK59" s="62"/>
      <c r="KL59" s="62"/>
      <c r="KM59" s="62"/>
      <c r="KN59" s="62"/>
      <c r="KO59" s="62"/>
      <c r="KP59" s="62"/>
      <c r="KQ59" s="62"/>
      <c r="KR59" s="62"/>
      <c r="KS59" s="62"/>
      <c r="KT59" s="62"/>
      <c r="KU59" s="62"/>
      <c r="KV59" s="62"/>
      <c r="KW59" s="62"/>
      <c r="KX59" s="62"/>
      <c r="KY59" s="62"/>
      <c r="KZ59" s="62"/>
      <c r="LA59" s="62"/>
      <c r="LB59" s="62"/>
      <c r="LC59" s="62"/>
      <c r="LD59" s="62"/>
      <c r="LE59" s="62"/>
      <c r="LF59" s="62"/>
      <c r="LG59" s="62"/>
      <c r="LH59" s="62"/>
      <c r="LI59" s="62"/>
    </row>
    <row r="60" spans="1:321">
      <c r="D60" s="59">
        <v>4115</v>
      </c>
      <c r="E60" s="60" t="s">
        <v>380</v>
      </c>
      <c r="F60" s="67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9"/>
      <c r="R60" s="67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67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9"/>
      <c r="AP60" s="67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9"/>
      <c r="BB60" s="67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9"/>
      <c r="BN60" s="67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9"/>
      <c r="BZ60" s="67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7">
        <v>115904.21</v>
      </c>
      <c r="CM60" s="68">
        <v>318662.90999999997</v>
      </c>
      <c r="CN60" s="68">
        <v>297383.43</v>
      </c>
      <c r="CO60" s="68">
        <v>363190.13</v>
      </c>
      <c r="CP60" s="68">
        <v>455075.64</v>
      </c>
      <c r="CQ60" s="68">
        <v>288889.96999999997</v>
      </c>
      <c r="CR60" s="68">
        <v>636361.43000000005</v>
      </c>
      <c r="CS60" s="68">
        <v>380606.51</v>
      </c>
      <c r="CT60" s="68">
        <v>367540.33</v>
      </c>
      <c r="CU60" s="68">
        <v>99326.78</v>
      </c>
      <c r="CV60" s="68">
        <v>726279.29</v>
      </c>
      <c r="CW60" s="69">
        <v>392837.7</v>
      </c>
      <c r="CX60" s="67">
        <v>376570.85</v>
      </c>
      <c r="CY60" s="68">
        <v>111852.09</v>
      </c>
      <c r="CZ60" s="68">
        <v>295692.08</v>
      </c>
      <c r="DA60" s="68">
        <v>465792.82</v>
      </c>
      <c r="DB60" s="68">
        <v>692399.700000001</v>
      </c>
      <c r="DC60" s="68">
        <v>22480.79</v>
      </c>
      <c r="DD60" s="68">
        <v>385908.04</v>
      </c>
      <c r="DE60" s="68">
        <v>483504.78</v>
      </c>
      <c r="DF60" s="68">
        <v>341387.69</v>
      </c>
      <c r="DG60" s="68">
        <v>577094.77999999898</v>
      </c>
      <c r="DH60" s="68">
        <v>485252.679999999</v>
      </c>
      <c r="DI60" s="69">
        <v>459099.57</v>
      </c>
      <c r="DJ60" s="67">
        <v>258837.44</v>
      </c>
      <c r="DK60" s="68">
        <v>377645.11</v>
      </c>
      <c r="DL60" s="68">
        <v>106234.28</v>
      </c>
      <c r="DM60" s="68">
        <v>662954.94999999995</v>
      </c>
      <c r="DN60" s="68">
        <v>295507.93</v>
      </c>
      <c r="DO60" s="68">
        <v>376587.68</v>
      </c>
      <c r="DP60" s="68">
        <v>446070.52</v>
      </c>
      <c r="DQ60" s="68">
        <v>319292.25</v>
      </c>
      <c r="DR60" s="68">
        <v>475304.26999999903</v>
      </c>
      <c r="DS60" s="68">
        <v>298746.86</v>
      </c>
      <c r="DT60" s="68">
        <v>177754.7</v>
      </c>
      <c r="DU60" s="69">
        <v>708577.33</v>
      </c>
      <c r="DV60" s="61">
        <v>4125.96</v>
      </c>
      <c r="DW60" s="61">
        <v>276522.67</v>
      </c>
      <c r="DX60" s="61">
        <v>540684</v>
      </c>
      <c r="DY60" s="61">
        <v>684055.47</v>
      </c>
      <c r="DZ60" s="79">
        <v>309176.73</v>
      </c>
      <c r="EB60" s="61">
        <v>102387.25</v>
      </c>
      <c r="EC60" s="79"/>
      <c r="ED60" s="79"/>
      <c r="EE60" s="79"/>
      <c r="EF60" s="79"/>
      <c r="EG60" s="79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2"/>
      <c r="HI60" s="62"/>
      <c r="HJ60" s="62"/>
      <c r="HK60" s="62"/>
      <c r="HL60" s="62"/>
      <c r="HM60" s="62"/>
      <c r="HN60" s="62"/>
      <c r="HO60" s="62"/>
      <c r="HP60" s="62"/>
      <c r="HQ60" s="62"/>
      <c r="HR60" s="62"/>
      <c r="HS60" s="62"/>
      <c r="HT60" s="62"/>
      <c r="HU60" s="62"/>
      <c r="HV60" s="62"/>
      <c r="HW60" s="62"/>
      <c r="HX60" s="62"/>
      <c r="HY60" s="62"/>
      <c r="HZ60" s="62"/>
      <c r="IA60" s="62"/>
      <c r="IB60" s="62"/>
      <c r="IC60" s="62"/>
      <c r="ID60" s="62"/>
      <c r="IE60" s="62"/>
      <c r="IF60" s="62"/>
      <c r="IG60" s="62"/>
      <c r="IH60" s="62"/>
      <c r="II60" s="62"/>
      <c r="IJ60" s="62"/>
      <c r="IK60" s="62"/>
      <c r="IL60" s="62"/>
      <c r="IM60" s="62"/>
      <c r="IN60" s="62"/>
      <c r="IO60" s="62"/>
      <c r="IP60" s="62"/>
      <c r="IQ60" s="62"/>
      <c r="IR60" s="62"/>
      <c r="IS60" s="62"/>
      <c r="IT60" s="62"/>
      <c r="IU60" s="62"/>
      <c r="IV60" s="62"/>
      <c r="IW60" s="62"/>
      <c r="IX60" s="62"/>
      <c r="IY60" s="62"/>
      <c r="IZ60" s="62"/>
      <c r="JA60" s="62"/>
      <c r="JB60" s="62"/>
      <c r="JC60" s="62"/>
      <c r="JD60" s="62"/>
      <c r="JE60" s="62"/>
      <c r="JF60" s="62"/>
      <c r="JG60" s="62"/>
      <c r="JH60" s="62"/>
      <c r="JI60" s="62"/>
      <c r="JJ60" s="62"/>
      <c r="JK60" s="62"/>
      <c r="JL60" s="62"/>
      <c r="JM60" s="62"/>
      <c r="JN60" s="62"/>
      <c r="JO60" s="62"/>
      <c r="JP60" s="62"/>
      <c r="JQ60" s="62"/>
      <c r="JR60" s="62"/>
      <c r="JS60" s="62"/>
      <c r="JT60" s="62"/>
      <c r="JU60" s="62"/>
      <c r="JV60" s="62"/>
      <c r="JW60" s="62"/>
      <c r="JX60" s="62"/>
      <c r="JY60" s="62"/>
      <c r="JZ60" s="62"/>
      <c r="KA60" s="62"/>
      <c r="KB60" s="62"/>
      <c r="KC60" s="62"/>
      <c r="KD60" s="62"/>
      <c r="KE60" s="62"/>
      <c r="KF60" s="62"/>
      <c r="KG60" s="62"/>
      <c r="KH60" s="62"/>
      <c r="KI60" s="62"/>
      <c r="KJ60" s="62"/>
      <c r="KK60" s="62"/>
      <c r="KL60" s="62"/>
      <c r="KM60" s="62"/>
      <c r="KN60" s="62"/>
      <c r="KO60" s="62"/>
      <c r="KP60" s="62"/>
      <c r="KQ60" s="62"/>
      <c r="KR60" s="62"/>
      <c r="KS60" s="62"/>
      <c r="KT60" s="62"/>
      <c r="KU60" s="62"/>
      <c r="KV60" s="62"/>
      <c r="KW60" s="62"/>
      <c r="KX60" s="62"/>
      <c r="KY60" s="62"/>
      <c r="KZ60" s="62"/>
      <c r="LA60" s="62"/>
      <c r="LB60" s="62"/>
      <c r="LC60" s="62"/>
      <c r="LD60" s="62"/>
      <c r="LE60" s="62"/>
      <c r="LF60" s="62"/>
      <c r="LG60" s="62"/>
      <c r="LH60" s="62"/>
      <c r="LI60" s="62"/>
    </row>
    <row r="61" spans="1:321">
      <c r="C61" s="59">
        <v>412</v>
      </c>
      <c r="D61" s="59">
        <v>412</v>
      </c>
      <c r="E61" s="60" t="s">
        <v>148</v>
      </c>
      <c r="F61" s="67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9"/>
      <c r="R61" s="67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67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9"/>
      <c r="AP61" s="67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9"/>
      <c r="BB61" s="67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9"/>
      <c r="BN61" s="67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9"/>
      <c r="BZ61" s="67"/>
      <c r="CA61" s="68"/>
      <c r="CB61" s="68"/>
      <c r="CC61" s="68"/>
      <c r="CD61" s="68"/>
      <c r="CE61" s="68"/>
      <c r="CF61" s="68"/>
      <c r="CG61" s="68"/>
      <c r="CH61" s="68"/>
      <c r="CI61" s="68"/>
      <c r="CJ61" s="68"/>
      <c r="CK61" s="68"/>
      <c r="CL61" s="67">
        <v>1584140</v>
      </c>
      <c r="CM61" s="68">
        <v>494224.28</v>
      </c>
      <c r="CN61" s="68">
        <v>1196100.06</v>
      </c>
      <c r="CO61" s="68">
        <v>1826112.77</v>
      </c>
      <c r="CP61" s="68">
        <v>404313.79</v>
      </c>
      <c r="CQ61" s="68">
        <v>460176.89</v>
      </c>
      <c r="CR61" s="68">
        <v>807342.56</v>
      </c>
      <c r="CS61" s="68">
        <v>1160483.8899999999</v>
      </c>
      <c r="CT61" s="68">
        <v>545300.31000000006</v>
      </c>
      <c r="CU61" s="68">
        <v>1094017.3799999999</v>
      </c>
      <c r="CV61" s="68">
        <v>577957.56000000006</v>
      </c>
      <c r="CW61" s="69">
        <v>1871989.55</v>
      </c>
      <c r="CX61" s="67">
        <v>457230.76</v>
      </c>
      <c r="CY61" s="68">
        <v>830960.58</v>
      </c>
      <c r="CZ61" s="68">
        <v>1229108.71</v>
      </c>
      <c r="DA61" s="68">
        <v>599996.69999999995</v>
      </c>
      <c r="DB61" s="68">
        <v>632900.06000000006</v>
      </c>
      <c r="DC61" s="68">
        <v>864219.62</v>
      </c>
      <c r="DD61" s="68">
        <v>1336714.5900000001</v>
      </c>
      <c r="DE61" s="68">
        <v>741331.48</v>
      </c>
      <c r="DF61" s="68">
        <v>832925.12</v>
      </c>
      <c r="DG61" s="68">
        <v>1049704.29</v>
      </c>
      <c r="DH61" s="68">
        <v>1162813.24</v>
      </c>
      <c r="DI61" s="69">
        <v>2219902.9500000002</v>
      </c>
      <c r="DJ61" s="67">
        <v>328535.11</v>
      </c>
      <c r="DK61" s="68">
        <v>789684.18</v>
      </c>
      <c r="DL61" s="68">
        <v>1468702.27</v>
      </c>
      <c r="DM61" s="68">
        <v>2150331.69</v>
      </c>
      <c r="DN61" s="68">
        <v>810631.57</v>
      </c>
      <c r="DO61" s="68">
        <v>1139622.4099999999</v>
      </c>
      <c r="DP61" s="68">
        <v>1180689.73</v>
      </c>
      <c r="DQ61" s="68">
        <v>642520.9</v>
      </c>
      <c r="DR61" s="68">
        <v>969018.3</v>
      </c>
      <c r="DS61" s="68">
        <v>1028829.69</v>
      </c>
      <c r="DT61" s="68">
        <v>1069021.58</v>
      </c>
      <c r="DU61" s="69">
        <v>3162906.38</v>
      </c>
      <c r="DV61" s="61">
        <v>373398.5</v>
      </c>
      <c r="DW61" s="83">
        <v>912951.5</v>
      </c>
      <c r="DX61" s="83">
        <v>1664641.69</v>
      </c>
      <c r="DY61" s="61">
        <v>1074250.1000000001</v>
      </c>
      <c r="DZ61" s="79">
        <v>417784.36</v>
      </c>
      <c r="EA61" s="79">
        <v>953614.09</v>
      </c>
      <c r="EB61" s="79">
        <v>350540.56</v>
      </c>
      <c r="EC61" s="84">
        <v>896917.02</v>
      </c>
      <c r="ED61" s="79">
        <v>368001.48</v>
      </c>
      <c r="EE61" s="79">
        <v>888747.37</v>
      </c>
      <c r="EF61" s="79">
        <v>585553.42000000004</v>
      </c>
      <c r="EG61" s="79">
        <v>2421211.9500000002</v>
      </c>
      <c r="EH61" s="62">
        <v>70065.570000000007</v>
      </c>
      <c r="EI61" s="62">
        <v>920424.11</v>
      </c>
      <c r="EJ61" s="62">
        <v>936990.91</v>
      </c>
      <c r="EK61" s="62">
        <v>685539.4</v>
      </c>
      <c r="EL61" s="62">
        <v>763370.53</v>
      </c>
      <c r="EM61" s="62">
        <v>888374.79</v>
      </c>
      <c r="EN61" s="62">
        <v>845413.4</v>
      </c>
      <c r="EO61" s="62">
        <v>982340.29</v>
      </c>
      <c r="EP61" s="62">
        <v>710611.47</v>
      </c>
      <c r="EQ61" s="62">
        <v>864910.68</v>
      </c>
      <c r="ER61" s="62">
        <v>1028980.9</v>
      </c>
      <c r="ES61" s="62">
        <v>1951716.68</v>
      </c>
      <c r="ET61" s="62">
        <v>363127.64</v>
      </c>
      <c r="EU61" s="62">
        <v>848575.97</v>
      </c>
      <c r="EV61" s="62">
        <v>933832.27</v>
      </c>
      <c r="EW61" s="62">
        <v>983620.43</v>
      </c>
      <c r="EX61" s="62">
        <v>835475.63</v>
      </c>
      <c r="EY61" s="62">
        <v>1164263.1200000001</v>
      </c>
      <c r="EZ61" s="62">
        <v>853949.13</v>
      </c>
      <c r="FA61" s="62">
        <v>804909.73</v>
      </c>
      <c r="FB61" s="62">
        <v>963637.57</v>
      </c>
      <c r="FC61" s="62">
        <v>1011368.26</v>
      </c>
      <c r="FD61" s="62">
        <v>1172083.78</v>
      </c>
      <c r="FE61" s="62">
        <v>3278096.68</v>
      </c>
      <c r="FF61" s="62">
        <v>432711.77</v>
      </c>
      <c r="FG61" s="62">
        <v>1037317.51</v>
      </c>
      <c r="FH61" s="62">
        <v>739399.21</v>
      </c>
      <c r="FI61" s="62">
        <v>1606178.02</v>
      </c>
      <c r="FJ61" s="62">
        <v>1045130.65</v>
      </c>
      <c r="FK61" s="62">
        <v>649835.03</v>
      </c>
      <c r="FL61" s="1">
        <v>1612312.96</v>
      </c>
      <c r="FM61" s="62">
        <v>863508.85</v>
      </c>
      <c r="FN61" s="62">
        <v>1072543.83</v>
      </c>
      <c r="FO61" s="62">
        <v>1121921.44</v>
      </c>
      <c r="FP61" s="62">
        <v>1060149.58</v>
      </c>
      <c r="FQ61" s="62">
        <v>3987318.08</v>
      </c>
      <c r="FR61" s="62">
        <v>476603.42</v>
      </c>
      <c r="FS61" s="62">
        <v>1082169.6499999999</v>
      </c>
      <c r="FT61" s="62">
        <v>1108872.33</v>
      </c>
      <c r="FU61" s="62">
        <v>652598.81999999995</v>
      </c>
      <c r="FV61" s="62">
        <v>376000.24</v>
      </c>
      <c r="FW61" s="62">
        <v>1295023.8</v>
      </c>
      <c r="FX61" s="62">
        <v>1295373.58</v>
      </c>
      <c r="FY61" s="62">
        <v>1018490.55</v>
      </c>
      <c r="FZ61" s="62">
        <v>1121276.3999999999</v>
      </c>
      <c r="GA61" s="62">
        <v>1092201.97</v>
      </c>
      <c r="GB61" s="62">
        <v>886334.18</v>
      </c>
      <c r="GC61" s="62">
        <v>2514701.59</v>
      </c>
      <c r="GD61" s="62"/>
      <c r="GF61" s="62"/>
      <c r="GG61" s="62"/>
      <c r="GH61" s="62"/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2"/>
      <c r="GU61" s="62"/>
      <c r="GV61" s="62"/>
      <c r="GW61" s="62"/>
      <c r="GX61" s="62"/>
      <c r="GY61" s="62"/>
      <c r="GZ61" s="62"/>
      <c r="HA61" s="62"/>
      <c r="HB61" s="62"/>
      <c r="HC61" s="62"/>
      <c r="HD61" s="62"/>
      <c r="HE61" s="62"/>
      <c r="HF61" s="62"/>
      <c r="HG61" s="62"/>
      <c r="HH61" s="62"/>
      <c r="HI61" s="62"/>
      <c r="HJ61" s="62"/>
      <c r="HK61" s="62"/>
      <c r="HL61" s="62"/>
      <c r="HM61" s="62"/>
      <c r="HN61" s="62"/>
      <c r="HO61" s="62"/>
      <c r="HP61" s="62"/>
      <c r="HQ61" s="62"/>
      <c r="HR61" s="62"/>
      <c r="HS61" s="62"/>
      <c r="HT61" s="62"/>
      <c r="HU61" s="62"/>
      <c r="HV61" s="62"/>
      <c r="HW61" s="62"/>
      <c r="HX61" s="62"/>
      <c r="HY61" s="62"/>
      <c r="HZ61" s="62"/>
      <c r="IA61" s="62"/>
      <c r="IB61" s="62"/>
      <c r="IC61" s="62"/>
      <c r="ID61" s="62"/>
      <c r="IE61" s="62"/>
      <c r="IF61" s="62"/>
      <c r="IG61" s="62"/>
      <c r="IH61" s="62"/>
      <c r="II61" s="62"/>
      <c r="IJ61" s="62"/>
      <c r="IK61" s="62"/>
      <c r="IL61" s="62"/>
      <c r="IM61" s="62"/>
      <c r="IN61" s="62"/>
      <c r="IO61" s="62"/>
      <c r="IP61" s="62"/>
      <c r="IQ61" s="62"/>
      <c r="IR61" s="62"/>
      <c r="IS61" s="62"/>
      <c r="IT61" s="62"/>
      <c r="IU61" s="62"/>
      <c r="IV61" s="62"/>
      <c r="IW61" s="62"/>
      <c r="IX61" s="62"/>
      <c r="IY61" s="62"/>
      <c r="IZ61" s="62"/>
      <c r="JA61" s="62"/>
      <c r="JB61" s="62"/>
      <c r="JC61" s="62"/>
      <c r="JD61" s="62"/>
      <c r="JE61" s="62"/>
      <c r="JF61" s="62"/>
      <c r="JG61" s="62"/>
      <c r="JH61" s="62"/>
      <c r="JI61" s="62"/>
      <c r="JJ61" s="62"/>
      <c r="JK61" s="62"/>
      <c r="JL61" s="62"/>
      <c r="JM61" s="62"/>
      <c r="JN61" s="62"/>
      <c r="JO61" s="62"/>
      <c r="JP61" s="62"/>
      <c r="JQ61" s="62"/>
      <c r="JR61" s="62"/>
      <c r="JS61" s="62"/>
      <c r="JT61" s="62"/>
      <c r="JU61" s="62"/>
      <c r="JV61" s="62"/>
      <c r="JW61" s="62"/>
      <c r="JX61" s="62"/>
      <c r="JY61" s="62"/>
      <c r="JZ61" s="62"/>
      <c r="KA61" s="62"/>
      <c r="KB61" s="62"/>
      <c r="KC61" s="62"/>
      <c r="KD61" s="62"/>
      <c r="KE61" s="62"/>
      <c r="KF61" s="62"/>
      <c r="KG61" s="62"/>
      <c r="KH61" s="62"/>
      <c r="KI61" s="62"/>
      <c r="KJ61" s="62"/>
      <c r="KK61" s="62"/>
      <c r="KL61" s="62"/>
      <c r="KM61" s="62"/>
      <c r="KN61" s="62"/>
      <c r="KO61" s="62"/>
      <c r="KP61" s="62"/>
      <c r="KQ61" s="62"/>
      <c r="KR61" s="62"/>
      <c r="KS61" s="62"/>
      <c r="KT61" s="62"/>
      <c r="KU61" s="62"/>
      <c r="KV61" s="62"/>
      <c r="KW61" s="62"/>
      <c r="KX61" s="62"/>
      <c r="KY61" s="62"/>
      <c r="KZ61" s="62"/>
      <c r="LA61" s="62"/>
      <c r="LB61" s="62"/>
      <c r="LC61" s="62"/>
      <c r="LD61" s="62"/>
      <c r="LE61" s="62"/>
      <c r="LF61" s="62"/>
      <c r="LG61" s="62"/>
      <c r="LH61" s="62"/>
      <c r="LI61" s="62"/>
    </row>
    <row r="62" spans="1:321">
      <c r="D62" s="59">
        <v>4121</v>
      </c>
      <c r="E62" s="60" t="s">
        <v>381</v>
      </c>
      <c r="F62" s="67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9"/>
      <c r="R62" s="67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67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9"/>
      <c r="AP62" s="67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9"/>
      <c r="BB62" s="67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9"/>
      <c r="BN62" s="67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9"/>
      <c r="BZ62" s="67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7">
        <v>0</v>
      </c>
      <c r="CM62" s="68">
        <v>0</v>
      </c>
      <c r="CN62" s="68">
        <v>0</v>
      </c>
      <c r="CO62" s="68">
        <v>0</v>
      </c>
      <c r="CP62" s="68">
        <v>0</v>
      </c>
      <c r="CQ62" s="68">
        <v>0</v>
      </c>
      <c r="CR62" s="68">
        <v>0</v>
      </c>
      <c r="CS62" s="68">
        <v>0</v>
      </c>
      <c r="CT62" s="68">
        <v>0</v>
      </c>
      <c r="CU62" s="68">
        <v>0</v>
      </c>
      <c r="CV62" s="68">
        <v>0</v>
      </c>
      <c r="CW62" s="69">
        <v>0</v>
      </c>
      <c r="CX62" s="67">
        <v>0</v>
      </c>
      <c r="CY62" s="68">
        <v>0</v>
      </c>
      <c r="CZ62" s="68">
        <v>0</v>
      </c>
      <c r="DA62" s="68">
        <v>0</v>
      </c>
      <c r="DB62" s="68">
        <v>0</v>
      </c>
      <c r="DC62" s="68">
        <v>0</v>
      </c>
      <c r="DD62" s="68">
        <v>0</v>
      </c>
      <c r="DE62" s="68">
        <v>0</v>
      </c>
      <c r="DF62" s="68">
        <v>0</v>
      </c>
      <c r="DG62" s="68">
        <v>0</v>
      </c>
      <c r="DH62" s="68">
        <v>0</v>
      </c>
      <c r="DI62" s="69">
        <v>0</v>
      </c>
      <c r="DJ62" s="67">
        <v>0</v>
      </c>
      <c r="DK62" s="68">
        <v>0</v>
      </c>
      <c r="DL62" s="68">
        <v>0</v>
      </c>
      <c r="DM62" s="68">
        <v>0</v>
      </c>
      <c r="DN62" s="68">
        <v>0</v>
      </c>
      <c r="DO62" s="68">
        <v>0</v>
      </c>
      <c r="DP62" s="68">
        <v>0</v>
      </c>
      <c r="DQ62" s="68">
        <v>0</v>
      </c>
      <c r="DR62" s="68">
        <v>0</v>
      </c>
      <c r="DS62" s="68">
        <v>0</v>
      </c>
      <c r="DT62" s="68">
        <v>0</v>
      </c>
      <c r="DU62" s="69">
        <v>0</v>
      </c>
      <c r="DV62" s="61">
        <v>0</v>
      </c>
      <c r="DW62" s="61">
        <v>0</v>
      </c>
      <c r="DX62" s="61">
        <v>0</v>
      </c>
      <c r="DY62" s="61">
        <v>0</v>
      </c>
      <c r="DZ62" s="79"/>
      <c r="EB62" s="85"/>
      <c r="EC62" s="79"/>
      <c r="ED62" s="79"/>
      <c r="EE62" s="79"/>
      <c r="EF62" s="79"/>
      <c r="EG62" s="79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70"/>
      <c r="EU62" s="70"/>
      <c r="EV62" s="70"/>
      <c r="EW62" s="70"/>
      <c r="EX62" s="70"/>
      <c r="EY62" s="70"/>
      <c r="EZ62" s="70"/>
      <c r="FA62" s="70"/>
      <c r="FB62" s="70"/>
      <c r="FC62" s="70"/>
      <c r="FD62" s="62"/>
      <c r="FE62" s="62"/>
      <c r="FF62" s="62"/>
      <c r="FG62" s="62"/>
      <c r="FH62" s="62"/>
      <c r="FI62" s="62"/>
      <c r="FJ62" s="62"/>
      <c r="FK62" s="62"/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2"/>
      <c r="FX62" s="62"/>
      <c r="FY62" s="62"/>
      <c r="FZ62" s="62"/>
      <c r="GA62" s="62"/>
      <c r="GB62" s="62"/>
      <c r="GC62" s="62"/>
      <c r="GD62" s="62"/>
      <c r="GF62" s="62"/>
      <c r="GG62" s="62"/>
      <c r="GH62" s="62"/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2"/>
      <c r="GU62" s="62"/>
      <c r="GV62" s="62"/>
      <c r="GW62" s="62"/>
      <c r="GX62" s="62"/>
      <c r="GY62" s="62"/>
      <c r="GZ62" s="62"/>
      <c r="HA62" s="62"/>
      <c r="HB62" s="62"/>
      <c r="HC62" s="62"/>
      <c r="HD62" s="62"/>
      <c r="HE62" s="62"/>
      <c r="HF62" s="62"/>
      <c r="HG62" s="62"/>
      <c r="HH62" s="62"/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62"/>
      <c r="HX62" s="62"/>
      <c r="HY62" s="62"/>
      <c r="HZ62" s="62"/>
      <c r="IA62" s="62"/>
      <c r="IB62" s="62"/>
      <c r="IC62" s="62"/>
      <c r="ID62" s="62"/>
      <c r="IE62" s="62"/>
      <c r="IF62" s="62"/>
      <c r="IG62" s="62"/>
      <c r="IH62" s="62"/>
      <c r="II62" s="62"/>
      <c r="IJ62" s="62"/>
      <c r="IK62" s="62"/>
      <c r="IL62" s="62"/>
      <c r="IM62" s="62"/>
      <c r="IN62" s="62"/>
      <c r="IO62" s="62"/>
      <c r="IP62" s="62"/>
      <c r="IQ62" s="62"/>
      <c r="IR62" s="62"/>
      <c r="IS62" s="62"/>
      <c r="IT62" s="62"/>
      <c r="IU62" s="62"/>
      <c r="IV62" s="62"/>
      <c r="IW62" s="62"/>
      <c r="IX62" s="62"/>
      <c r="IY62" s="62"/>
      <c r="IZ62" s="62"/>
      <c r="JA62" s="62"/>
      <c r="JB62" s="62"/>
      <c r="JC62" s="62"/>
      <c r="JD62" s="62"/>
      <c r="JE62" s="62"/>
      <c r="JF62" s="62"/>
      <c r="JG62" s="62"/>
      <c r="JH62" s="62"/>
      <c r="JI62" s="62"/>
      <c r="JJ62" s="62"/>
      <c r="JK62" s="62"/>
      <c r="JL62" s="62"/>
      <c r="JM62" s="62"/>
      <c r="JN62" s="62"/>
      <c r="JO62" s="62"/>
      <c r="JP62" s="62"/>
      <c r="JQ62" s="62"/>
      <c r="JR62" s="62"/>
      <c r="JS62" s="62"/>
      <c r="JT62" s="62"/>
      <c r="JU62" s="62"/>
      <c r="JV62" s="62"/>
      <c r="JW62" s="62"/>
      <c r="JX62" s="62"/>
      <c r="JY62" s="62"/>
      <c r="JZ62" s="62"/>
      <c r="KA62" s="62"/>
      <c r="KB62" s="62"/>
      <c r="KC62" s="62"/>
      <c r="KD62" s="62"/>
      <c r="KE62" s="62"/>
      <c r="KF62" s="62"/>
      <c r="KG62" s="62"/>
      <c r="KH62" s="62"/>
      <c r="KI62" s="62"/>
      <c r="KJ62" s="62"/>
      <c r="KK62" s="62"/>
      <c r="KL62" s="62"/>
      <c r="KM62" s="62"/>
      <c r="KN62" s="62"/>
      <c r="KO62" s="62"/>
      <c r="KP62" s="62"/>
      <c r="KQ62" s="62"/>
      <c r="KR62" s="62"/>
      <c r="KS62" s="62"/>
      <c r="KT62" s="62"/>
      <c r="KU62" s="62"/>
      <c r="KV62" s="62"/>
      <c r="KW62" s="62"/>
      <c r="KX62" s="62"/>
      <c r="KY62" s="62"/>
      <c r="KZ62" s="62"/>
      <c r="LA62" s="62"/>
      <c r="LB62" s="62"/>
      <c r="LC62" s="62"/>
      <c r="LD62" s="62"/>
      <c r="LE62" s="62"/>
      <c r="LF62" s="62"/>
      <c r="LG62" s="62"/>
      <c r="LH62" s="62"/>
      <c r="LI62" s="62"/>
    </row>
    <row r="63" spans="1:321" ht="30">
      <c r="D63" s="59">
        <v>4122</v>
      </c>
      <c r="E63" s="60" t="s">
        <v>382</v>
      </c>
      <c r="F63" s="67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9"/>
      <c r="R63" s="67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67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9"/>
      <c r="AP63" s="67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9"/>
      <c r="BB63" s="67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9"/>
      <c r="BN63" s="67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9"/>
      <c r="BZ63" s="67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7">
        <v>95525.15</v>
      </c>
      <c r="CM63" s="68">
        <v>91532.839999999793</v>
      </c>
      <c r="CN63" s="68">
        <v>259848.53</v>
      </c>
      <c r="CO63" s="68">
        <v>174792.77</v>
      </c>
      <c r="CP63" s="68">
        <v>62540.99</v>
      </c>
      <c r="CQ63" s="68">
        <v>169673.51</v>
      </c>
      <c r="CR63" s="68">
        <v>176301.61</v>
      </c>
      <c r="CS63" s="68">
        <v>265807.46999999997</v>
      </c>
      <c r="CT63" s="68">
        <v>94053.199999999793</v>
      </c>
      <c r="CU63" s="68">
        <v>250038.07</v>
      </c>
      <c r="CV63" s="68">
        <v>76916.069999999803</v>
      </c>
      <c r="CW63" s="69">
        <v>351202.67</v>
      </c>
      <c r="CX63" s="67">
        <v>110004.99</v>
      </c>
      <c r="CY63" s="68">
        <v>62670.12</v>
      </c>
      <c r="CZ63" s="68">
        <v>165102.32</v>
      </c>
      <c r="DA63" s="68">
        <v>221698.78</v>
      </c>
      <c r="DB63" s="68">
        <v>198457.41</v>
      </c>
      <c r="DC63" s="68">
        <v>163753.71</v>
      </c>
      <c r="DD63" s="68">
        <v>66630.97</v>
      </c>
      <c r="DE63" s="68">
        <v>187153.51</v>
      </c>
      <c r="DF63" s="68">
        <v>188558.53</v>
      </c>
      <c r="DG63" s="68">
        <v>271663.46999999997</v>
      </c>
      <c r="DH63" s="68">
        <v>61567.12</v>
      </c>
      <c r="DI63" s="69">
        <v>379473.52</v>
      </c>
      <c r="DJ63" s="67">
        <v>99742.12</v>
      </c>
      <c r="DK63" s="68">
        <v>77774.55</v>
      </c>
      <c r="DL63" s="68">
        <v>179968.1</v>
      </c>
      <c r="DM63" s="68">
        <v>276562.09000000003</v>
      </c>
      <c r="DN63" s="68">
        <v>176035.15</v>
      </c>
      <c r="DO63" s="68">
        <v>178052.43</v>
      </c>
      <c r="DP63" s="68">
        <v>188909.79</v>
      </c>
      <c r="DQ63" s="68">
        <v>159610.72</v>
      </c>
      <c r="DR63" s="68">
        <v>177017.32</v>
      </c>
      <c r="DS63" s="68">
        <v>184511.69</v>
      </c>
      <c r="DT63" s="68">
        <v>184175.14</v>
      </c>
      <c r="DU63" s="69">
        <v>283046.8</v>
      </c>
      <c r="DV63" s="61">
        <v>95165.33</v>
      </c>
      <c r="DW63" s="61">
        <v>104222.06</v>
      </c>
      <c r="DX63" s="61">
        <v>275227.92</v>
      </c>
      <c r="DY63" s="61">
        <v>238697.98</v>
      </c>
      <c r="DZ63" s="79">
        <v>59779.199999999997</v>
      </c>
      <c r="EB63" s="79"/>
      <c r="EC63" s="79"/>
      <c r="ED63" s="79"/>
      <c r="EE63" s="79"/>
      <c r="EF63" s="79"/>
      <c r="EG63" s="79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70"/>
      <c r="EU63" s="70"/>
      <c r="EV63" s="70"/>
      <c r="EW63" s="70"/>
      <c r="EX63" s="70"/>
      <c r="EY63" s="70"/>
      <c r="EZ63" s="70"/>
      <c r="FA63" s="70"/>
      <c r="FB63" s="70"/>
      <c r="FC63" s="70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  <c r="IK63" s="62"/>
      <c r="IL63" s="62"/>
      <c r="IM63" s="62"/>
      <c r="IN63" s="62"/>
      <c r="IO63" s="62"/>
      <c r="IP63" s="62"/>
      <c r="IQ63" s="62"/>
      <c r="IR63" s="62"/>
      <c r="IS63" s="62"/>
      <c r="IT63" s="62"/>
      <c r="IU63" s="62"/>
      <c r="IV63" s="62"/>
      <c r="IW63" s="62"/>
      <c r="IX63" s="62"/>
      <c r="IY63" s="62"/>
      <c r="IZ63" s="62"/>
      <c r="JA63" s="62"/>
      <c r="JB63" s="62"/>
      <c r="JC63" s="62"/>
      <c r="JD63" s="62"/>
      <c r="JE63" s="62"/>
      <c r="JF63" s="62"/>
      <c r="JG63" s="62"/>
      <c r="JH63" s="62"/>
      <c r="JI63" s="62"/>
      <c r="JJ63" s="62"/>
      <c r="JK63" s="62"/>
      <c r="JL63" s="62"/>
      <c r="JM63" s="62"/>
      <c r="JN63" s="62"/>
      <c r="JO63" s="62"/>
      <c r="JP63" s="62"/>
      <c r="JQ63" s="62"/>
      <c r="JR63" s="62"/>
      <c r="JS63" s="62"/>
      <c r="JT63" s="62"/>
      <c r="JU63" s="62"/>
      <c r="JV63" s="62"/>
      <c r="JW63" s="62"/>
      <c r="JX63" s="62"/>
      <c r="JY63" s="62"/>
      <c r="JZ63" s="62"/>
      <c r="KA63" s="62"/>
      <c r="KB63" s="62"/>
      <c r="KC63" s="62"/>
      <c r="KD63" s="62"/>
      <c r="KE63" s="62"/>
      <c r="KF63" s="62"/>
      <c r="KG63" s="62"/>
      <c r="KH63" s="62"/>
      <c r="KI63" s="62"/>
      <c r="KJ63" s="62"/>
      <c r="KK63" s="62"/>
      <c r="KL63" s="62"/>
      <c r="KM63" s="62"/>
      <c r="KN63" s="62"/>
      <c r="KO63" s="62"/>
      <c r="KP63" s="62"/>
      <c r="KQ63" s="62"/>
      <c r="KR63" s="62"/>
      <c r="KS63" s="62"/>
      <c r="KT63" s="62"/>
      <c r="KU63" s="62"/>
      <c r="KV63" s="62"/>
      <c r="KW63" s="62"/>
      <c r="KX63" s="62"/>
      <c r="KY63" s="62"/>
      <c r="KZ63" s="62"/>
      <c r="LA63" s="62"/>
      <c r="LB63" s="62"/>
      <c r="LC63" s="62"/>
      <c r="LD63" s="62"/>
      <c r="LE63" s="62"/>
      <c r="LF63" s="62"/>
      <c r="LG63" s="62"/>
      <c r="LH63" s="62"/>
      <c r="LI63" s="62"/>
    </row>
    <row r="64" spans="1:321">
      <c r="D64" s="59">
        <v>4123</v>
      </c>
      <c r="E64" s="60" t="s">
        <v>383</v>
      </c>
      <c r="F64" s="67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9"/>
      <c r="R64" s="67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67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9"/>
      <c r="AP64" s="67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9"/>
      <c r="BB64" s="67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9"/>
      <c r="BN64" s="67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9"/>
      <c r="BZ64" s="67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7">
        <v>7143.1</v>
      </c>
      <c r="CM64" s="68">
        <v>7130.23</v>
      </c>
      <c r="CN64" s="68">
        <v>20976.6</v>
      </c>
      <c r="CO64" s="68">
        <v>22470.16</v>
      </c>
      <c r="CP64" s="68">
        <v>8532.18</v>
      </c>
      <c r="CQ64" s="68">
        <v>7912.78</v>
      </c>
      <c r="CR64" s="68">
        <v>14068.38</v>
      </c>
      <c r="CS64" s="68">
        <v>27578.57</v>
      </c>
      <c r="CT64" s="68">
        <v>6278.68</v>
      </c>
      <c r="CU64" s="68">
        <v>13598.8</v>
      </c>
      <c r="CV64" s="68">
        <v>7547.7</v>
      </c>
      <c r="CW64" s="69">
        <v>28632.5</v>
      </c>
      <c r="CX64" s="67">
        <v>14134.22</v>
      </c>
      <c r="CY64" s="68">
        <v>1038.8</v>
      </c>
      <c r="CZ64" s="68">
        <v>13398.02</v>
      </c>
      <c r="DA64" s="68">
        <v>30075.17</v>
      </c>
      <c r="DB64" s="68">
        <v>14974.9</v>
      </c>
      <c r="DC64" s="68">
        <v>13611.1</v>
      </c>
      <c r="DD64" s="68">
        <v>1055</v>
      </c>
      <c r="DE64" s="68">
        <v>24517.22</v>
      </c>
      <c r="DF64" s="68">
        <v>6236.49</v>
      </c>
      <c r="DG64" s="68">
        <v>37585.11</v>
      </c>
      <c r="DH64" s="68">
        <v>1166.4000000000001</v>
      </c>
      <c r="DI64" s="69">
        <v>35685.26</v>
      </c>
      <c r="DJ64" s="67">
        <v>16501.02</v>
      </c>
      <c r="DK64" s="68">
        <v>515.6</v>
      </c>
      <c r="DL64" s="68">
        <v>17701.669999999998</v>
      </c>
      <c r="DM64" s="68">
        <v>33216.080000000002</v>
      </c>
      <c r="DN64" s="68">
        <v>16903.580000000002</v>
      </c>
      <c r="DO64" s="68">
        <v>12818.67</v>
      </c>
      <c r="DP64" s="68">
        <v>28123.15</v>
      </c>
      <c r="DQ64" s="68">
        <v>9687.9699999999993</v>
      </c>
      <c r="DR64" s="68">
        <v>16575.490000000002</v>
      </c>
      <c r="DS64" s="68">
        <v>16325.65</v>
      </c>
      <c r="DT64" s="68">
        <v>28277.72</v>
      </c>
      <c r="DU64" s="69">
        <v>42464.89</v>
      </c>
      <c r="DV64" s="61">
        <v>10558.88</v>
      </c>
      <c r="DW64" s="61">
        <v>15251.43</v>
      </c>
      <c r="DX64" s="61">
        <v>44456.34</v>
      </c>
      <c r="DY64" s="61">
        <v>38163.870000000003</v>
      </c>
      <c r="DZ64" s="79">
        <v>7883.61</v>
      </c>
      <c r="EB64" s="79"/>
      <c r="EC64" s="79"/>
      <c r="ED64" s="79"/>
      <c r="EE64" s="79"/>
      <c r="EF64" s="79"/>
      <c r="EG64" s="79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70"/>
      <c r="EU64" s="70"/>
      <c r="EV64" s="70"/>
      <c r="EW64" s="70"/>
      <c r="EX64" s="70"/>
      <c r="EY64" s="70"/>
      <c r="EZ64" s="70"/>
      <c r="FA64" s="70"/>
      <c r="FB64" s="70"/>
      <c r="FC64" s="70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  <c r="IK64" s="62"/>
      <c r="IL64" s="62"/>
      <c r="IM64" s="62"/>
      <c r="IN64" s="62"/>
      <c r="IO64" s="62"/>
      <c r="IP64" s="62"/>
      <c r="IQ64" s="62"/>
      <c r="IR64" s="62"/>
      <c r="IS64" s="62"/>
      <c r="IT64" s="62"/>
      <c r="IU64" s="62"/>
      <c r="IV64" s="62"/>
      <c r="IW64" s="62"/>
      <c r="IX64" s="62"/>
      <c r="IY64" s="62"/>
      <c r="IZ64" s="62"/>
      <c r="JA64" s="62"/>
      <c r="JB64" s="62"/>
      <c r="JC64" s="62"/>
      <c r="JD64" s="62"/>
      <c r="JE64" s="62"/>
      <c r="JF64" s="62"/>
      <c r="JG64" s="62"/>
      <c r="JH64" s="62"/>
      <c r="JI64" s="62"/>
      <c r="JJ64" s="62"/>
      <c r="JK64" s="62"/>
      <c r="JL64" s="62"/>
      <c r="JM64" s="62"/>
      <c r="JN64" s="62"/>
      <c r="JO64" s="62"/>
      <c r="JP64" s="62"/>
      <c r="JQ64" s="62"/>
      <c r="JR64" s="62"/>
      <c r="JS64" s="62"/>
      <c r="JT64" s="62"/>
      <c r="JU64" s="62"/>
      <c r="JV64" s="62"/>
      <c r="JW64" s="62"/>
      <c r="JX64" s="62"/>
      <c r="JY64" s="62"/>
      <c r="JZ64" s="62"/>
      <c r="KA64" s="62"/>
      <c r="KB64" s="62"/>
      <c r="KC64" s="62"/>
      <c r="KD64" s="62"/>
      <c r="KE64" s="62"/>
      <c r="KF64" s="62"/>
      <c r="KG64" s="62"/>
      <c r="KH64" s="62"/>
      <c r="KI64" s="62"/>
      <c r="KJ64" s="62"/>
      <c r="KK64" s="62"/>
      <c r="KL64" s="62"/>
      <c r="KM64" s="62"/>
      <c r="KN64" s="62"/>
      <c r="KO64" s="62"/>
      <c r="KP64" s="62"/>
      <c r="KQ64" s="62"/>
      <c r="KR64" s="62"/>
      <c r="KS64" s="62"/>
      <c r="KT64" s="62"/>
      <c r="KU64" s="62"/>
      <c r="KV64" s="62"/>
      <c r="KW64" s="62"/>
      <c r="KX64" s="62"/>
      <c r="KY64" s="62"/>
      <c r="KZ64" s="62"/>
      <c r="LA64" s="62"/>
      <c r="LB64" s="62"/>
      <c r="LC64" s="62"/>
      <c r="LD64" s="62"/>
      <c r="LE64" s="62"/>
      <c r="LF64" s="62"/>
      <c r="LG64" s="62"/>
      <c r="LH64" s="62"/>
      <c r="LI64" s="62"/>
    </row>
    <row r="65" spans="3:321">
      <c r="D65" s="59">
        <v>4124</v>
      </c>
      <c r="E65" s="60" t="s">
        <v>384</v>
      </c>
      <c r="F65" s="67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9"/>
      <c r="R65" s="67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67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9"/>
      <c r="AP65" s="67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9"/>
      <c r="BB65" s="67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9"/>
      <c r="BN65" s="67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9"/>
      <c r="BZ65" s="67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7">
        <v>0</v>
      </c>
      <c r="CM65" s="68">
        <v>0</v>
      </c>
      <c r="CN65" s="68">
        <v>7919.99</v>
      </c>
      <c r="CO65" s="68">
        <v>880</v>
      </c>
      <c r="CP65" s="68">
        <v>3300</v>
      </c>
      <c r="CQ65" s="68">
        <v>275.02</v>
      </c>
      <c r="CR65" s="68">
        <v>0</v>
      </c>
      <c r="CS65" s="68">
        <v>0</v>
      </c>
      <c r="CT65" s="68">
        <v>0</v>
      </c>
      <c r="CU65" s="68">
        <v>0</v>
      </c>
      <c r="CV65" s="68">
        <v>0</v>
      </c>
      <c r="CW65" s="69">
        <v>880</v>
      </c>
      <c r="CX65" s="67">
        <v>0</v>
      </c>
      <c r="CY65" s="68">
        <v>0</v>
      </c>
      <c r="CZ65" s="68">
        <v>0</v>
      </c>
      <c r="DA65" s="68">
        <v>0</v>
      </c>
      <c r="DB65" s="68">
        <v>0</v>
      </c>
      <c r="DC65" s="68">
        <v>220</v>
      </c>
      <c r="DD65" s="68">
        <v>0</v>
      </c>
      <c r="DE65" s="68">
        <v>0</v>
      </c>
      <c r="DF65" s="68">
        <v>1260</v>
      </c>
      <c r="DG65" s="68">
        <v>4410</v>
      </c>
      <c r="DH65" s="68">
        <v>1100</v>
      </c>
      <c r="DI65" s="69">
        <v>2014.53</v>
      </c>
      <c r="DJ65" s="67">
        <v>0</v>
      </c>
      <c r="DK65" s="68">
        <v>294.91000000000003</v>
      </c>
      <c r="DL65" s="68">
        <v>1179.6199999999999</v>
      </c>
      <c r="DM65" s="68">
        <v>0</v>
      </c>
      <c r="DN65" s="68">
        <v>2000</v>
      </c>
      <c r="DO65" s="68">
        <v>324</v>
      </c>
      <c r="DP65" s="68">
        <v>540</v>
      </c>
      <c r="DQ65" s="68">
        <v>0</v>
      </c>
      <c r="DR65" s="68">
        <v>805.82</v>
      </c>
      <c r="DS65" s="68">
        <v>913.11</v>
      </c>
      <c r="DT65" s="68">
        <v>0</v>
      </c>
      <c r="DU65" s="69">
        <v>19318.560000000001</v>
      </c>
      <c r="DV65" s="61">
        <v>4233.17</v>
      </c>
      <c r="DW65" s="61">
        <v>12074.17</v>
      </c>
      <c r="DX65" s="61">
        <v>4144.1899999999996</v>
      </c>
      <c r="DY65" s="61">
        <v>12548.54</v>
      </c>
      <c r="DZ65" s="79">
        <v>9697.1299999999992</v>
      </c>
      <c r="EB65" s="79"/>
      <c r="EC65" s="79"/>
      <c r="ED65" s="79"/>
      <c r="EE65" s="79"/>
      <c r="EF65" s="79"/>
      <c r="EG65" s="79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70"/>
      <c r="EU65" s="70"/>
      <c r="EV65" s="70"/>
      <c r="EW65" s="70"/>
      <c r="EX65" s="70"/>
      <c r="EY65" s="70"/>
      <c r="EZ65" s="70"/>
      <c r="FA65" s="70"/>
      <c r="FB65" s="70"/>
      <c r="FC65" s="70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2"/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  <c r="IJ65" s="62"/>
      <c r="IK65" s="62"/>
      <c r="IL65" s="62"/>
      <c r="IM65" s="62"/>
      <c r="IN65" s="62"/>
      <c r="IO65" s="62"/>
      <c r="IP65" s="62"/>
      <c r="IQ65" s="62"/>
      <c r="IR65" s="62"/>
      <c r="IS65" s="62"/>
      <c r="IT65" s="62"/>
      <c r="IU65" s="62"/>
      <c r="IV65" s="62"/>
      <c r="IW65" s="62"/>
      <c r="IX65" s="62"/>
      <c r="IY65" s="62"/>
      <c r="IZ65" s="62"/>
      <c r="JA65" s="62"/>
      <c r="JB65" s="62"/>
      <c r="JC65" s="62"/>
      <c r="JD65" s="62"/>
      <c r="JE65" s="62"/>
      <c r="JF65" s="62"/>
      <c r="JG65" s="62"/>
      <c r="JH65" s="62"/>
      <c r="JI65" s="62"/>
      <c r="JJ65" s="62"/>
      <c r="JK65" s="62"/>
      <c r="JL65" s="62"/>
      <c r="JM65" s="62"/>
      <c r="JN65" s="62"/>
      <c r="JO65" s="62"/>
      <c r="JP65" s="62"/>
      <c r="JQ65" s="62"/>
      <c r="JR65" s="62"/>
      <c r="JS65" s="62"/>
      <c r="JT65" s="62"/>
      <c r="JU65" s="62"/>
      <c r="JV65" s="62"/>
      <c r="JW65" s="62"/>
      <c r="JX65" s="62"/>
      <c r="JY65" s="62"/>
      <c r="JZ65" s="62"/>
      <c r="KA65" s="62"/>
      <c r="KB65" s="62"/>
      <c r="KC65" s="62"/>
      <c r="KD65" s="62"/>
      <c r="KE65" s="62"/>
      <c r="KF65" s="62"/>
      <c r="KG65" s="62"/>
      <c r="KH65" s="62"/>
      <c r="KI65" s="62"/>
      <c r="KJ65" s="62"/>
      <c r="KK65" s="62"/>
      <c r="KL65" s="62"/>
      <c r="KM65" s="62"/>
      <c r="KN65" s="62"/>
      <c r="KO65" s="62"/>
      <c r="KP65" s="62"/>
      <c r="KQ65" s="62"/>
      <c r="KR65" s="62"/>
      <c r="KS65" s="62"/>
      <c r="KT65" s="62"/>
      <c r="KU65" s="62"/>
      <c r="KV65" s="62"/>
      <c r="KW65" s="62"/>
      <c r="KX65" s="62"/>
      <c r="KY65" s="62"/>
      <c r="KZ65" s="62"/>
      <c r="LA65" s="62"/>
      <c r="LB65" s="62"/>
      <c r="LC65" s="62"/>
      <c r="LD65" s="62"/>
      <c r="LE65" s="62"/>
      <c r="LF65" s="62"/>
      <c r="LG65" s="62"/>
      <c r="LH65" s="62"/>
      <c r="LI65" s="62"/>
    </row>
    <row r="66" spans="3:321">
      <c r="D66" s="59">
        <v>4125</v>
      </c>
      <c r="E66" s="60" t="s">
        <v>385</v>
      </c>
      <c r="F66" s="67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9"/>
      <c r="R66" s="67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67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9"/>
      <c r="AP66" s="67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9"/>
      <c r="BB66" s="67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9"/>
      <c r="BN66" s="67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9"/>
      <c r="BZ66" s="67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7">
        <v>1221485.56</v>
      </c>
      <c r="CM66" s="68">
        <v>153412.51</v>
      </c>
      <c r="CN66" s="68">
        <v>56693.120000000003</v>
      </c>
      <c r="CO66" s="68">
        <v>567562.18000000005</v>
      </c>
      <c r="CP66" s="68">
        <v>5494.36</v>
      </c>
      <c r="CQ66" s="68">
        <v>28468.67</v>
      </c>
      <c r="CR66" s="68">
        <v>22699.85</v>
      </c>
      <c r="CS66" s="68">
        <v>59440.05</v>
      </c>
      <c r="CT66" s="68">
        <v>100283.12</v>
      </c>
      <c r="CU66" s="68">
        <v>119534.84</v>
      </c>
      <c r="CV66" s="68">
        <v>42742.42</v>
      </c>
      <c r="CW66" s="69">
        <v>104816.25</v>
      </c>
      <c r="CX66" s="67">
        <v>15491.8</v>
      </c>
      <c r="CY66" s="68">
        <v>102229.24</v>
      </c>
      <c r="CZ66" s="68">
        <v>200176.31</v>
      </c>
      <c r="DA66" s="68">
        <v>1469.35</v>
      </c>
      <c r="DB66" s="68">
        <v>11340</v>
      </c>
      <c r="DC66" s="68">
        <v>97217.66</v>
      </c>
      <c r="DD66" s="68">
        <v>219731.72</v>
      </c>
      <c r="DE66" s="68">
        <v>31001.49</v>
      </c>
      <c r="DF66" s="68">
        <v>60523.16</v>
      </c>
      <c r="DG66" s="68">
        <v>49442.15</v>
      </c>
      <c r="DH66" s="68">
        <v>5032.93</v>
      </c>
      <c r="DI66" s="69">
        <v>384453.1</v>
      </c>
      <c r="DJ66" s="67">
        <v>0</v>
      </c>
      <c r="DK66" s="68">
        <v>274901.46999999997</v>
      </c>
      <c r="DL66" s="68">
        <v>65751.509999999995</v>
      </c>
      <c r="DM66" s="68">
        <v>1027806.83</v>
      </c>
      <c r="DN66" s="68">
        <v>48147.18</v>
      </c>
      <c r="DO66" s="68">
        <v>226080.85</v>
      </c>
      <c r="DP66" s="68">
        <v>37414.660000000003</v>
      </c>
      <c r="DQ66" s="68">
        <v>19070</v>
      </c>
      <c r="DR66" s="68">
        <v>116401.85</v>
      </c>
      <c r="DS66" s="68">
        <v>133549.82</v>
      </c>
      <c r="DT66" s="68">
        <v>71913.899999999994</v>
      </c>
      <c r="DU66" s="69">
        <v>484010.46</v>
      </c>
      <c r="DV66" s="61">
        <v>16043.37</v>
      </c>
      <c r="DW66" s="61">
        <v>94975.51</v>
      </c>
      <c r="DX66" s="61">
        <v>101851.98</v>
      </c>
      <c r="DY66" s="61">
        <v>46668.74</v>
      </c>
      <c r="DZ66" s="79">
        <v>31685.72</v>
      </c>
      <c r="EB66" s="79"/>
      <c r="EC66" s="79"/>
      <c r="ED66" s="79"/>
      <c r="EE66" s="79"/>
      <c r="EF66" s="79"/>
      <c r="EG66" s="79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70"/>
      <c r="EU66" s="70"/>
      <c r="EV66" s="70"/>
      <c r="EW66" s="70"/>
      <c r="EX66" s="70"/>
      <c r="EY66" s="70"/>
      <c r="EZ66" s="70"/>
      <c r="FA66" s="70"/>
      <c r="FB66" s="70"/>
      <c r="FC66" s="70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2"/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  <c r="IJ66" s="62"/>
      <c r="IK66" s="62"/>
      <c r="IL66" s="62"/>
      <c r="IM66" s="62"/>
      <c r="IN66" s="62"/>
      <c r="IO66" s="62"/>
      <c r="IP66" s="62"/>
      <c r="IQ66" s="62"/>
      <c r="IR66" s="62"/>
      <c r="IS66" s="62"/>
      <c r="IT66" s="62"/>
      <c r="IU66" s="62"/>
      <c r="IV66" s="62"/>
      <c r="IW66" s="62"/>
      <c r="IX66" s="62"/>
      <c r="IY66" s="62"/>
      <c r="IZ66" s="62"/>
      <c r="JA66" s="62"/>
      <c r="JB66" s="62"/>
      <c r="JC66" s="62"/>
      <c r="JD66" s="62"/>
      <c r="JE66" s="62"/>
      <c r="JF66" s="62"/>
      <c r="JG66" s="62"/>
      <c r="JH66" s="62"/>
      <c r="JI66" s="62"/>
      <c r="JJ66" s="62"/>
      <c r="JK66" s="62"/>
      <c r="JL66" s="62"/>
      <c r="JM66" s="62"/>
      <c r="JN66" s="62"/>
      <c r="JO66" s="62"/>
      <c r="JP66" s="62"/>
      <c r="JQ66" s="62"/>
      <c r="JR66" s="62"/>
      <c r="JS66" s="62"/>
      <c r="JT66" s="62"/>
      <c r="JU66" s="62"/>
      <c r="JV66" s="62"/>
      <c r="JW66" s="62"/>
      <c r="JX66" s="62"/>
      <c r="JY66" s="62"/>
      <c r="JZ66" s="62"/>
      <c r="KA66" s="62"/>
      <c r="KB66" s="62"/>
      <c r="KC66" s="62"/>
      <c r="KD66" s="62"/>
      <c r="KE66" s="62"/>
      <c r="KF66" s="62"/>
      <c r="KG66" s="62"/>
      <c r="KH66" s="62"/>
      <c r="KI66" s="62"/>
      <c r="KJ66" s="62"/>
      <c r="KK66" s="62"/>
      <c r="KL66" s="62"/>
      <c r="KM66" s="62"/>
      <c r="KN66" s="62"/>
      <c r="KO66" s="62"/>
      <c r="KP66" s="62"/>
      <c r="KQ66" s="62"/>
      <c r="KR66" s="62"/>
      <c r="KS66" s="62"/>
      <c r="KT66" s="62"/>
      <c r="KU66" s="62"/>
      <c r="KV66" s="62"/>
      <c r="KW66" s="62"/>
      <c r="KX66" s="62"/>
      <c r="KY66" s="62"/>
      <c r="KZ66" s="62"/>
      <c r="LA66" s="62"/>
      <c r="LB66" s="62"/>
      <c r="LC66" s="62"/>
      <c r="LD66" s="62"/>
      <c r="LE66" s="62"/>
      <c r="LF66" s="62"/>
      <c r="LG66" s="62"/>
      <c r="LH66" s="62"/>
      <c r="LI66" s="62"/>
    </row>
    <row r="67" spans="3:321" ht="30">
      <c r="D67" s="59">
        <v>4126</v>
      </c>
      <c r="E67" s="60" t="s">
        <v>386</v>
      </c>
      <c r="F67" s="67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9"/>
      <c r="R67" s="67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67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9"/>
      <c r="AP67" s="67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9"/>
      <c r="BB67" s="67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9"/>
      <c r="BN67" s="67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9"/>
      <c r="BZ67" s="67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7">
        <v>31182.18</v>
      </c>
      <c r="CM67" s="68">
        <v>31469.98</v>
      </c>
      <c r="CN67" s="68">
        <v>31469.98</v>
      </c>
      <c r="CO67" s="68">
        <v>31084.34</v>
      </c>
      <c r="CP67" s="68">
        <v>31855.62</v>
      </c>
      <c r="CQ67" s="68">
        <v>0</v>
      </c>
      <c r="CR67" s="68">
        <v>31096.04</v>
      </c>
      <c r="CS67" s="68">
        <v>62885.88</v>
      </c>
      <c r="CT67" s="68">
        <v>31512.39</v>
      </c>
      <c r="CU67" s="68">
        <v>37819.769999999997</v>
      </c>
      <c r="CV67" s="68">
        <v>608.33000000000004</v>
      </c>
      <c r="CW67" s="69">
        <v>68136.240000000005</v>
      </c>
      <c r="CX67" s="67">
        <v>19725</v>
      </c>
      <c r="CY67" s="68">
        <v>11535.51</v>
      </c>
      <c r="CZ67" s="68">
        <v>51319.14</v>
      </c>
      <c r="DA67" s="68">
        <v>11121.94</v>
      </c>
      <c r="DB67" s="68">
        <v>62396.37</v>
      </c>
      <c r="DC67" s="68">
        <v>30961.360000000001</v>
      </c>
      <c r="DD67" s="68">
        <v>0</v>
      </c>
      <c r="DE67" s="68">
        <v>60775.96</v>
      </c>
      <c r="DF67" s="68">
        <v>30387.98</v>
      </c>
      <c r="DG67" s="68">
        <v>49979.39</v>
      </c>
      <c r="DH67" s="68">
        <v>29574.48</v>
      </c>
      <c r="DI67" s="69">
        <v>48672.17</v>
      </c>
      <c r="DJ67" s="67">
        <v>0</v>
      </c>
      <c r="DK67" s="68">
        <v>30596.16</v>
      </c>
      <c r="DL67" s="68">
        <v>30222.22</v>
      </c>
      <c r="DM67" s="68">
        <v>61273.45</v>
      </c>
      <c r="DN67" s="68">
        <v>0</v>
      </c>
      <c r="DO67" s="68">
        <v>62783.55</v>
      </c>
      <c r="DP67" s="68">
        <v>0</v>
      </c>
      <c r="DQ67" s="68">
        <v>43620.53</v>
      </c>
      <c r="DR67" s="68">
        <v>31470.53</v>
      </c>
      <c r="DS67" s="68">
        <v>31382.89</v>
      </c>
      <c r="DT67" s="68">
        <v>31078.76</v>
      </c>
      <c r="DU67" s="69">
        <v>80889.11</v>
      </c>
      <c r="DV67" s="61">
        <v>31222.68</v>
      </c>
      <c r="DW67" s="61">
        <v>31022.85</v>
      </c>
      <c r="DX67" s="61">
        <v>14904.38</v>
      </c>
      <c r="DY67" s="61">
        <v>0</v>
      </c>
      <c r="DZ67" s="79">
        <v>5440.55</v>
      </c>
      <c r="EB67" s="79"/>
      <c r="EC67" s="79"/>
      <c r="ED67" s="79"/>
      <c r="EE67" s="79"/>
      <c r="EF67" s="79"/>
      <c r="EG67" s="79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70"/>
      <c r="EU67" s="70"/>
      <c r="EV67" s="70"/>
      <c r="EW67" s="70"/>
      <c r="EX67" s="70"/>
      <c r="EY67" s="70"/>
      <c r="EZ67" s="70"/>
      <c r="FA67" s="70"/>
      <c r="FB67" s="70"/>
      <c r="FC67" s="70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  <c r="IJ67" s="62"/>
      <c r="IK67" s="62"/>
      <c r="IL67" s="62"/>
      <c r="IM67" s="62"/>
      <c r="IN67" s="62"/>
      <c r="IO67" s="62"/>
      <c r="IP67" s="62"/>
      <c r="IQ67" s="62"/>
      <c r="IR67" s="62"/>
      <c r="IS67" s="62"/>
      <c r="IT67" s="62"/>
      <c r="IU67" s="62"/>
      <c r="IV67" s="62"/>
      <c r="IW67" s="62"/>
      <c r="IX67" s="62"/>
      <c r="IY67" s="62"/>
      <c r="IZ67" s="62"/>
      <c r="JA67" s="62"/>
      <c r="JB67" s="62"/>
      <c r="JC67" s="62"/>
      <c r="JD67" s="62"/>
      <c r="JE67" s="62"/>
      <c r="JF67" s="62"/>
      <c r="JG67" s="62"/>
      <c r="JH67" s="62"/>
      <c r="JI67" s="62"/>
      <c r="JJ67" s="62"/>
      <c r="JK67" s="62"/>
      <c r="JL67" s="62"/>
      <c r="JM67" s="62"/>
      <c r="JN67" s="62"/>
      <c r="JO67" s="62"/>
      <c r="JP67" s="62"/>
      <c r="JQ67" s="62"/>
      <c r="JR67" s="62"/>
      <c r="JS67" s="62"/>
      <c r="JT67" s="62"/>
      <c r="JU67" s="62"/>
      <c r="JV67" s="62"/>
      <c r="JW67" s="62"/>
      <c r="JX67" s="62"/>
      <c r="JY67" s="62"/>
      <c r="JZ67" s="62"/>
      <c r="KA67" s="62"/>
      <c r="KB67" s="62"/>
      <c r="KC67" s="62"/>
      <c r="KD67" s="62"/>
      <c r="KE67" s="62"/>
      <c r="KF67" s="62"/>
      <c r="KG67" s="62"/>
      <c r="KH67" s="62"/>
      <c r="KI67" s="62"/>
      <c r="KJ67" s="62"/>
      <c r="KK67" s="62"/>
      <c r="KL67" s="62"/>
      <c r="KM67" s="62"/>
      <c r="KN67" s="62"/>
      <c r="KO67" s="62"/>
      <c r="KP67" s="62"/>
      <c r="KQ67" s="62"/>
      <c r="KR67" s="62"/>
      <c r="KS67" s="62"/>
      <c r="KT67" s="62"/>
      <c r="KU67" s="62"/>
      <c r="KV67" s="62"/>
      <c r="KW67" s="62"/>
      <c r="KX67" s="62"/>
      <c r="KY67" s="62"/>
      <c r="KZ67" s="62"/>
      <c r="LA67" s="62"/>
      <c r="LB67" s="62"/>
      <c r="LC67" s="62"/>
      <c r="LD67" s="62"/>
      <c r="LE67" s="62"/>
      <c r="LF67" s="62"/>
      <c r="LG67" s="62"/>
      <c r="LH67" s="62"/>
      <c r="LI67" s="62"/>
    </row>
    <row r="68" spans="3:321">
      <c r="D68" s="59">
        <v>4127</v>
      </c>
      <c r="E68" s="60" t="s">
        <v>365</v>
      </c>
      <c r="F68" s="67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9"/>
      <c r="R68" s="67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67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9"/>
      <c r="AP68" s="67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9"/>
      <c r="BB68" s="67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9"/>
      <c r="BN68" s="67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9"/>
      <c r="BZ68" s="67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7">
        <v>228804.01</v>
      </c>
      <c r="CM68" s="68">
        <v>210678.72</v>
      </c>
      <c r="CN68" s="68">
        <v>819191.84000000102</v>
      </c>
      <c r="CO68" s="68">
        <v>1029323.32</v>
      </c>
      <c r="CP68" s="68">
        <v>292590.64</v>
      </c>
      <c r="CQ68" s="68">
        <v>253846.91</v>
      </c>
      <c r="CR68" s="68">
        <v>563176.68000000005</v>
      </c>
      <c r="CS68" s="68">
        <v>744771.92000000097</v>
      </c>
      <c r="CT68" s="68">
        <v>313172.92</v>
      </c>
      <c r="CU68" s="68">
        <v>673025.90000000095</v>
      </c>
      <c r="CV68" s="68">
        <v>450143.04</v>
      </c>
      <c r="CW68" s="69">
        <v>1318321.8899999999</v>
      </c>
      <c r="CX68" s="67">
        <v>280523.61</v>
      </c>
      <c r="CY68" s="68">
        <v>280800.71000000002</v>
      </c>
      <c r="CZ68" s="68">
        <v>882849.43999999901</v>
      </c>
      <c r="DA68" s="68">
        <v>552814.67000000004</v>
      </c>
      <c r="DB68" s="68">
        <v>337790.71999999898</v>
      </c>
      <c r="DC68" s="68">
        <v>601361.97</v>
      </c>
      <c r="DD68" s="68">
        <v>748033.90999999805</v>
      </c>
      <c r="DE68" s="68">
        <v>501341.97999999899</v>
      </c>
      <c r="DF68" s="68">
        <v>556156.71</v>
      </c>
      <c r="DG68" s="68">
        <v>851319.76000000106</v>
      </c>
      <c r="DH68" s="68">
        <v>794014.38</v>
      </c>
      <c r="DI68" s="69">
        <v>1575232.82</v>
      </c>
      <c r="DJ68" s="67">
        <v>212291.97</v>
      </c>
      <c r="DK68" s="68">
        <v>402413.54</v>
      </c>
      <c r="DL68" s="68">
        <v>1170691.2</v>
      </c>
      <c r="DM68" s="68">
        <v>743478.50000000198</v>
      </c>
      <c r="DN68" s="68">
        <v>567140.950000001</v>
      </c>
      <c r="DO68" s="68">
        <v>648657.53000000096</v>
      </c>
      <c r="DP68" s="68">
        <v>913972.66</v>
      </c>
      <c r="DQ68" s="68">
        <v>405747.06</v>
      </c>
      <c r="DR68" s="68">
        <v>614518.27</v>
      </c>
      <c r="DS68" s="68">
        <v>661741.82000000204</v>
      </c>
      <c r="DT68" s="68">
        <v>749391.45</v>
      </c>
      <c r="DU68" s="69">
        <v>2159467.89</v>
      </c>
      <c r="DV68" s="61">
        <v>212456.97</v>
      </c>
      <c r="DW68" s="61">
        <v>654185.91999999899</v>
      </c>
      <c r="DX68" s="61">
        <v>1221634.44</v>
      </c>
      <c r="DY68" s="61">
        <v>738170.96999999904</v>
      </c>
      <c r="DZ68" s="79">
        <v>303298.15000000002</v>
      </c>
      <c r="EB68" s="79"/>
      <c r="EC68" s="79"/>
      <c r="ED68" s="79"/>
      <c r="EE68" s="79"/>
      <c r="EF68" s="79"/>
      <c r="EG68" s="79"/>
      <c r="ET68" s="70"/>
      <c r="EU68" s="70"/>
      <c r="EV68" s="70"/>
      <c r="EW68" s="70"/>
      <c r="EX68" s="70"/>
      <c r="EY68" s="70"/>
      <c r="EZ68" s="70"/>
      <c r="FA68" s="70"/>
      <c r="FB68" s="70"/>
      <c r="FC68" s="70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  <c r="IJ68" s="62"/>
      <c r="IK68" s="62"/>
      <c r="IL68" s="62"/>
      <c r="IM68" s="62"/>
      <c r="IN68" s="62"/>
      <c r="IO68" s="62"/>
      <c r="IP68" s="62"/>
      <c r="IQ68" s="62"/>
      <c r="IR68" s="62"/>
      <c r="IS68" s="62"/>
      <c r="IT68" s="62"/>
      <c r="IU68" s="62"/>
      <c r="IV68" s="62"/>
      <c r="IW68" s="62"/>
      <c r="IX68" s="62"/>
      <c r="IY68" s="62"/>
      <c r="IZ68" s="62"/>
      <c r="JA68" s="62"/>
      <c r="JB68" s="62"/>
      <c r="JC68" s="62"/>
      <c r="JD68" s="62"/>
      <c r="JE68" s="62"/>
      <c r="JF68" s="62"/>
      <c r="JG68" s="62"/>
      <c r="JH68" s="62"/>
      <c r="JI68" s="62"/>
      <c r="JJ68" s="62"/>
      <c r="JK68" s="62"/>
      <c r="JL68" s="62"/>
      <c r="JM68" s="62"/>
      <c r="JN68" s="62"/>
      <c r="JO68" s="62"/>
      <c r="JP68" s="62"/>
      <c r="JQ68" s="62"/>
      <c r="JR68" s="62"/>
      <c r="JS68" s="62"/>
      <c r="JT68" s="62"/>
      <c r="JU68" s="62"/>
      <c r="JV68" s="62"/>
      <c r="JW68" s="62"/>
      <c r="JX68" s="62"/>
      <c r="JY68" s="62"/>
      <c r="JZ68" s="62"/>
      <c r="KA68" s="62"/>
      <c r="KB68" s="62"/>
      <c r="KC68" s="62"/>
      <c r="KD68" s="62"/>
      <c r="KE68" s="62"/>
      <c r="KF68" s="62"/>
      <c r="KG68" s="62"/>
      <c r="KH68" s="62"/>
      <c r="KI68" s="62"/>
      <c r="KJ68" s="62"/>
      <c r="KK68" s="62"/>
      <c r="KL68" s="62"/>
      <c r="KM68" s="62"/>
      <c r="KN68" s="62"/>
      <c r="KO68" s="62"/>
      <c r="KP68" s="62"/>
      <c r="KQ68" s="62"/>
      <c r="KR68" s="62"/>
      <c r="KS68" s="62"/>
      <c r="KT68" s="62"/>
      <c r="KU68" s="62"/>
      <c r="KV68" s="62"/>
      <c r="KW68" s="62"/>
      <c r="KX68" s="62"/>
      <c r="KY68" s="62"/>
      <c r="KZ68" s="62"/>
      <c r="LA68" s="62"/>
      <c r="LB68" s="62"/>
      <c r="LC68" s="62"/>
      <c r="LD68" s="62"/>
      <c r="LE68" s="62"/>
      <c r="LF68" s="62"/>
      <c r="LG68" s="62"/>
      <c r="LH68" s="62"/>
      <c r="LI68" s="62"/>
    </row>
    <row r="69" spans="3:321">
      <c r="C69" s="59">
        <v>413</v>
      </c>
      <c r="D69" s="59">
        <v>413</v>
      </c>
      <c r="E69" s="60" t="s">
        <v>149</v>
      </c>
      <c r="F69" s="67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9"/>
      <c r="R69" s="67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67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9"/>
      <c r="AP69" s="67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9"/>
      <c r="BB69" s="67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9"/>
      <c r="BN69" s="67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9"/>
      <c r="BZ69" s="67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7">
        <v>1731979.66</v>
      </c>
      <c r="CM69" s="68">
        <v>2425317.96</v>
      </c>
      <c r="CN69" s="68">
        <v>2387853.52</v>
      </c>
      <c r="CO69" s="68">
        <v>1861509.38</v>
      </c>
      <c r="CP69" s="68">
        <v>1558724.74</v>
      </c>
      <c r="CQ69" s="68">
        <v>1781711.41</v>
      </c>
      <c r="CR69" s="68">
        <v>1451041.02</v>
      </c>
      <c r="CS69" s="68">
        <v>2067913.99</v>
      </c>
      <c r="CT69" s="68">
        <v>1776948.57</v>
      </c>
      <c r="CU69" s="68">
        <v>2217702.73</v>
      </c>
      <c r="CV69" s="68">
        <v>2315316.7400000002</v>
      </c>
      <c r="CW69" s="69">
        <v>5693241.2300000004</v>
      </c>
      <c r="CX69" s="67">
        <v>1654244.66</v>
      </c>
      <c r="CY69" s="68">
        <v>1756878.32</v>
      </c>
      <c r="CZ69" s="68">
        <v>2361059.92</v>
      </c>
      <c r="DA69" s="68">
        <v>1598969.75</v>
      </c>
      <c r="DB69" s="68">
        <v>1736657.13</v>
      </c>
      <c r="DC69" s="68">
        <v>2742207.45</v>
      </c>
      <c r="DD69" s="68">
        <v>1644397.47</v>
      </c>
      <c r="DE69" s="68">
        <v>1795823.86</v>
      </c>
      <c r="DF69" s="68">
        <v>1934935.96</v>
      </c>
      <c r="DG69" s="68">
        <v>1997456.86</v>
      </c>
      <c r="DH69" s="68">
        <v>2609608.13</v>
      </c>
      <c r="DI69" s="69">
        <v>6753045.8399999999</v>
      </c>
      <c r="DJ69" s="67">
        <v>640534.49</v>
      </c>
      <c r="DK69" s="68">
        <v>2652307.81</v>
      </c>
      <c r="DL69" s="68">
        <v>2149164.21</v>
      </c>
      <c r="DM69" s="68">
        <v>1774807.44</v>
      </c>
      <c r="DN69" s="68">
        <v>1664126.37</v>
      </c>
      <c r="DO69" s="68">
        <v>1399738.97</v>
      </c>
      <c r="DP69" s="68">
        <v>1573651.5</v>
      </c>
      <c r="DQ69" s="68">
        <v>1898974.16</v>
      </c>
      <c r="DR69" s="68">
        <v>1945590.43</v>
      </c>
      <c r="DS69" s="68">
        <v>1835158.53</v>
      </c>
      <c r="DT69" s="68">
        <v>2651287.6800000002</v>
      </c>
      <c r="DU69" s="69">
        <v>5420563.8799999999</v>
      </c>
      <c r="DV69" s="61">
        <v>787381.81</v>
      </c>
      <c r="DW69" s="61">
        <v>1547628.84</v>
      </c>
      <c r="DX69" s="61">
        <v>3302426.14</v>
      </c>
      <c r="DY69" s="61">
        <v>1991942.82</v>
      </c>
      <c r="DZ69" s="79">
        <v>3084454.09</v>
      </c>
      <c r="EA69" s="79">
        <v>1480999.14</v>
      </c>
      <c r="EB69" s="79">
        <v>2809594.4</v>
      </c>
      <c r="EC69" s="84">
        <v>1992038.67</v>
      </c>
      <c r="ED69" s="79">
        <v>2806868.12</v>
      </c>
      <c r="EE69" s="79">
        <v>1474564.59</v>
      </c>
      <c r="EF69" s="79">
        <v>3308144.16</v>
      </c>
      <c r="EG69" s="79">
        <v>6709314.1200000001</v>
      </c>
      <c r="EH69" s="62">
        <v>956521.67</v>
      </c>
      <c r="EI69" s="62">
        <v>2109254.7599999998</v>
      </c>
      <c r="EJ69" s="62">
        <v>2769108.2</v>
      </c>
      <c r="EK69" s="62">
        <v>1859042.69</v>
      </c>
      <c r="EL69" s="62">
        <v>2061379.38</v>
      </c>
      <c r="EM69" s="62">
        <v>2036796.31</v>
      </c>
      <c r="EN69" s="62">
        <v>1900343.87</v>
      </c>
      <c r="EO69" s="62">
        <v>2421002.2400000002</v>
      </c>
      <c r="EP69" s="62">
        <v>1844593.48</v>
      </c>
      <c r="EQ69" s="62">
        <v>3032654.88</v>
      </c>
      <c r="ER69" s="62">
        <v>2235715.75</v>
      </c>
      <c r="ES69" s="62">
        <v>5973408.79</v>
      </c>
      <c r="ET69" s="62">
        <v>1028193.82</v>
      </c>
      <c r="EU69" s="62">
        <v>2319006.39</v>
      </c>
      <c r="EV69" s="62">
        <v>3799655</v>
      </c>
      <c r="EW69" s="62">
        <v>2444213.75</v>
      </c>
      <c r="EX69" s="62">
        <v>2819164.34</v>
      </c>
      <c r="EY69" s="62">
        <v>2228904.96</v>
      </c>
      <c r="EZ69" s="62">
        <v>2858658.74</v>
      </c>
      <c r="FA69" s="62">
        <v>2380224.89</v>
      </c>
      <c r="FB69" s="62">
        <v>1933588.85</v>
      </c>
      <c r="FC69" s="62">
        <v>2993464.74</v>
      </c>
      <c r="FD69" s="62">
        <v>3031428.93</v>
      </c>
      <c r="FE69" s="62">
        <v>8894630.3100000005</v>
      </c>
      <c r="FF69" s="62">
        <v>848613.78</v>
      </c>
      <c r="FG69" s="62">
        <v>2487107.15</v>
      </c>
      <c r="FH69" s="62">
        <v>2594267.44</v>
      </c>
      <c r="FI69" s="62">
        <v>2477703.5699999998</v>
      </c>
      <c r="FJ69" s="62">
        <v>2258388.9500000002</v>
      </c>
      <c r="FK69" s="62">
        <v>3135640.97</v>
      </c>
      <c r="FL69" s="1">
        <v>2237139.04</v>
      </c>
      <c r="FM69" s="62">
        <v>2457548.14</v>
      </c>
      <c r="FN69" s="62">
        <v>2765031.05</v>
      </c>
      <c r="FO69" s="62">
        <v>3186923.23</v>
      </c>
      <c r="FP69" s="62">
        <v>3619899.57</v>
      </c>
      <c r="FQ69" s="62">
        <v>5163463.0999999996</v>
      </c>
      <c r="FR69" s="62">
        <v>844008.41</v>
      </c>
      <c r="FS69" s="62">
        <v>4249565.51</v>
      </c>
      <c r="FT69" s="62">
        <v>2437073.7200000002</v>
      </c>
      <c r="FU69" s="62">
        <v>2981687.21</v>
      </c>
      <c r="FV69" s="62">
        <v>1829547.16</v>
      </c>
      <c r="FW69" s="62">
        <v>2089784.74</v>
      </c>
      <c r="FX69" s="62">
        <v>3585494.74</v>
      </c>
      <c r="FY69" s="62">
        <v>2727242.16</v>
      </c>
      <c r="FZ69" s="62">
        <v>2503728.25</v>
      </c>
      <c r="GA69" s="62">
        <v>4831223.7</v>
      </c>
      <c r="GB69" s="62">
        <v>5281833.1900000004</v>
      </c>
      <c r="GC69" s="62">
        <v>6567500.3300000001</v>
      </c>
      <c r="GD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  <c r="IK69" s="62"/>
      <c r="IL69" s="62"/>
      <c r="IM69" s="62"/>
      <c r="IN69" s="62"/>
      <c r="IO69" s="62"/>
      <c r="IP69" s="62"/>
      <c r="IQ69" s="62"/>
      <c r="IR69" s="62"/>
      <c r="IS69" s="62"/>
      <c r="IT69" s="62"/>
      <c r="IU69" s="62"/>
      <c r="IV69" s="62"/>
      <c r="IW69" s="62"/>
      <c r="IX69" s="62"/>
      <c r="IY69" s="62"/>
      <c r="IZ69" s="62"/>
      <c r="JA69" s="62"/>
      <c r="JB69" s="62"/>
      <c r="JC69" s="62"/>
      <c r="JD69" s="62"/>
      <c r="JE69" s="62"/>
      <c r="JF69" s="62"/>
      <c r="JG69" s="62"/>
      <c r="JH69" s="62"/>
      <c r="JI69" s="62"/>
      <c r="JJ69" s="62"/>
      <c r="JK69" s="62"/>
      <c r="JL69" s="62"/>
      <c r="JM69" s="62"/>
      <c r="JN69" s="62"/>
      <c r="JO69" s="62"/>
      <c r="JP69" s="62"/>
      <c r="JQ69" s="62"/>
      <c r="JR69" s="62"/>
      <c r="JS69" s="62"/>
      <c r="JT69" s="62"/>
      <c r="JU69" s="62"/>
      <c r="JV69" s="62"/>
      <c r="JW69" s="62"/>
      <c r="JX69" s="62"/>
      <c r="JY69" s="62"/>
      <c r="JZ69" s="62"/>
      <c r="KA69" s="62"/>
      <c r="KB69" s="62"/>
      <c r="KC69" s="62"/>
      <c r="KD69" s="62"/>
      <c r="KE69" s="62"/>
      <c r="KF69" s="62"/>
      <c r="KG69" s="62"/>
      <c r="KH69" s="62"/>
      <c r="KI69" s="62"/>
      <c r="KJ69" s="62"/>
      <c r="KK69" s="62"/>
      <c r="KL69" s="62"/>
      <c r="KM69" s="62"/>
      <c r="KN69" s="62"/>
      <c r="KO69" s="62"/>
      <c r="KP69" s="62"/>
      <c r="KQ69" s="62"/>
      <c r="KR69" s="62"/>
      <c r="KS69" s="62"/>
      <c r="KT69" s="62"/>
      <c r="KU69" s="62"/>
      <c r="KV69" s="62"/>
      <c r="KW69" s="62"/>
      <c r="KX69" s="62"/>
      <c r="KY69" s="62"/>
      <c r="KZ69" s="62"/>
      <c r="LA69" s="62"/>
      <c r="LB69" s="62"/>
      <c r="LC69" s="62"/>
      <c r="LD69" s="62"/>
      <c r="LE69" s="62"/>
      <c r="LF69" s="62"/>
      <c r="LG69" s="62"/>
      <c r="LH69" s="62"/>
      <c r="LI69" s="62"/>
    </row>
    <row r="70" spans="3:321">
      <c r="D70" s="59">
        <v>4131</v>
      </c>
      <c r="E70" s="60" t="s">
        <v>387</v>
      </c>
      <c r="F70" s="67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9"/>
      <c r="R70" s="67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67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9"/>
      <c r="AP70" s="67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9"/>
      <c r="BB70" s="67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9"/>
      <c r="BN70" s="67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9"/>
      <c r="BZ70" s="67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68"/>
      <c r="CL70" s="67">
        <v>52781.94</v>
      </c>
      <c r="CM70" s="68">
        <v>353552.09</v>
      </c>
      <c r="CN70" s="68">
        <v>306303.08</v>
      </c>
      <c r="CO70" s="68">
        <v>274757.26</v>
      </c>
      <c r="CP70" s="68">
        <v>306965.57</v>
      </c>
      <c r="CQ70" s="68">
        <v>389335.89</v>
      </c>
      <c r="CR70" s="68">
        <v>338308.39</v>
      </c>
      <c r="CS70" s="68">
        <v>339611.04</v>
      </c>
      <c r="CT70" s="68">
        <v>541850.54</v>
      </c>
      <c r="CU70" s="68">
        <v>396140.75</v>
      </c>
      <c r="CV70" s="68">
        <v>300982.40000000002</v>
      </c>
      <c r="CW70" s="69">
        <v>1099854.67</v>
      </c>
      <c r="CX70" s="67">
        <v>191135.17</v>
      </c>
      <c r="CY70" s="68">
        <v>227479.4</v>
      </c>
      <c r="CZ70" s="68">
        <v>364307.96</v>
      </c>
      <c r="DA70" s="68">
        <v>281048.11</v>
      </c>
      <c r="DB70" s="68">
        <v>338147.74</v>
      </c>
      <c r="DC70" s="68">
        <v>238038.91</v>
      </c>
      <c r="DD70" s="68">
        <v>266591.59999999998</v>
      </c>
      <c r="DE70" s="68">
        <v>232904.34</v>
      </c>
      <c r="DF70" s="68">
        <v>351431.87</v>
      </c>
      <c r="DG70" s="68">
        <v>480146.22</v>
      </c>
      <c r="DH70" s="68">
        <v>353636.02</v>
      </c>
      <c r="DI70" s="69">
        <v>1154503.23</v>
      </c>
      <c r="DJ70" s="67">
        <v>80079.960000000006</v>
      </c>
      <c r="DK70" s="68">
        <v>300983.5</v>
      </c>
      <c r="DL70" s="68">
        <v>297501.88999999902</v>
      </c>
      <c r="DM70" s="68">
        <v>276404.55</v>
      </c>
      <c r="DN70" s="68">
        <v>212854.69</v>
      </c>
      <c r="DO70" s="68">
        <v>284909.67</v>
      </c>
      <c r="DP70" s="68">
        <v>214198.51</v>
      </c>
      <c r="DQ70" s="68">
        <v>319910.19</v>
      </c>
      <c r="DR70" s="68">
        <v>395481.65</v>
      </c>
      <c r="DS70" s="68">
        <v>262292.92</v>
      </c>
      <c r="DT70" s="68">
        <v>351966.18000000098</v>
      </c>
      <c r="DU70" s="69">
        <v>1508867.41</v>
      </c>
      <c r="DV70" s="61">
        <v>132632.82999999999</v>
      </c>
      <c r="DW70" s="61">
        <v>230088.07</v>
      </c>
      <c r="DX70" s="61">
        <v>746695.36</v>
      </c>
      <c r="DY70" s="61">
        <v>328614.11</v>
      </c>
      <c r="DZ70" s="79">
        <v>311314.07</v>
      </c>
      <c r="EB70" s="79"/>
      <c r="EC70" s="79"/>
      <c r="ED70" s="79"/>
      <c r="EE70" s="79"/>
      <c r="EF70" s="79"/>
      <c r="EG70" s="79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  <c r="IJ70" s="62"/>
      <c r="IK70" s="62"/>
      <c r="IL70" s="62"/>
      <c r="IM70" s="62"/>
      <c r="IN70" s="62"/>
      <c r="IO70" s="62"/>
      <c r="IP70" s="62"/>
      <c r="IQ70" s="62"/>
      <c r="IR70" s="62"/>
      <c r="IS70" s="62"/>
      <c r="IT70" s="62"/>
      <c r="IU70" s="62"/>
      <c r="IV70" s="62"/>
      <c r="IW70" s="62"/>
      <c r="IX70" s="62"/>
      <c r="IY70" s="62"/>
      <c r="IZ70" s="62"/>
      <c r="JA70" s="62"/>
      <c r="JB70" s="62"/>
      <c r="JC70" s="62"/>
      <c r="JD70" s="62"/>
      <c r="JE70" s="62"/>
      <c r="JF70" s="62"/>
      <c r="JG70" s="62"/>
      <c r="JH70" s="62"/>
      <c r="JI70" s="62"/>
      <c r="JJ70" s="62"/>
      <c r="JK70" s="62"/>
      <c r="JL70" s="62"/>
      <c r="JM70" s="62"/>
      <c r="JN70" s="62"/>
      <c r="JO70" s="62"/>
      <c r="JP70" s="62"/>
      <c r="JQ70" s="62"/>
      <c r="JR70" s="62"/>
      <c r="JS70" s="62"/>
      <c r="JT70" s="62"/>
      <c r="JU70" s="62"/>
      <c r="JV70" s="62"/>
      <c r="JW70" s="62"/>
      <c r="JX70" s="62"/>
      <c r="JY70" s="62"/>
      <c r="JZ70" s="62"/>
      <c r="KA70" s="62"/>
      <c r="KB70" s="62"/>
      <c r="KC70" s="62"/>
      <c r="KD70" s="62"/>
      <c r="KE70" s="62"/>
      <c r="KF70" s="62"/>
      <c r="KG70" s="62"/>
      <c r="KH70" s="62"/>
      <c r="KI70" s="62"/>
      <c r="KJ70" s="62"/>
      <c r="KK70" s="62"/>
      <c r="KL70" s="62"/>
      <c r="KM70" s="62"/>
      <c r="KN70" s="62"/>
      <c r="KO70" s="62"/>
      <c r="KP70" s="62"/>
      <c r="KQ70" s="62"/>
      <c r="KR70" s="62"/>
      <c r="KS70" s="62"/>
      <c r="KT70" s="62"/>
      <c r="KU70" s="62"/>
      <c r="KV70" s="62"/>
      <c r="KW70" s="62"/>
      <c r="KX70" s="62"/>
      <c r="KY70" s="62"/>
      <c r="KZ70" s="62"/>
      <c r="LA70" s="62"/>
      <c r="LB70" s="62"/>
      <c r="LC70" s="62"/>
      <c r="LD70" s="62"/>
      <c r="LE70" s="62"/>
      <c r="LF70" s="62"/>
      <c r="LG70" s="62"/>
      <c r="LH70" s="62"/>
      <c r="LI70" s="62"/>
    </row>
    <row r="71" spans="3:321">
      <c r="D71" s="59">
        <v>4132</v>
      </c>
      <c r="E71" s="60" t="s">
        <v>388</v>
      </c>
      <c r="F71" s="67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9"/>
      <c r="R71" s="67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67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9"/>
      <c r="AP71" s="67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9"/>
      <c r="BB71" s="67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9"/>
      <c r="BN71" s="67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9"/>
      <c r="BZ71" s="67"/>
      <c r="CA71" s="68"/>
      <c r="CB71" s="68"/>
      <c r="CC71" s="68"/>
      <c r="CD71" s="68"/>
      <c r="CE71" s="68"/>
      <c r="CF71" s="68"/>
      <c r="CG71" s="68"/>
      <c r="CH71" s="68"/>
      <c r="CI71" s="68"/>
      <c r="CJ71" s="68"/>
      <c r="CK71" s="68"/>
      <c r="CL71" s="67">
        <v>41666.67</v>
      </c>
      <c r="CM71" s="68">
        <v>44224.53</v>
      </c>
      <c r="CN71" s="68">
        <v>48596.06</v>
      </c>
      <c r="CO71" s="68">
        <v>55256.95</v>
      </c>
      <c r="CP71" s="68">
        <v>51808.34</v>
      </c>
      <c r="CQ71" s="68">
        <v>51299.9</v>
      </c>
      <c r="CR71" s="68">
        <v>13018.39</v>
      </c>
      <c r="CS71" s="68">
        <v>90371.86</v>
      </c>
      <c r="CT71" s="68">
        <v>51900.63</v>
      </c>
      <c r="CU71" s="68">
        <v>51161.91</v>
      </c>
      <c r="CV71" s="68">
        <v>43639.68</v>
      </c>
      <c r="CW71" s="69">
        <v>112935.21</v>
      </c>
      <c r="CX71" s="67">
        <v>906.51</v>
      </c>
      <c r="CY71" s="68">
        <v>99288.55</v>
      </c>
      <c r="CZ71" s="68">
        <v>60220.4</v>
      </c>
      <c r="DA71" s="68">
        <v>59557.75</v>
      </c>
      <c r="DB71" s="68">
        <v>53401.99</v>
      </c>
      <c r="DC71" s="68">
        <v>57527.65</v>
      </c>
      <c r="DD71" s="68">
        <v>58139.17</v>
      </c>
      <c r="DE71" s="68">
        <v>75117.91</v>
      </c>
      <c r="DF71" s="68">
        <v>60518.11</v>
      </c>
      <c r="DG71" s="68">
        <v>56298.99</v>
      </c>
      <c r="DH71" s="68">
        <v>57434.28</v>
      </c>
      <c r="DI71" s="69">
        <v>95845.6</v>
      </c>
      <c r="DJ71" s="67">
        <v>18278.79</v>
      </c>
      <c r="DK71" s="68">
        <v>115910.84</v>
      </c>
      <c r="DL71" s="68">
        <v>65758.37</v>
      </c>
      <c r="DM71" s="68">
        <v>71114.36</v>
      </c>
      <c r="DN71" s="68">
        <v>60621.33</v>
      </c>
      <c r="DO71" s="68">
        <v>61009.72</v>
      </c>
      <c r="DP71" s="68">
        <v>100144.39</v>
      </c>
      <c r="DQ71" s="68">
        <v>65151.12</v>
      </c>
      <c r="DR71" s="68">
        <v>59732.160000000003</v>
      </c>
      <c r="DS71" s="68">
        <v>60135.98</v>
      </c>
      <c r="DT71" s="68">
        <v>86034.57</v>
      </c>
      <c r="DU71" s="69">
        <v>214773.14</v>
      </c>
      <c r="DV71" s="61">
        <v>59529.48</v>
      </c>
      <c r="DW71" s="61">
        <v>5608.2</v>
      </c>
      <c r="DX71" s="61">
        <v>119962.43</v>
      </c>
      <c r="DY71" s="61">
        <v>89241.03</v>
      </c>
      <c r="DZ71" s="79">
        <v>62917.279999999999</v>
      </c>
      <c r="EB71" s="79"/>
      <c r="EC71" s="79"/>
      <c r="ED71" s="79"/>
      <c r="EE71" s="79"/>
      <c r="EF71" s="79"/>
      <c r="EG71" s="79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  <c r="IJ71" s="62"/>
      <c r="IK71" s="62"/>
      <c r="IL71" s="62"/>
      <c r="IM71" s="62"/>
      <c r="IN71" s="62"/>
      <c r="IO71" s="62"/>
      <c r="IP71" s="62"/>
      <c r="IQ71" s="62"/>
      <c r="IR71" s="62"/>
      <c r="IS71" s="62"/>
      <c r="IT71" s="62"/>
      <c r="IU71" s="62"/>
      <c r="IV71" s="62"/>
      <c r="IW71" s="62"/>
      <c r="IX71" s="62"/>
      <c r="IY71" s="62"/>
      <c r="IZ71" s="62"/>
      <c r="JA71" s="62"/>
      <c r="JB71" s="62"/>
      <c r="JC71" s="62"/>
      <c r="JD71" s="62"/>
      <c r="JE71" s="62"/>
      <c r="JF71" s="62"/>
      <c r="JG71" s="62"/>
      <c r="JH71" s="62"/>
      <c r="JI71" s="62"/>
      <c r="JJ71" s="62"/>
      <c r="JK71" s="62"/>
      <c r="JL71" s="62"/>
      <c r="JM71" s="62"/>
      <c r="JN71" s="62"/>
      <c r="JO71" s="62"/>
      <c r="JP71" s="62"/>
      <c r="JQ71" s="62"/>
      <c r="JR71" s="62"/>
      <c r="JS71" s="62"/>
      <c r="JT71" s="62"/>
      <c r="JU71" s="62"/>
      <c r="JV71" s="62"/>
      <c r="JW71" s="62"/>
      <c r="JX71" s="62"/>
      <c r="JY71" s="62"/>
      <c r="JZ71" s="62"/>
      <c r="KA71" s="62"/>
      <c r="KB71" s="62"/>
      <c r="KC71" s="62"/>
      <c r="KD71" s="62"/>
      <c r="KE71" s="62"/>
      <c r="KF71" s="62"/>
      <c r="KG71" s="62"/>
      <c r="KH71" s="62"/>
      <c r="KI71" s="62"/>
      <c r="KJ71" s="62"/>
      <c r="KK71" s="62"/>
      <c r="KL71" s="62"/>
      <c r="KM71" s="62"/>
      <c r="KN71" s="62"/>
      <c r="KO71" s="62"/>
      <c r="KP71" s="62"/>
      <c r="KQ71" s="62"/>
      <c r="KR71" s="62"/>
      <c r="KS71" s="62"/>
      <c r="KT71" s="62"/>
      <c r="KU71" s="62"/>
      <c r="KV71" s="62"/>
      <c r="KW71" s="62"/>
      <c r="KX71" s="62"/>
      <c r="KY71" s="62"/>
      <c r="KZ71" s="62"/>
      <c r="LA71" s="62"/>
      <c r="LB71" s="62"/>
      <c r="LC71" s="62"/>
      <c r="LD71" s="62"/>
      <c r="LE71" s="62"/>
      <c r="LF71" s="62"/>
      <c r="LG71" s="62"/>
      <c r="LH71" s="62"/>
      <c r="LI71" s="62"/>
    </row>
    <row r="72" spans="3:321">
      <c r="D72" s="59">
        <v>4133</v>
      </c>
      <c r="E72" s="60" t="s">
        <v>389</v>
      </c>
      <c r="F72" s="67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9"/>
      <c r="R72" s="67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67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9"/>
      <c r="AP72" s="67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9"/>
      <c r="BB72" s="67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9"/>
      <c r="BN72" s="67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9"/>
      <c r="BZ72" s="67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7">
        <v>106191.59</v>
      </c>
      <c r="CM72" s="68">
        <v>228987.16</v>
      </c>
      <c r="CN72" s="68">
        <v>666204.63</v>
      </c>
      <c r="CO72" s="68">
        <v>395023.25</v>
      </c>
      <c r="CP72" s="68">
        <v>374579.88</v>
      </c>
      <c r="CQ72" s="68">
        <v>417230.24</v>
      </c>
      <c r="CR72" s="68">
        <v>493891.36</v>
      </c>
      <c r="CS72" s="68">
        <v>347483.82</v>
      </c>
      <c r="CT72" s="68">
        <v>376318.65</v>
      </c>
      <c r="CU72" s="68">
        <v>337698.44</v>
      </c>
      <c r="CV72" s="68">
        <v>457140.49</v>
      </c>
      <c r="CW72" s="69">
        <v>1167231.1399999999</v>
      </c>
      <c r="CX72" s="67">
        <v>221647.16</v>
      </c>
      <c r="CY72" s="68">
        <v>329176.18</v>
      </c>
      <c r="CZ72" s="68">
        <v>519016.98</v>
      </c>
      <c r="DA72" s="68">
        <v>322821.71999999997</v>
      </c>
      <c r="DB72" s="68">
        <v>481206.35</v>
      </c>
      <c r="DC72" s="68">
        <v>539972.26</v>
      </c>
      <c r="DD72" s="68">
        <v>279025.43</v>
      </c>
      <c r="DE72" s="68">
        <v>372881.24</v>
      </c>
      <c r="DF72" s="68">
        <v>433431.72</v>
      </c>
      <c r="DG72" s="68">
        <v>615374.76</v>
      </c>
      <c r="DH72" s="68">
        <v>425428.87</v>
      </c>
      <c r="DI72" s="69">
        <v>672597.66</v>
      </c>
      <c r="DJ72" s="67">
        <v>52082.23</v>
      </c>
      <c r="DK72" s="68">
        <v>305176.94</v>
      </c>
      <c r="DL72" s="68">
        <v>509922.75</v>
      </c>
      <c r="DM72" s="68">
        <v>305263.06</v>
      </c>
      <c r="DN72" s="68">
        <v>277327.90999999997</v>
      </c>
      <c r="DO72" s="68">
        <v>324956.65000000002</v>
      </c>
      <c r="DP72" s="68">
        <v>271499.90999999997</v>
      </c>
      <c r="DQ72" s="68">
        <v>379815.09</v>
      </c>
      <c r="DR72" s="68">
        <v>349492.41</v>
      </c>
      <c r="DS72" s="68">
        <v>361116.42</v>
      </c>
      <c r="DT72" s="68">
        <v>332955.71000000002</v>
      </c>
      <c r="DU72" s="69">
        <v>1208406.23</v>
      </c>
      <c r="DV72" s="61">
        <v>70646.429999999993</v>
      </c>
      <c r="DW72" s="61">
        <v>405632.18</v>
      </c>
      <c r="DX72" s="61">
        <v>436810.07</v>
      </c>
      <c r="DY72" s="61">
        <v>313025.95</v>
      </c>
      <c r="DZ72" s="79">
        <v>1150695.06</v>
      </c>
      <c r="EB72" s="79"/>
      <c r="EC72" s="79"/>
      <c r="ED72" s="79"/>
      <c r="EE72" s="79"/>
      <c r="EF72" s="79"/>
      <c r="EG72" s="79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  <c r="IK72" s="62"/>
      <c r="IL72" s="62"/>
      <c r="IM72" s="62"/>
      <c r="IN72" s="62"/>
      <c r="IO72" s="62"/>
      <c r="IP72" s="62"/>
      <c r="IQ72" s="62"/>
      <c r="IR72" s="62"/>
      <c r="IS72" s="62"/>
      <c r="IT72" s="62"/>
      <c r="IU72" s="62"/>
      <c r="IV72" s="62"/>
      <c r="IW72" s="62"/>
      <c r="IX72" s="62"/>
      <c r="IY72" s="62"/>
      <c r="IZ72" s="62"/>
      <c r="JA72" s="62"/>
      <c r="JB72" s="62"/>
      <c r="JC72" s="62"/>
      <c r="JD72" s="62"/>
      <c r="JE72" s="62"/>
      <c r="JF72" s="62"/>
      <c r="JG72" s="62"/>
      <c r="JH72" s="62"/>
      <c r="JI72" s="62"/>
      <c r="JJ72" s="62"/>
      <c r="JK72" s="62"/>
      <c r="JL72" s="62"/>
      <c r="JM72" s="62"/>
      <c r="JN72" s="62"/>
      <c r="JO72" s="62"/>
      <c r="JP72" s="62"/>
      <c r="JQ72" s="62"/>
      <c r="JR72" s="62"/>
      <c r="JS72" s="62"/>
      <c r="JT72" s="62"/>
      <c r="JU72" s="62"/>
      <c r="JV72" s="62"/>
      <c r="JW72" s="62"/>
      <c r="JX72" s="62"/>
      <c r="JY72" s="62"/>
      <c r="JZ72" s="62"/>
      <c r="KA72" s="62"/>
      <c r="KB72" s="62"/>
      <c r="KC72" s="62"/>
      <c r="KD72" s="62"/>
      <c r="KE72" s="62"/>
      <c r="KF72" s="62"/>
      <c r="KG72" s="62"/>
      <c r="KH72" s="62"/>
      <c r="KI72" s="62"/>
      <c r="KJ72" s="62"/>
      <c r="KK72" s="62"/>
      <c r="KL72" s="62"/>
      <c r="KM72" s="62"/>
      <c r="KN72" s="62"/>
      <c r="KO72" s="62"/>
      <c r="KP72" s="62"/>
      <c r="KQ72" s="62"/>
      <c r="KR72" s="62"/>
      <c r="KS72" s="62"/>
      <c r="KT72" s="62"/>
      <c r="KU72" s="62"/>
      <c r="KV72" s="62"/>
      <c r="KW72" s="62"/>
      <c r="KX72" s="62"/>
      <c r="KY72" s="62"/>
      <c r="KZ72" s="62"/>
      <c r="LA72" s="62"/>
      <c r="LB72" s="62"/>
      <c r="LC72" s="62"/>
      <c r="LD72" s="62"/>
      <c r="LE72" s="62"/>
      <c r="LF72" s="62"/>
      <c r="LG72" s="62"/>
      <c r="LH72" s="62"/>
      <c r="LI72" s="62"/>
    </row>
    <row r="73" spans="3:321">
      <c r="D73" s="59">
        <v>4134</v>
      </c>
      <c r="E73" s="60" t="s">
        <v>390</v>
      </c>
      <c r="F73" s="67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9"/>
      <c r="R73" s="67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67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9"/>
      <c r="AP73" s="67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9"/>
      <c r="BB73" s="67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9"/>
      <c r="BN73" s="67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9"/>
      <c r="BZ73" s="67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7">
        <v>367796.15</v>
      </c>
      <c r="CM73" s="68">
        <v>932864.9</v>
      </c>
      <c r="CN73" s="68">
        <v>470950.32</v>
      </c>
      <c r="CO73" s="68">
        <v>332090.71999999997</v>
      </c>
      <c r="CP73" s="68">
        <v>621423.91</v>
      </c>
      <c r="CQ73" s="68">
        <v>595192.07999999996</v>
      </c>
      <c r="CR73" s="68">
        <v>406352.32</v>
      </c>
      <c r="CS73" s="68">
        <v>125974.06</v>
      </c>
      <c r="CT73" s="68">
        <v>457964.4</v>
      </c>
      <c r="CU73" s="68">
        <v>350811.01</v>
      </c>
      <c r="CV73" s="68">
        <v>991316.97</v>
      </c>
      <c r="CW73" s="69">
        <v>1177899.8700000001</v>
      </c>
      <c r="CX73" s="67">
        <v>285542.78999999998</v>
      </c>
      <c r="CY73" s="68">
        <v>238238.8</v>
      </c>
      <c r="CZ73" s="68">
        <v>701843.74</v>
      </c>
      <c r="DA73" s="68">
        <v>292768.44</v>
      </c>
      <c r="DB73" s="68">
        <v>524744.23</v>
      </c>
      <c r="DC73" s="68">
        <v>783503.76</v>
      </c>
      <c r="DD73" s="68">
        <v>435800.35</v>
      </c>
      <c r="DE73" s="68">
        <v>581410.34</v>
      </c>
      <c r="DF73" s="68">
        <v>361900.26</v>
      </c>
      <c r="DG73" s="68">
        <v>294486.82</v>
      </c>
      <c r="DH73" s="68">
        <v>701248.41</v>
      </c>
      <c r="DI73" s="69">
        <v>2160316.14</v>
      </c>
      <c r="DJ73" s="67">
        <v>279982.03000000003</v>
      </c>
      <c r="DK73" s="68">
        <v>896792.39</v>
      </c>
      <c r="DL73" s="68">
        <v>538842.71</v>
      </c>
      <c r="DM73" s="68">
        <v>562051.25</v>
      </c>
      <c r="DN73" s="68">
        <v>572952.09</v>
      </c>
      <c r="DO73" s="68">
        <v>379440.7</v>
      </c>
      <c r="DP73" s="68">
        <v>311280.59000000003</v>
      </c>
      <c r="DQ73" s="68">
        <v>587547.56999999995</v>
      </c>
      <c r="DR73" s="68">
        <v>780215.44999999902</v>
      </c>
      <c r="DS73" s="68">
        <v>259446.23</v>
      </c>
      <c r="DT73" s="68">
        <v>571478.31000000006</v>
      </c>
      <c r="DU73" s="69">
        <v>703124.86</v>
      </c>
      <c r="DV73" s="61">
        <v>279517.90999999997</v>
      </c>
      <c r="DW73" s="61">
        <v>491959.98</v>
      </c>
      <c r="DX73" s="61">
        <v>856115.72</v>
      </c>
      <c r="DY73" s="61">
        <v>840615.66</v>
      </c>
      <c r="DZ73" s="79">
        <v>763808.8</v>
      </c>
      <c r="EB73" s="79"/>
      <c r="EC73" s="79"/>
      <c r="ED73" s="79"/>
      <c r="EE73" s="79"/>
      <c r="EF73" s="79"/>
      <c r="EG73" s="79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  <c r="IJ73" s="62"/>
      <c r="IK73" s="62"/>
      <c r="IL73" s="62"/>
      <c r="IM73" s="62"/>
      <c r="IN73" s="62"/>
      <c r="IO73" s="62"/>
      <c r="IP73" s="62"/>
      <c r="IQ73" s="62"/>
      <c r="IR73" s="62"/>
      <c r="IS73" s="62"/>
      <c r="IT73" s="62"/>
      <c r="IU73" s="62"/>
      <c r="IV73" s="62"/>
      <c r="IW73" s="62"/>
      <c r="IX73" s="62"/>
      <c r="IY73" s="62"/>
      <c r="IZ73" s="62"/>
      <c r="JA73" s="62"/>
      <c r="JB73" s="62"/>
      <c r="JC73" s="62"/>
      <c r="JD73" s="62"/>
      <c r="JE73" s="62"/>
      <c r="JF73" s="62"/>
      <c r="JG73" s="62"/>
      <c r="JH73" s="62"/>
      <c r="JI73" s="62"/>
      <c r="JJ73" s="62"/>
      <c r="JK73" s="62"/>
      <c r="JL73" s="62"/>
      <c r="JM73" s="62"/>
      <c r="JN73" s="62"/>
      <c r="JO73" s="62"/>
      <c r="JP73" s="62"/>
      <c r="JQ73" s="62"/>
      <c r="JR73" s="62"/>
      <c r="JS73" s="62"/>
      <c r="JT73" s="62"/>
      <c r="JU73" s="62"/>
      <c r="JV73" s="62"/>
      <c r="JW73" s="62"/>
      <c r="JX73" s="62"/>
      <c r="JY73" s="62"/>
      <c r="JZ73" s="62"/>
      <c r="KA73" s="62"/>
      <c r="KB73" s="62"/>
      <c r="KC73" s="62"/>
      <c r="KD73" s="62"/>
      <c r="KE73" s="62"/>
      <c r="KF73" s="62"/>
      <c r="KG73" s="62"/>
      <c r="KH73" s="62"/>
      <c r="KI73" s="62"/>
      <c r="KJ73" s="62"/>
      <c r="KK73" s="62"/>
      <c r="KL73" s="62"/>
      <c r="KM73" s="62"/>
      <c r="KN73" s="62"/>
      <c r="KO73" s="62"/>
      <c r="KP73" s="62"/>
      <c r="KQ73" s="62"/>
      <c r="KR73" s="62"/>
      <c r="KS73" s="62"/>
      <c r="KT73" s="62"/>
      <c r="KU73" s="62"/>
      <c r="KV73" s="62"/>
      <c r="KW73" s="62"/>
      <c r="KX73" s="62"/>
      <c r="KY73" s="62"/>
      <c r="KZ73" s="62"/>
      <c r="LA73" s="62"/>
      <c r="LB73" s="62"/>
      <c r="LC73" s="62"/>
      <c r="LD73" s="62"/>
      <c r="LE73" s="62"/>
      <c r="LF73" s="62"/>
      <c r="LG73" s="62"/>
      <c r="LH73" s="62"/>
      <c r="LI73" s="62"/>
    </row>
    <row r="74" spans="3:321">
      <c r="D74" s="59">
        <v>4135</v>
      </c>
      <c r="E74" s="60" t="s">
        <v>391</v>
      </c>
      <c r="F74" s="67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9"/>
      <c r="R74" s="67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67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9"/>
      <c r="AP74" s="67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9"/>
      <c r="BB74" s="67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9"/>
      <c r="BN74" s="67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9"/>
      <c r="BZ74" s="67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7">
        <v>1163543.31</v>
      </c>
      <c r="CM74" s="68">
        <v>865689.28</v>
      </c>
      <c r="CN74" s="68">
        <v>895799.43</v>
      </c>
      <c r="CO74" s="68">
        <v>804381.2</v>
      </c>
      <c r="CP74" s="68">
        <v>203947.04</v>
      </c>
      <c r="CQ74" s="68">
        <v>328653.3</v>
      </c>
      <c r="CR74" s="68">
        <v>199470.56</v>
      </c>
      <c r="CS74" s="68">
        <v>1164473.21</v>
      </c>
      <c r="CT74" s="68">
        <v>348914.35</v>
      </c>
      <c r="CU74" s="68">
        <v>1081890.6200000001</v>
      </c>
      <c r="CV74" s="68">
        <v>522237.2</v>
      </c>
      <c r="CW74" s="69">
        <v>2135320.34</v>
      </c>
      <c r="CX74" s="67">
        <v>955013.03</v>
      </c>
      <c r="CY74" s="68">
        <v>848267.86</v>
      </c>
      <c r="CZ74" s="68">
        <v>707904.35</v>
      </c>
      <c r="DA74" s="68">
        <v>640417.38</v>
      </c>
      <c r="DB74" s="68">
        <v>339156.82</v>
      </c>
      <c r="DC74" s="68">
        <v>1120597.28</v>
      </c>
      <c r="DD74" s="68">
        <v>603460.93999999994</v>
      </c>
      <c r="DE74" s="68">
        <v>530769.71</v>
      </c>
      <c r="DF74" s="68">
        <v>725900.94</v>
      </c>
      <c r="DG74" s="68">
        <v>549665.47</v>
      </c>
      <c r="DH74" s="68">
        <v>1057921.96</v>
      </c>
      <c r="DI74" s="69">
        <v>2635828.9700000002</v>
      </c>
      <c r="DJ74" s="67">
        <v>208944.81</v>
      </c>
      <c r="DK74" s="68">
        <v>1008551.25</v>
      </c>
      <c r="DL74" s="68">
        <v>729391.29</v>
      </c>
      <c r="DM74" s="68">
        <v>556406.53</v>
      </c>
      <c r="DN74" s="68">
        <v>537677.79</v>
      </c>
      <c r="DO74" s="68">
        <v>318778.15000000002</v>
      </c>
      <c r="DP74" s="68">
        <v>672337.3</v>
      </c>
      <c r="DQ74" s="68">
        <v>544542.09</v>
      </c>
      <c r="DR74" s="68">
        <v>356430.15</v>
      </c>
      <c r="DS74" s="68">
        <v>882739.91</v>
      </c>
      <c r="DT74" s="68">
        <v>1305010.75</v>
      </c>
      <c r="DU74" s="69">
        <v>1576386.16</v>
      </c>
      <c r="DV74" s="61">
        <v>241388.48</v>
      </c>
      <c r="DW74" s="61">
        <v>402465.93</v>
      </c>
      <c r="DX74" s="61">
        <v>1105471.77</v>
      </c>
      <c r="DY74" s="61">
        <v>411987.25</v>
      </c>
      <c r="DZ74" s="79">
        <v>786378.28</v>
      </c>
      <c r="EB74" s="79"/>
      <c r="EC74" s="79"/>
      <c r="ED74" s="79"/>
      <c r="EE74" s="79"/>
      <c r="EF74" s="79"/>
      <c r="EG74" s="79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  <c r="IK74" s="62"/>
      <c r="IL74" s="62"/>
      <c r="IM74" s="62"/>
      <c r="IN74" s="62"/>
      <c r="IO74" s="62"/>
      <c r="IP74" s="62"/>
      <c r="IQ74" s="62"/>
      <c r="IR74" s="62"/>
      <c r="IS74" s="62"/>
      <c r="IT74" s="62"/>
      <c r="IU74" s="62"/>
      <c r="IV74" s="62"/>
      <c r="IW74" s="62"/>
      <c r="IX74" s="62"/>
      <c r="IY74" s="62"/>
      <c r="IZ74" s="62"/>
      <c r="JA74" s="62"/>
      <c r="JB74" s="62"/>
      <c r="JC74" s="62"/>
      <c r="JD74" s="62"/>
      <c r="JE74" s="62"/>
      <c r="JF74" s="62"/>
      <c r="JG74" s="62"/>
      <c r="JH74" s="62"/>
      <c r="JI74" s="62"/>
      <c r="JJ74" s="62"/>
      <c r="JK74" s="62"/>
      <c r="JL74" s="62"/>
      <c r="JM74" s="62"/>
      <c r="JN74" s="62"/>
      <c r="JO74" s="62"/>
      <c r="JP74" s="62"/>
      <c r="JQ74" s="62"/>
      <c r="JR74" s="62"/>
      <c r="JS74" s="62"/>
      <c r="JT74" s="62"/>
      <c r="JU74" s="62"/>
      <c r="JV74" s="62"/>
      <c r="JW74" s="62"/>
      <c r="JX74" s="62"/>
      <c r="JY74" s="62"/>
      <c r="JZ74" s="62"/>
      <c r="KA74" s="62"/>
      <c r="KB74" s="62"/>
      <c r="KC74" s="62"/>
      <c r="KD74" s="62"/>
      <c r="KE74" s="62"/>
      <c r="KF74" s="62"/>
      <c r="KG74" s="62"/>
      <c r="KH74" s="62"/>
      <c r="KI74" s="62"/>
      <c r="KJ74" s="62"/>
      <c r="KK74" s="62"/>
      <c r="KL74" s="62"/>
      <c r="KM74" s="62"/>
      <c r="KN74" s="62"/>
      <c r="KO74" s="62"/>
      <c r="KP74" s="62"/>
      <c r="KQ74" s="62"/>
      <c r="KR74" s="62"/>
      <c r="KS74" s="62"/>
      <c r="KT74" s="62"/>
      <c r="KU74" s="62"/>
      <c r="KV74" s="62"/>
      <c r="KW74" s="62"/>
      <c r="KX74" s="62"/>
      <c r="KY74" s="62"/>
      <c r="KZ74" s="62"/>
      <c r="LA74" s="62"/>
      <c r="LB74" s="62"/>
      <c r="LC74" s="62"/>
      <c r="LD74" s="62"/>
      <c r="LE74" s="62"/>
      <c r="LF74" s="62"/>
      <c r="LG74" s="62"/>
      <c r="LH74" s="62"/>
      <c r="LI74" s="62"/>
    </row>
    <row r="75" spans="3:321">
      <c r="D75" s="59">
        <v>4139</v>
      </c>
      <c r="E75" s="60" t="s">
        <v>392</v>
      </c>
      <c r="F75" s="67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9"/>
      <c r="R75" s="67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67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9"/>
      <c r="AP75" s="67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9"/>
      <c r="BB75" s="67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9"/>
      <c r="BN75" s="67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9"/>
      <c r="BZ75" s="67"/>
      <c r="CA75" s="68"/>
      <c r="CB75" s="68"/>
      <c r="CC75" s="68"/>
      <c r="CD75" s="68"/>
      <c r="CE75" s="68"/>
      <c r="CF75" s="68"/>
      <c r="CG75" s="68"/>
      <c r="CH75" s="68"/>
      <c r="CI75" s="68"/>
      <c r="CJ75" s="68"/>
      <c r="CK75" s="68"/>
      <c r="CL75" s="67">
        <v>0</v>
      </c>
      <c r="CM75" s="68">
        <v>0</v>
      </c>
      <c r="CN75" s="68">
        <v>0</v>
      </c>
      <c r="CO75" s="68">
        <v>0</v>
      </c>
      <c r="CP75" s="68">
        <v>0</v>
      </c>
      <c r="CQ75" s="68">
        <v>0</v>
      </c>
      <c r="CR75" s="68">
        <v>0</v>
      </c>
      <c r="CS75" s="68">
        <v>0</v>
      </c>
      <c r="CT75" s="68">
        <v>0</v>
      </c>
      <c r="CU75" s="68">
        <v>0</v>
      </c>
      <c r="CV75" s="68">
        <v>0</v>
      </c>
      <c r="CW75" s="69">
        <v>0</v>
      </c>
      <c r="CX75" s="67">
        <v>0</v>
      </c>
      <c r="CY75" s="68">
        <v>14427.53</v>
      </c>
      <c r="CZ75" s="68">
        <v>7766.49</v>
      </c>
      <c r="DA75" s="68">
        <v>2356.35</v>
      </c>
      <c r="DB75" s="68">
        <v>0</v>
      </c>
      <c r="DC75" s="68">
        <v>2567.59</v>
      </c>
      <c r="DD75" s="68">
        <v>1379.98</v>
      </c>
      <c r="DE75" s="68">
        <v>2740.32</v>
      </c>
      <c r="DF75" s="68">
        <v>1753.06</v>
      </c>
      <c r="DG75" s="68">
        <v>1484.6</v>
      </c>
      <c r="DH75" s="68">
        <v>13938.59</v>
      </c>
      <c r="DI75" s="69">
        <v>33954.239999999998</v>
      </c>
      <c r="DJ75" s="67">
        <v>166.67</v>
      </c>
      <c r="DK75" s="68">
        <v>2783.17</v>
      </c>
      <c r="DL75" s="68">
        <v>6747.2</v>
      </c>
      <c r="DM75" s="68">
        <v>2567.69</v>
      </c>
      <c r="DN75" s="68">
        <v>1692.56</v>
      </c>
      <c r="DO75" s="68">
        <v>29644.080000000002</v>
      </c>
      <c r="DP75" s="68">
        <v>858.8</v>
      </c>
      <c r="DQ75" s="68">
        <v>1008.1</v>
      </c>
      <c r="DR75" s="68">
        <v>818.62</v>
      </c>
      <c r="DS75" s="68">
        <v>8427.07</v>
      </c>
      <c r="DT75" s="68">
        <v>2842.16</v>
      </c>
      <c r="DU75" s="69">
        <v>208006.08</v>
      </c>
      <c r="DV75" s="61">
        <v>3666.68</v>
      </c>
      <c r="DW75" s="61">
        <v>7841.14</v>
      </c>
      <c r="DX75" s="61">
        <v>37370.79</v>
      </c>
      <c r="DY75" s="61">
        <v>8458.82</v>
      </c>
      <c r="DZ75" s="79">
        <v>9340.6</v>
      </c>
      <c r="EB75" s="79"/>
      <c r="EC75" s="79"/>
      <c r="ED75" s="79"/>
      <c r="EE75" s="79"/>
      <c r="EF75" s="79"/>
      <c r="EG75" s="79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  <c r="IJ75" s="62"/>
      <c r="IK75" s="62"/>
      <c r="IL75" s="62"/>
      <c r="IM75" s="62"/>
      <c r="IN75" s="62"/>
      <c r="IO75" s="62"/>
      <c r="IP75" s="62"/>
      <c r="IQ75" s="62"/>
      <c r="IR75" s="62"/>
      <c r="IS75" s="62"/>
      <c r="IT75" s="62"/>
      <c r="IU75" s="62"/>
      <c r="IV75" s="62"/>
      <c r="IW75" s="62"/>
      <c r="IX75" s="62"/>
      <c r="IY75" s="62"/>
      <c r="IZ75" s="62"/>
      <c r="JA75" s="62"/>
      <c r="JB75" s="62"/>
      <c r="JC75" s="62"/>
      <c r="JD75" s="62"/>
      <c r="JE75" s="62"/>
      <c r="JF75" s="62"/>
      <c r="JG75" s="62"/>
      <c r="JH75" s="62"/>
      <c r="JI75" s="62"/>
      <c r="JJ75" s="62"/>
      <c r="JK75" s="62"/>
      <c r="JL75" s="62"/>
      <c r="JM75" s="62"/>
      <c r="JN75" s="62"/>
      <c r="JO75" s="62"/>
      <c r="JP75" s="62"/>
      <c r="JQ75" s="62"/>
      <c r="JR75" s="62"/>
      <c r="JS75" s="62"/>
      <c r="JT75" s="62"/>
      <c r="JU75" s="62"/>
      <c r="JV75" s="62"/>
      <c r="JW75" s="62"/>
      <c r="JX75" s="62"/>
      <c r="JY75" s="62"/>
      <c r="JZ75" s="62"/>
      <c r="KA75" s="62"/>
      <c r="KB75" s="62"/>
      <c r="KC75" s="62"/>
      <c r="KD75" s="62"/>
      <c r="KE75" s="62"/>
      <c r="KF75" s="62"/>
      <c r="KG75" s="62"/>
      <c r="KH75" s="62"/>
      <c r="KI75" s="62"/>
      <c r="KJ75" s="62"/>
      <c r="KK75" s="62"/>
      <c r="KL75" s="62"/>
      <c r="KM75" s="62"/>
      <c r="KN75" s="62"/>
      <c r="KO75" s="62"/>
      <c r="KP75" s="62"/>
      <c r="KQ75" s="62"/>
      <c r="KR75" s="62"/>
      <c r="KS75" s="62"/>
      <c r="KT75" s="62"/>
      <c r="KU75" s="62"/>
      <c r="KV75" s="62"/>
      <c r="KW75" s="62"/>
      <c r="KX75" s="62"/>
      <c r="KY75" s="62"/>
      <c r="KZ75" s="62"/>
      <c r="LA75" s="62"/>
      <c r="LB75" s="62"/>
      <c r="LC75" s="62"/>
      <c r="LD75" s="62"/>
      <c r="LE75" s="62"/>
      <c r="LF75" s="62"/>
      <c r="LG75" s="62"/>
      <c r="LH75" s="62"/>
      <c r="LI75" s="62"/>
    </row>
    <row r="76" spans="3:321">
      <c r="C76" s="59">
        <v>414</v>
      </c>
      <c r="D76" s="59">
        <v>414</v>
      </c>
      <c r="E76" s="60" t="s">
        <v>150</v>
      </c>
      <c r="F76" s="67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9"/>
      <c r="R76" s="67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67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9"/>
      <c r="AP76" s="67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9"/>
      <c r="BB76" s="67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9"/>
      <c r="BN76" s="67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9"/>
      <c r="BZ76" s="67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7">
        <v>1344848.01</v>
      </c>
      <c r="CM76" s="68">
        <v>3095515.32</v>
      </c>
      <c r="CN76" s="68">
        <v>2997100.39</v>
      </c>
      <c r="CO76" s="68">
        <v>4519384.74</v>
      </c>
      <c r="CP76" s="68">
        <v>2812296.3</v>
      </c>
      <c r="CQ76" s="68">
        <v>3053712.3</v>
      </c>
      <c r="CR76" s="68">
        <v>4454753.2699999996</v>
      </c>
      <c r="CS76" s="68">
        <v>3481453.1100000101</v>
      </c>
      <c r="CT76" s="68">
        <v>4104785.98</v>
      </c>
      <c r="CU76" s="68">
        <v>5063438.45</v>
      </c>
      <c r="CV76" s="68">
        <v>2900734.97</v>
      </c>
      <c r="CW76" s="69">
        <v>9675540.9999999702</v>
      </c>
      <c r="CX76" s="67">
        <v>2250013.13</v>
      </c>
      <c r="CY76" s="68">
        <v>3123384.73</v>
      </c>
      <c r="CZ76" s="68">
        <v>3912271.59</v>
      </c>
      <c r="DA76" s="68">
        <v>3989206.14</v>
      </c>
      <c r="DB76" s="68">
        <v>4235445.9800000004</v>
      </c>
      <c r="DC76" s="68">
        <v>4498956.45</v>
      </c>
      <c r="DD76" s="68">
        <v>5893354.8200000003</v>
      </c>
      <c r="DE76" s="68">
        <v>2737988.13</v>
      </c>
      <c r="DF76" s="68">
        <v>4470617.3600000003</v>
      </c>
      <c r="DG76" s="68">
        <v>5632175.46</v>
      </c>
      <c r="DH76" s="68">
        <v>3946928.69</v>
      </c>
      <c r="DI76" s="69">
        <v>9414831.4299999997</v>
      </c>
      <c r="DJ76" s="67">
        <v>1662731.36</v>
      </c>
      <c r="DK76" s="68">
        <v>2955018.87</v>
      </c>
      <c r="DL76" s="68">
        <v>3873766.11</v>
      </c>
      <c r="DM76" s="68">
        <v>5367227.42</v>
      </c>
      <c r="DN76" s="68">
        <v>3882806.8</v>
      </c>
      <c r="DO76" s="68">
        <v>4002447.52</v>
      </c>
      <c r="DP76" s="68">
        <v>5432528.3099999996</v>
      </c>
      <c r="DQ76" s="68">
        <v>3433379.25</v>
      </c>
      <c r="DR76" s="68">
        <v>4703315.47</v>
      </c>
      <c r="DS76" s="68">
        <v>4220806.3600000003</v>
      </c>
      <c r="DT76" s="68">
        <v>4984923.72</v>
      </c>
      <c r="DU76" s="69">
        <v>13955599.460000001</v>
      </c>
      <c r="DV76" s="83">
        <v>1540449.49</v>
      </c>
      <c r="DW76" s="83">
        <v>3464931.9</v>
      </c>
      <c r="DX76" s="83">
        <v>5794925.4100000001</v>
      </c>
      <c r="DY76" s="61">
        <v>4966058.5999999996</v>
      </c>
      <c r="DZ76" s="79">
        <v>5437608.1200000001</v>
      </c>
      <c r="EA76" s="79">
        <v>4526483.4000000004</v>
      </c>
      <c r="EB76" s="79">
        <v>3994126.86</v>
      </c>
      <c r="EC76" s="84">
        <v>3316322.15</v>
      </c>
      <c r="ED76" s="79">
        <v>4109475.54</v>
      </c>
      <c r="EE76" s="79">
        <v>4068406.26</v>
      </c>
      <c r="EF76" s="79">
        <v>6559077.3600000003</v>
      </c>
      <c r="EG76" s="79">
        <v>12049145.1</v>
      </c>
      <c r="EH76" s="62">
        <v>1445443.93</v>
      </c>
      <c r="EI76" s="62">
        <v>3318516.23</v>
      </c>
      <c r="EJ76" s="62">
        <v>7050406.4900000002</v>
      </c>
      <c r="EK76" s="62">
        <v>5446546.7800000003</v>
      </c>
      <c r="EL76" s="62">
        <v>3548711.83</v>
      </c>
      <c r="EM76" s="62">
        <v>4342615.72</v>
      </c>
      <c r="EN76" s="62">
        <v>5219310.84</v>
      </c>
      <c r="EO76" s="62">
        <v>5169360.8</v>
      </c>
      <c r="EP76" s="62">
        <v>4341121.62</v>
      </c>
      <c r="EQ76" s="62">
        <v>4884082.33</v>
      </c>
      <c r="ER76" s="62">
        <v>4047161.45</v>
      </c>
      <c r="ES76" s="62">
        <v>17925486.800000001</v>
      </c>
      <c r="ET76" s="62">
        <v>1680235.02</v>
      </c>
      <c r="EU76" s="62">
        <v>3138627.78</v>
      </c>
      <c r="EV76" s="62">
        <v>4224659.0199999996</v>
      </c>
      <c r="EW76" s="62">
        <v>4569774.72</v>
      </c>
      <c r="EX76" s="62">
        <v>4902792.45</v>
      </c>
      <c r="EY76" s="62">
        <v>14378872.84</v>
      </c>
      <c r="EZ76" s="62">
        <v>4934074.01</v>
      </c>
      <c r="FA76" s="62">
        <v>3590546.61</v>
      </c>
      <c r="FB76" s="62">
        <v>5520674.5999999996</v>
      </c>
      <c r="FC76" s="62">
        <v>5584761.9900000002</v>
      </c>
      <c r="FD76" s="62">
        <v>5166021.46</v>
      </c>
      <c r="FE76" s="62">
        <v>17447882.190000001</v>
      </c>
      <c r="FF76" s="62">
        <v>2787286.8</v>
      </c>
      <c r="FG76" s="62">
        <v>4311687.28</v>
      </c>
      <c r="FH76" s="62">
        <v>4684442.99</v>
      </c>
      <c r="FI76" s="62">
        <v>4347499.75</v>
      </c>
      <c r="FJ76" s="62">
        <v>6601635.2999999998</v>
      </c>
      <c r="FK76" s="62">
        <v>6798405.21</v>
      </c>
      <c r="FL76" s="1">
        <v>8566117.3599999994</v>
      </c>
      <c r="FM76" s="62">
        <v>3294436.46</v>
      </c>
      <c r="FN76" s="62">
        <v>5819051.2000000002</v>
      </c>
      <c r="FO76" s="62">
        <v>7942946.5700000003</v>
      </c>
      <c r="FP76" s="62">
        <v>7175507.5999999996</v>
      </c>
      <c r="FQ76" s="62">
        <v>15335629.369999999</v>
      </c>
      <c r="FR76" s="62">
        <v>1489455.09</v>
      </c>
      <c r="FS76" s="62">
        <v>5723852.3799999999</v>
      </c>
      <c r="FT76" s="62">
        <v>6178408.1299999999</v>
      </c>
      <c r="FU76" s="62">
        <v>3724252.93</v>
      </c>
      <c r="FV76" s="62">
        <v>13077921.189999999</v>
      </c>
      <c r="FW76" s="62">
        <v>5881001.1799999997</v>
      </c>
      <c r="FX76" s="62">
        <v>5977676.1900000004</v>
      </c>
      <c r="FY76" s="62">
        <v>4335926</v>
      </c>
      <c r="FZ76" s="62">
        <v>5316393.49</v>
      </c>
      <c r="GA76" s="62">
        <v>6553727.0800000001</v>
      </c>
      <c r="GB76" s="62">
        <v>5833602.8700000001</v>
      </c>
      <c r="GC76" s="62">
        <v>10153738.76</v>
      </c>
      <c r="GD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  <c r="IK76" s="62"/>
      <c r="IL76" s="62"/>
      <c r="IM76" s="62"/>
      <c r="IN76" s="62"/>
      <c r="IO76" s="62"/>
      <c r="IP76" s="62"/>
      <c r="IQ76" s="62"/>
      <c r="IR76" s="62"/>
      <c r="IS76" s="62"/>
      <c r="IT76" s="62"/>
      <c r="IU76" s="62"/>
      <c r="IV76" s="62"/>
      <c r="IW76" s="62"/>
      <c r="IX76" s="62"/>
      <c r="IY76" s="62"/>
      <c r="IZ76" s="62"/>
      <c r="JA76" s="62"/>
      <c r="JB76" s="62"/>
      <c r="JC76" s="62"/>
      <c r="JD76" s="62"/>
      <c r="JE76" s="62"/>
      <c r="JF76" s="62"/>
      <c r="JG76" s="62"/>
      <c r="JH76" s="62"/>
      <c r="JI76" s="62"/>
      <c r="JJ76" s="62"/>
      <c r="JK76" s="62"/>
      <c r="JL76" s="62"/>
      <c r="JM76" s="62"/>
      <c r="JN76" s="62"/>
      <c r="JO76" s="62"/>
      <c r="JP76" s="62"/>
      <c r="JQ76" s="62"/>
      <c r="JR76" s="62"/>
      <c r="JS76" s="62"/>
      <c r="JT76" s="62"/>
      <c r="JU76" s="62"/>
      <c r="JV76" s="62"/>
      <c r="JW76" s="62"/>
      <c r="JX76" s="62"/>
      <c r="JY76" s="62"/>
      <c r="JZ76" s="62"/>
      <c r="KA76" s="62"/>
      <c r="KB76" s="62"/>
      <c r="KC76" s="62"/>
      <c r="KD76" s="62"/>
      <c r="KE76" s="62"/>
      <c r="KF76" s="62"/>
      <c r="KG76" s="62"/>
      <c r="KH76" s="62"/>
      <c r="KI76" s="62"/>
      <c r="KJ76" s="62"/>
      <c r="KK76" s="62"/>
      <c r="KL76" s="62"/>
      <c r="KM76" s="62"/>
      <c r="KN76" s="62"/>
      <c r="KO76" s="62"/>
      <c r="KP76" s="62"/>
      <c r="KQ76" s="62"/>
      <c r="KR76" s="62"/>
      <c r="KS76" s="62"/>
      <c r="KT76" s="62"/>
      <c r="KU76" s="62"/>
      <c r="KV76" s="62"/>
      <c r="KW76" s="62"/>
      <c r="KX76" s="62"/>
      <c r="KY76" s="62"/>
      <c r="KZ76" s="62"/>
      <c r="LA76" s="62"/>
      <c r="LB76" s="62"/>
      <c r="LC76" s="62"/>
      <c r="LD76" s="62"/>
      <c r="LE76" s="62"/>
      <c r="LF76" s="62"/>
      <c r="LG76" s="62"/>
      <c r="LH76" s="62"/>
      <c r="LI76" s="62"/>
    </row>
    <row r="77" spans="3:321">
      <c r="D77" s="59">
        <v>4141</v>
      </c>
      <c r="E77" s="60" t="s">
        <v>393</v>
      </c>
      <c r="F77" s="67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9"/>
      <c r="R77" s="67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67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9"/>
      <c r="AP77" s="67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9"/>
      <c r="BB77" s="67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9"/>
      <c r="BN77" s="67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9"/>
      <c r="BZ77" s="67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7">
        <v>226503.46</v>
      </c>
      <c r="CM77" s="68">
        <v>398506.28</v>
      </c>
      <c r="CN77" s="68">
        <v>347888.3</v>
      </c>
      <c r="CO77" s="68">
        <v>482538.73</v>
      </c>
      <c r="CP77" s="68">
        <v>434220.79999999999</v>
      </c>
      <c r="CQ77" s="68">
        <v>577179.18000000005</v>
      </c>
      <c r="CR77" s="68">
        <v>499353.83</v>
      </c>
      <c r="CS77" s="68">
        <v>308512.45</v>
      </c>
      <c r="CT77" s="68">
        <v>546623.92000000004</v>
      </c>
      <c r="CU77" s="68">
        <v>610230.16</v>
      </c>
      <c r="CV77" s="68">
        <v>474745.23</v>
      </c>
      <c r="CW77" s="69">
        <v>725760.35</v>
      </c>
      <c r="CX77" s="67">
        <v>305564.51</v>
      </c>
      <c r="CY77" s="68">
        <v>453617.84</v>
      </c>
      <c r="CZ77" s="68">
        <v>487681.53</v>
      </c>
      <c r="DA77" s="68">
        <v>407043.61</v>
      </c>
      <c r="DB77" s="68">
        <v>476265.81</v>
      </c>
      <c r="DC77" s="68">
        <v>645613.88</v>
      </c>
      <c r="DD77" s="68">
        <v>551091.80000000005</v>
      </c>
      <c r="DE77" s="68">
        <v>326873.34999999998</v>
      </c>
      <c r="DF77" s="68">
        <v>580936.76</v>
      </c>
      <c r="DG77" s="68">
        <v>722100.04</v>
      </c>
      <c r="DH77" s="68">
        <v>564072.31000000006</v>
      </c>
      <c r="DI77" s="69">
        <v>658670.13</v>
      </c>
      <c r="DJ77" s="67">
        <v>271826.23</v>
      </c>
      <c r="DK77" s="68">
        <v>365187.03</v>
      </c>
      <c r="DL77" s="68">
        <v>428637.6</v>
      </c>
      <c r="DM77" s="68">
        <v>466304.73</v>
      </c>
      <c r="DN77" s="68">
        <v>549922.51</v>
      </c>
      <c r="DO77" s="68">
        <v>519697.6</v>
      </c>
      <c r="DP77" s="68">
        <v>502101.75</v>
      </c>
      <c r="DQ77" s="68">
        <v>320657.53000000003</v>
      </c>
      <c r="DR77" s="68">
        <v>624121.05999999901</v>
      </c>
      <c r="DS77" s="68">
        <v>638375.56000000006</v>
      </c>
      <c r="DT77" s="68">
        <v>481548.06</v>
      </c>
      <c r="DU77" s="69">
        <v>584304.09</v>
      </c>
      <c r="DV77" s="61">
        <v>323304.89</v>
      </c>
      <c r="DW77" s="61">
        <v>405353.6</v>
      </c>
      <c r="DX77" s="61">
        <v>513759.42</v>
      </c>
      <c r="DY77" s="61">
        <v>458331.5</v>
      </c>
      <c r="DZ77" s="79">
        <v>522229.81</v>
      </c>
      <c r="EB77" s="79"/>
      <c r="EC77" s="79"/>
      <c r="ED77" s="79"/>
      <c r="EE77" s="79"/>
      <c r="EF77" s="79"/>
      <c r="EG77" s="79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  <c r="IK77" s="62"/>
      <c r="IL77" s="62"/>
      <c r="IM77" s="62"/>
      <c r="IN77" s="62"/>
      <c r="IO77" s="62"/>
      <c r="IP77" s="62"/>
      <c r="IQ77" s="62"/>
      <c r="IR77" s="62"/>
      <c r="IS77" s="62"/>
      <c r="IT77" s="62"/>
      <c r="IU77" s="62"/>
      <c r="IV77" s="62"/>
      <c r="IW77" s="62"/>
      <c r="IX77" s="62"/>
      <c r="IY77" s="62"/>
      <c r="IZ77" s="62"/>
      <c r="JA77" s="62"/>
      <c r="JB77" s="62"/>
      <c r="JC77" s="62"/>
      <c r="JD77" s="62"/>
      <c r="JE77" s="62"/>
      <c r="JF77" s="62"/>
      <c r="JG77" s="62"/>
      <c r="JH77" s="62"/>
      <c r="JI77" s="62"/>
      <c r="JJ77" s="62"/>
      <c r="JK77" s="62"/>
      <c r="JL77" s="62"/>
      <c r="JM77" s="62"/>
      <c r="JN77" s="62"/>
      <c r="JO77" s="62"/>
      <c r="JP77" s="62"/>
      <c r="JQ77" s="62"/>
      <c r="JR77" s="62"/>
      <c r="JS77" s="62"/>
      <c r="JT77" s="62"/>
      <c r="JU77" s="62"/>
      <c r="JV77" s="62"/>
      <c r="JW77" s="62"/>
      <c r="JX77" s="62"/>
      <c r="JY77" s="62"/>
      <c r="JZ77" s="62"/>
      <c r="KA77" s="62"/>
      <c r="KB77" s="62"/>
      <c r="KC77" s="62"/>
      <c r="KD77" s="62"/>
      <c r="KE77" s="62"/>
      <c r="KF77" s="62"/>
      <c r="KG77" s="62"/>
      <c r="KH77" s="62"/>
      <c r="KI77" s="62"/>
      <c r="KJ77" s="62"/>
      <c r="KK77" s="62"/>
      <c r="KL77" s="62"/>
      <c r="KM77" s="62"/>
      <c r="KN77" s="62"/>
      <c r="KO77" s="62"/>
      <c r="KP77" s="62"/>
      <c r="KQ77" s="62"/>
      <c r="KR77" s="62"/>
      <c r="KS77" s="62"/>
      <c r="KT77" s="62"/>
      <c r="KU77" s="62"/>
      <c r="KV77" s="62"/>
      <c r="KW77" s="62"/>
      <c r="KX77" s="62"/>
      <c r="KY77" s="62"/>
      <c r="KZ77" s="62"/>
      <c r="LA77" s="62"/>
      <c r="LB77" s="62"/>
      <c r="LC77" s="62"/>
      <c r="LD77" s="62"/>
      <c r="LE77" s="62"/>
      <c r="LF77" s="62"/>
      <c r="LG77" s="62"/>
      <c r="LH77" s="62"/>
      <c r="LI77" s="62"/>
    </row>
    <row r="78" spans="3:321">
      <c r="D78" s="59">
        <v>4142</v>
      </c>
      <c r="E78" s="60" t="s">
        <v>394</v>
      </c>
      <c r="F78" s="67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9"/>
      <c r="R78" s="67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67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9"/>
      <c r="AP78" s="67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9"/>
      <c r="BB78" s="67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9"/>
      <c r="BN78" s="67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9"/>
      <c r="BZ78" s="67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7">
        <v>46247.1</v>
      </c>
      <c r="CM78" s="68">
        <v>33679.42</v>
      </c>
      <c r="CN78" s="68">
        <v>44630.64</v>
      </c>
      <c r="CO78" s="68">
        <v>45134.45</v>
      </c>
      <c r="CP78" s="68">
        <v>37348.050000000003</v>
      </c>
      <c r="CQ78" s="68">
        <v>31825.48</v>
      </c>
      <c r="CR78" s="68">
        <v>76407.78</v>
      </c>
      <c r="CS78" s="68">
        <v>45816</v>
      </c>
      <c r="CT78" s="68">
        <v>52300.480000000003</v>
      </c>
      <c r="CU78" s="68">
        <v>49950.55</v>
      </c>
      <c r="CV78" s="68">
        <v>67377.350000000006</v>
      </c>
      <c r="CW78" s="69">
        <v>186052.19</v>
      </c>
      <c r="CX78" s="67">
        <v>28828.71</v>
      </c>
      <c r="CY78" s="68">
        <v>46794.83</v>
      </c>
      <c r="CZ78" s="68">
        <v>47438.27</v>
      </c>
      <c r="DA78" s="68">
        <v>25823.61</v>
      </c>
      <c r="DB78" s="68">
        <v>30414.5</v>
      </c>
      <c r="DC78" s="68">
        <v>66186.39</v>
      </c>
      <c r="DD78" s="68">
        <v>42582.79</v>
      </c>
      <c r="DE78" s="68">
        <v>24394.73</v>
      </c>
      <c r="DF78" s="68">
        <v>55526.85</v>
      </c>
      <c r="DG78" s="68">
        <v>53686.97</v>
      </c>
      <c r="DH78" s="68">
        <v>38317.660000000003</v>
      </c>
      <c r="DI78" s="69">
        <v>218530.88</v>
      </c>
      <c r="DJ78" s="67">
        <v>13459.25</v>
      </c>
      <c r="DK78" s="68">
        <v>39635.54</v>
      </c>
      <c r="DL78" s="68">
        <v>41603.71</v>
      </c>
      <c r="DM78" s="68">
        <v>32204.42</v>
      </c>
      <c r="DN78" s="68">
        <v>64523.040000000001</v>
      </c>
      <c r="DO78" s="68">
        <v>52972.71</v>
      </c>
      <c r="DP78" s="68">
        <v>33111.300000000003</v>
      </c>
      <c r="DQ78" s="68">
        <v>21940.29</v>
      </c>
      <c r="DR78" s="68">
        <v>44757.56</v>
      </c>
      <c r="DS78" s="68">
        <v>52314.790000000103</v>
      </c>
      <c r="DT78" s="68">
        <v>43401.27</v>
      </c>
      <c r="DU78" s="69">
        <v>171521.43</v>
      </c>
      <c r="DV78" s="61">
        <v>11808.25</v>
      </c>
      <c r="DW78" s="61">
        <v>44941.62</v>
      </c>
      <c r="DX78" s="61">
        <v>62507.18</v>
      </c>
      <c r="DY78" s="61">
        <v>49515.41</v>
      </c>
      <c r="DZ78" s="79">
        <v>133087.62</v>
      </c>
      <c r="EC78" s="79"/>
      <c r="ED78" s="79"/>
      <c r="EE78" s="79"/>
      <c r="EF78" s="79"/>
      <c r="EG78" s="79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  <c r="IK78" s="62"/>
      <c r="IL78" s="62"/>
      <c r="IM78" s="62"/>
      <c r="IN78" s="62"/>
      <c r="IO78" s="62"/>
      <c r="IP78" s="62"/>
      <c r="IQ78" s="62"/>
      <c r="IR78" s="62"/>
      <c r="IS78" s="62"/>
      <c r="IT78" s="62"/>
      <c r="IU78" s="62"/>
      <c r="IV78" s="62"/>
      <c r="IW78" s="62"/>
      <c r="IX78" s="62"/>
      <c r="IY78" s="62"/>
      <c r="IZ78" s="62"/>
      <c r="JA78" s="62"/>
      <c r="JB78" s="62"/>
      <c r="JC78" s="62"/>
      <c r="JD78" s="62"/>
      <c r="JE78" s="62"/>
      <c r="JF78" s="62"/>
      <c r="JG78" s="62"/>
      <c r="JH78" s="62"/>
      <c r="JI78" s="62"/>
      <c r="JJ78" s="62"/>
      <c r="JK78" s="62"/>
      <c r="JL78" s="62"/>
      <c r="JM78" s="62"/>
      <c r="JN78" s="62"/>
      <c r="JO78" s="62"/>
      <c r="JP78" s="62"/>
      <c r="JQ78" s="62"/>
      <c r="JR78" s="62"/>
      <c r="JS78" s="62"/>
      <c r="JT78" s="62"/>
      <c r="JU78" s="62"/>
      <c r="JV78" s="62"/>
      <c r="JW78" s="62"/>
      <c r="JX78" s="62"/>
      <c r="JY78" s="62"/>
      <c r="JZ78" s="62"/>
      <c r="KA78" s="62"/>
      <c r="KB78" s="62"/>
      <c r="KC78" s="62"/>
      <c r="KD78" s="62"/>
      <c r="KE78" s="62"/>
      <c r="KF78" s="62"/>
      <c r="KG78" s="62"/>
      <c r="KH78" s="62"/>
      <c r="KI78" s="62"/>
      <c r="KJ78" s="62"/>
      <c r="KK78" s="62"/>
      <c r="KL78" s="62"/>
      <c r="KM78" s="62"/>
      <c r="KN78" s="62"/>
      <c r="KO78" s="62"/>
      <c r="KP78" s="62"/>
      <c r="KQ78" s="62"/>
      <c r="KR78" s="62"/>
      <c r="KS78" s="62"/>
      <c r="KT78" s="62"/>
      <c r="KU78" s="62"/>
      <c r="KV78" s="62"/>
      <c r="KW78" s="62"/>
      <c r="KX78" s="62"/>
      <c r="KY78" s="62"/>
      <c r="KZ78" s="62"/>
      <c r="LA78" s="62"/>
      <c r="LB78" s="62"/>
      <c r="LC78" s="62"/>
      <c r="LD78" s="62"/>
      <c r="LE78" s="62"/>
      <c r="LF78" s="62"/>
      <c r="LG78" s="62"/>
      <c r="LH78" s="62"/>
      <c r="LI78" s="62"/>
    </row>
    <row r="79" spans="3:321">
      <c r="D79" s="59">
        <v>4143</v>
      </c>
      <c r="E79" s="60" t="s">
        <v>395</v>
      </c>
      <c r="F79" s="67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9"/>
      <c r="R79" s="67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67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9"/>
      <c r="AP79" s="67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9"/>
      <c r="BB79" s="67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9"/>
      <c r="BN79" s="67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9"/>
      <c r="BZ79" s="67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7">
        <v>108423.52</v>
      </c>
      <c r="CM79" s="68">
        <v>434351.05</v>
      </c>
      <c r="CN79" s="68">
        <v>511934.510000001</v>
      </c>
      <c r="CO79" s="68">
        <v>488510.2</v>
      </c>
      <c r="CP79" s="68">
        <v>440174.76</v>
      </c>
      <c r="CQ79" s="68">
        <v>399462.04</v>
      </c>
      <c r="CR79" s="68">
        <v>628497.15999999898</v>
      </c>
      <c r="CS79" s="68">
        <v>400543.25</v>
      </c>
      <c r="CT79" s="68">
        <v>417515.24</v>
      </c>
      <c r="CU79" s="68">
        <v>788512.48</v>
      </c>
      <c r="CV79" s="68">
        <v>454890.08000000101</v>
      </c>
      <c r="CW79" s="69">
        <v>1203017.28</v>
      </c>
      <c r="CX79" s="67">
        <v>284498.68</v>
      </c>
      <c r="CY79" s="68">
        <v>500092.43</v>
      </c>
      <c r="CZ79" s="68">
        <v>477288.79</v>
      </c>
      <c r="DA79" s="68">
        <v>548531.02</v>
      </c>
      <c r="DB79" s="68">
        <v>422694.1</v>
      </c>
      <c r="DC79" s="68">
        <v>376572.86</v>
      </c>
      <c r="DD79" s="68">
        <v>337804.06</v>
      </c>
      <c r="DE79" s="68">
        <v>650496.94999999995</v>
      </c>
      <c r="DF79" s="68">
        <v>548233.28</v>
      </c>
      <c r="DG79" s="68">
        <v>678938.95</v>
      </c>
      <c r="DH79" s="68">
        <v>475745</v>
      </c>
      <c r="DI79" s="69">
        <v>814395.24</v>
      </c>
      <c r="DJ79" s="67">
        <v>187995.88</v>
      </c>
      <c r="DK79" s="68">
        <v>665140.56999999995</v>
      </c>
      <c r="DL79" s="68">
        <v>424891.39</v>
      </c>
      <c r="DM79" s="68">
        <v>285499.40000000002</v>
      </c>
      <c r="DN79" s="68">
        <v>428513.21</v>
      </c>
      <c r="DO79" s="68">
        <v>347830.66</v>
      </c>
      <c r="DP79" s="68">
        <v>769400.98</v>
      </c>
      <c r="DQ79" s="68">
        <v>464877.890000001</v>
      </c>
      <c r="DR79" s="68">
        <v>424296.41</v>
      </c>
      <c r="DS79" s="68">
        <v>384158.81</v>
      </c>
      <c r="DT79" s="68">
        <v>360920.81000000099</v>
      </c>
      <c r="DU79" s="69">
        <v>1218954.83</v>
      </c>
      <c r="DV79" s="61">
        <v>165148.45000000001</v>
      </c>
      <c r="DW79" s="61">
        <v>373237.52</v>
      </c>
      <c r="DX79" s="61">
        <v>417987.53</v>
      </c>
      <c r="DY79" s="61">
        <v>344465.27</v>
      </c>
      <c r="DZ79" s="79">
        <v>517293.55</v>
      </c>
      <c r="EC79" s="79"/>
      <c r="ED79" s="79"/>
      <c r="EE79" s="79"/>
      <c r="EF79" s="79"/>
      <c r="EG79" s="79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  <c r="IK79" s="62"/>
      <c r="IL79" s="62"/>
      <c r="IM79" s="62"/>
      <c r="IN79" s="62"/>
      <c r="IO79" s="62"/>
      <c r="IP79" s="62"/>
      <c r="IQ79" s="62"/>
      <c r="IR79" s="62"/>
      <c r="IS79" s="62"/>
      <c r="IT79" s="62"/>
      <c r="IU79" s="62"/>
      <c r="IV79" s="62"/>
      <c r="IW79" s="62"/>
      <c r="IX79" s="62"/>
      <c r="IY79" s="62"/>
      <c r="IZ79" s="62"/>
      <c r="JA79" s="62"/>
      <c r="JB79" s="62"/>
      <c r="JC79" s="62"/>
      <c r="JD79" s="62"/>
      <c r="JE79" s="62"/>
      <c r="JF79" s="62"/>
      <c r="JG79" s="62"/>
      <c r="JH79" s="62"/>
      <c r="JI79" s="62"/>
      <c r="JJ79" s="62"/>
      <c r="JK79" s="62"/>
      <c r="JL79" s="62"/>
      <c r="JM79" s="62"/>
      <c r="JN79" s="62"/>
      <c r="JO79" s="62"/>
      <c r="JP79" s="62"/>
      <c r="JQ79" s="62"/>
      <c r="JR79" s="62"/>
      <c r="JS79" s="62"/>
      <c r="JT79" s="62"/>
      <c r="JU79" s="62"/>
      <c r="JV79" s="62"/>
      <c r="JW79" s="62"/>
      <c r="JX79" s="62"/>
      <c r="JY79" s="62"/>
      <c r="JZ79" s="62"/>
      <c r="KA79" s="62"/>
      <c r="KB79" s="62"/>
      <c r="KC79" s="62"/>
      <c r="KD79" s="62"/>
      <c r="KE79" s="62"/>
      <c r="KF79" s="62"/>
      <c r="KG79" s="62"/>
      <c r="KH79" s="62"/>
      <c r="KI79" s="62"/>
      <c r="KJ79" s="62"/>
      <c r="KK79" s="62"/>
      <c r="KL79" s="62"/>
      <c r="KM79" s="62"/>
      <c r="KN79" s="62"/>
      <c r="KO79" s="62"/>
      <c r="KP79" s="62"/>
      <c r="KQ79" s="62"/>
      <c r="KR79" s="62"/>
      <c r="KS79" s="62"/>
      <c r="KT79" s="62"/>
      <c r="KU79" s="62"/>
      <c r="KV79" s="62"/>
      <c r="KW79" s="62"/>
      <c r="KX79" s="62"/>
      <c r="KY79" s="62"/>
      <c r="KZ79" s="62"/>
      <c r="LA79" s="62"/>
      <c r="LB79" s="62"/>
      <c r="LC79" s="62"/>
      <c r="LD79" s="62"/>
      <c r="LE79" s="62"/>
      <c r="LF79" s="62"/>
      <c r="LG79" s="62"/>
      <c r="LH79" s="62"/>
      <c r="LI79" s="62"/>
    </row>
    <row r="80" spans="3:321" ht="30">
      <c r="D80" s="59">
        <v>4144</v>
      </c>
      <c r="E80" s="60" t="s">
        <v>396</v>
      </c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9"/>
      <c r="R80" s="67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67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9"/>
      <c r="AP80" s="67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9"/>
      <c r="BB80" s="67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9"/>
      <c r="BN80" s="67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9"/>
      <c r="BZ80" s="67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7">
        <v>211397.7</v>
      </c>
      <c r="CM80" s="68">
        <v>139735.81</v>
      </c>
      <c r="CN80" s="68">
        <v>258231.01</v>
      </c>
      <c r="CO80" s="68">
        <v>803722.28</v>
      </c>
      <c r="CP80" s="68">
        <v>180118.94</v>
      </c>
      <c r="CQ80" s="68">
        <v>168900.85</v>
      </c>
      <c r="CR80" s="68">
        <v>412448.97</v>
      </c>
      <c r="CS80" s="68">
        <v>432834.23</v>
      </c>
      <c r="CT80" s="68">
        <v>387566.27</v>
      </c>
      <c r="CU80" s="68">
        <v>223074.42</v>
      </c>
      <c r="CV80" s="68">
        <v>141807.76999999999</v>
      </c>
      <c r="CW80" s="69">
        <v>464433.36</v>
      </c>
      <c r="CX80" s="67">
        <v>209641.58</v>
      </c>
      <c r="CY80" s="68">
        <v>120838.94</v>
      </c>
      <c r="CZ80" s="68">
        <v>293357.86</v>
      </c>
      <c r="DA80" s="68">
        <v>411489.74</v>
      </c>
      <c r="DB80" s="68">
        <v>1498201.85</v>
      </c>
      <c r="DC80" s="68">
        <v>580096.97</v>
      </c>
      <c r="DD80" s="68">
        <v>321420.59999999998</v>
      </c>
      <c r="DE80" s="68">
        <v>156064.07999999999</v>
      </c>
      <c r="DF80" s="68">
        <v>290958.78999999998</v>
      </c>
      <c r="DG80" s="68">
        <v>212310.53</v>
      </c>
      <c r="DH80" s="68">
        <v>210630.46</v>
      </c>
      <c r="DI80" s="69">
        <v>323504.56</v>
      </c>
      <c r="DJ80" s="67">
        <v>575576.32999999996</v>
      </c>
      <c r="DK80" s="68">
        <v>154031.76</v>
      </c>
      <c r="DL80" s="68">
        <v>334947.96999999997</v>
      </c>
      <c r="DM80" s="68">
        <v>591578.28</v>
      </c>
      <c r="DN80" s="68">
        <v>185371.45</v>
      </c>
      <c r="DO80" s="68">
        <v>249294.97</v>
      </c>
      <c r="DP80" s="68">
        <v>293142</v>
      </c>
      <c r="DQ80" s="68">
        <v>131022.75</v>
      </c>
      <c r="DR80" s="68">
        <v>624562.93999999994</v>
      </c>
      <c r="DS80" s="68">
        <v>158004.76</v>
      </c>
      <c r="DT80" s="68">
        <v>162407.67000000001</v>
      </c>
      <c r="DU80" s="69">
        <v>920921.320000001</v>
      </c>
      <c r="DV80" s="61">
        <v>230455.17</v>
      </c>
      <c r="DW80" s="61">
        <v>156187.92000000001</v>
      </c>
      <c r="DX80" s="61">
        <v>318883.87</v>
      </c>
      <c r="DY80" s="61">
        <v>1161990.45</v>
      </c>
      <c r="DZ80" s="79">
        <v>223316.53</v>
      </c>
      <c r="EC80" s="79"/>
      <c r="ED80" s="79"/>
      <c r="EE80" s="79"/>
      <c r="EF80" s="79"/>
      <c r="EG80" s="79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  <c r="IK80" s="62"/>
      <c r="IL80" s="62"/>
      <c r="IM80" s="62"/>
      <c r="IN80" s="62"/>
      <c r="IO80" s="62"/>
      <c r="IP80" s="62"/>
      <c r="IQ80" s="62"/>
      <c r="IR80" s="62"/>
      <c r="IS80" s="62"/>
      <c r="IT80" s="62"/>
      <c r="IU80" s="62"/>
      <c r="IV80" s="62"/>
      <c r="IW80" s="62"/>
      <c r="IX80" s="62"/>
      <c r="IY80" s="62"/>
      <c r="IZ80" s="62"/>
      <c r="JA80" s="62"/>
      <c r="JB80" s="62"/>
      <c r="JC80" s="62"/>
      <c r="JD80" s="62"/>
      <c r="JE80" s="62"/>
      <c r="JF80" s="62"/>
      <c r="JG80" s="62"/>
      <c r="JH80" s="62"/>
      <c r="JI80" s="62"/>
      <c r="JJ80" s="62"/>
      <c r="JK80" s="62"/>
      <c r="JL80" s="62"/>
      <c r="JM80" s="62"/>
      <c r="JN80" s="62"/>
      <c r="JO80" s="62"/>
      <c r="JP80" s="62"/>
      <c r="JQ80" s="62"/>
      <c r="JR80" s="62"/>
      <c r="JS80" s="62"/>
      <c r="JT80" s="62"/>
      <c r="JU80" s="62"/>
      <c r="JV80" s="62"/>
      <c r="JW80" s="62"/>
      <c r="JX80" s="62"/>
      <c r="JY80" s="62"/>
      <c r="JZ80" s="62"/>
      <c r="KA80" s="62"/>
      <c r="KB80" s="62"/>
      <c r="KC80" s="62"/>
      <c r="KD80" s="62"/>
      <c r="KE80" s="62"/>
      <c r="KF80" s="62"/>
      <c r="KG80" s="62"/>
      <c r="KH80" s="62"/>
      <c r="KI80" s="62"/>
      <c r="KJ80" s="62"/>
      <c r="KK80" s="62"/>
      <c r="KL80" s="62"/>
      <c r="KM80" s="62"/>
      <c r="KN80" s="62"/>
      <c r="KO80" s="62"/>
      <c r="KP80" s="62"/>
      <c r="KQ80" s="62"/>
      <c r="KR80" s="62"/>
      <c r="KS80" s="62"/>
      <c r="KT80" s="62"/>
      <c r="KU80" s="62"/>
      <c r="KV80" s="62"/>
      <c r="KW80" s="62"/>
      <c r="KX80" s="62"/>
      <c r="KY80" s="62"/>
      <c r="KZ80" s="62"/>
      <c r="LA80" s="62"/>
      <c r="LB80" s="62"/>
      <c r="LC80" s="62"/>
      <c r="LD80" s="62"/>
      <c r="LE80" s="62"/>
      <c r="LF80" s="62"/>
      <c r="LG80" s="62"/>
      <c r="LH80" s="62"/>
      <c r="LI80" s="62"/>
    </row>
    <row r="81" spans="3:321">
      <c r="D81" s="59">
        <v>4145</v>
      </c>
      <c r="E81" s="60" t="s">
        <v>397</v>
      </c>
      <c r="F81" s="67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9"/>
      <c r="R81" s="67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67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9"/>
      <c r="AP81" s="67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9"/>
      <c r="BB81" s="67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9"/>
      <c r="BN81" s="67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9"/>
      <c r="BZ81" s="67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7">
        <v>4112.79</v>
      </c>
      <c r="CM81" s="68">
        <v>33289.14</v>
      </c>
      <c r="CN81" s="68">
        <v>58328.62</v>
      </c>
      <c r="CO81" s="68">
        <v>88032.74</v>
      </c>
      <c r="CP81" s="68">
        <v>88161.3</v>
      </c>
      <c r="CQ81" s="68">
        <v>84099.11</v>
      </c>
      <c r="CR81" s="68">
        <v>66646.720000000001</v>
      </c>
      <c r="CS81" s="68">
        <v>30573.73</v>
      </c>
      <c r="CT81" s="68">
        <v>163148.07999999999</v>
      </c>
      <c r="CU81" s="68">
        <v>103825.34</v>
      </c>
      <c r="CV81" s="68">
        <v>89477.15</v>
      </c>
      <c r="CW81" s="69">
        <v>256196.29</v>
      </c>
      <c r="CX81" s="67">
        <v>4423.3999999999996</v>
      </c>
      <c r="CY81" s="68">
        <v>79080.740000000005</v>
      </c>
      <c r="CZ81" s="68">
        <v>75331.81</v>
      </c>
      <c r="DA81" s="68">
        <v>60242.91</v>
      </c>
      <c r="DB81" s="68">
        <v>89938.06</v>
      </c>
      <c r="DC81" s="68">
        <v>63346.15</v>
      </c>
      <c r="DD81" s="68">
        <v>70752.5</v>
      </c>
      <c r="DE81" s="68">
        <v>62237.52</v>
      </c>
      <c r="DF81" s="68">
        <v>68252.14</v>
      </c>
      <c r="DG81" s="68">
        <v>123670.39999999999</v>
      </c>
      <c r="DH81" s="68">
        <v>87898.36</v>
      </c>
      <c r="DI81" s="69">
        <v>163929.72</v>
      </c>
      <c r="DJ81" s="67">
        <v>2327.34</v>
      </c>
      <c r="DK81" s="68">
        <v>18059.009999999998</v>
      </c>
      <c r="DL81" s="68">
        <v>105509.05</v>
      </c>
      <c r="DM81" s="68">
        <v>88140.11</v>
      </c>
      <c r="DN81" s="68">
        <v>22003.85</v>
      </c>
      <c r="DO81" s="68">
        <v>71635.95</v>
      </c>
      <c r="DP81" s="68">
        <v>131594.75</v>
      </c>
      <c r="DQ81" s="68">
        <v>70128.929999999993</v>
      </c>
      <c r="DR81" s="68">
        <v>81326.84</v>
      </c>
      <c r="DS81" s="68">
        <v>101200.35</v>
      </c>
      <c r="DT81" s="68">
        <v>72027.41</v>
      </c>
      <c r="DU81" s="69">
        <v>158120.49</v>
      </c>
      <c r="DV81" s="61">
        <v>9195.36</v>
      </c>
      <c r="DW81" s="61">
        <v>16224.6</v>
      </c>
      <c r="DX81" s="61">
        <v>138622.34</v>
      </c>
      <c r="DY81" s="61">
        <v>25604.99</v>
      </c>
      <c r="DZ81" s="79">
        <v>76279.149999999994</v>
      </c>
      <c r="EC81" s="79"/>
      <c r="ED81" s="79"/>
      <c r="EE81" s="79"/>
      <c r="EF81" s="79"/>
      <c r="EG81" s="79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  <c r="IK81" s="62"/>
      <c r="IL81" s="62"/>
      <c r="IM81" s="62"/>
      <c r="IN81" s="62"/>
      <c r="IO81" s="62"/>
      <c r="IP81" s="62"/>
      <c r="IQ81" s="62"/>
      <c r="IR81" s="62"/>
      <c r="IS81" s="62"/>
      <c r="IT81" s="62"/>
      <c r="IU81" s="62"/>
      <c r="IV81" s="62"/>
      <c r="IW81" s="62"/>
      <c r="IX81" s="62"/>
      <c r="IY81" s="62"/>
      <c r="IZ81" s="62"/>
      <c r="JA81" s="62"/>
      <c r="JB81" s="62"/>
      <c r="JC81" s="62"/>
      <c r="JD81" s="62"/>
      <c r="JE81" s="62"/>
      <c r="JF81" s="62"/>
      <c r="JG81" s="62"/>
      <c r="JH81" s="62"/>
      <c r="JI81" s="62"/>
      <c r="JJ81" s="62"/>
      <c r="JK81" s="62"/>
      <c r="JL81" s="62"/>
      <c r="JM81" s="62"/>
      <c r="JN81" s="62"/>
      <c r="JO81" s="62"/>
      <c r="JP81" s="62"/>
      <c r="JQ81" s="62"/>
      <c r="JR81" s="62"/>
      <c r="JS81" s="62"/>
      <c r="JT81" s="62"/>
      <c r="JU81" s="62"/>
      <c r="JV81" s="62"/>
      <c r="JW81" s="62"/>
      <c r="JX81" s="62"/>
      <c r="JY81" s="62"/>
      <c r="JZ81" s="62"/>
      <c r="KA81" s="62"/>
      <c r="KB81" s="62"/>
      <c r="KC81" s="62"/>
      <c r="KD81" s="62"/>
      <c r="KE81" s="62"/>
      <c r="KF81" s="62"/>
      <c r="KG81" s="62"/>
      <c r="KH81" s="62"/>
      <c r="KI81" s="62"/>
      <c r="KJ81" s="62"/>
      <c r="KK81" s="62"/>
      <c r="KL81" s="62"/>
      <c r="KM81" s="62"/>
      <c r="KN81" s="62"/>
      <c r="KO81" s="62"/>
      <c r="KP81" s="62"/>
      <c r="KQ81" s="62"/>
      <c r="KR81" s="62"/>
      <c r="KS81" s="62"/>
      <c r="KT81" s="62"/>
      <c r="KU81" s="62"/>
      <c r="KV81" s="62"/>
      <c r="KW81" s="62"/>
      <c r="KX81" s="62"/>
      <c r="KY81" s="62"/>
      <c r="KZ81" s="62"/>
      <c r="LA81" s="62"/>
      <c r="LB81" s="62"/>
      <c r="LC81" s="62"/>
      <c r="LD81" s="62"/>
      <c r="LE81" s="62"/>
      <c r="LF81" s="62"/>
      <c r="LG81" s="62"/>
      <c r="LH81" s="62"/>
      <c r="LI81" s="62"/>
    </row>
    <row r="82" spans="3:321" ht="30">
      <c r="D82" s="59">
        <v>4146</v>
      </c>
      <c r="E82" s="60" t="s">
        <v>398</v>
      </c>
      <c r="F82" s="67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9"/>
      <c r="R82" s="67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67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9"/>
      <c r="AP82" s="67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9"/>
      <c r="BB82" s="67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9"/>
      <c r="BN82" s="67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9"/>
      <c r="BZ82" s="67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7">
        <v>19164.34</v>
      </c>
      <c r="CM82" s="68">
        <v>76479.92</v>
      </c>
      <c r="CN82" s="68">
        <v>174865.260000001</v>
      </c>
      <c r="CO82" s="68">
        <v>86185.309999999794</v>
      </c>
      <c r="CP82" s="68">
        <v>70042.270000000106</v>
      </c>
      <c r="CQ82" s="68">
        <v>62793.540000000299</v>
      </c>
      <c r="CR82" s="68">
        <v>85215.149999999703</v>
      </c>
      <c r="CS82" s="68">
        <v>29267.81</v>
      </c>
      <c r="CT82" s="68">
        <v>163460.76</v>
      </c>
      <c r="CU82" s="68">
        <v>81544.769999999902</v>
      </c>
      <c r="CV82" s="68">
        <v>165439.29</v>
      </c>
      <c r="CW82" s="69">
        <v>185721.07</v>
      </c>
      <c r="CX82" s="67">
        <v>27929.279999999999</v>
      </c>
      <c r="CY82" s="68">
        <v>51253.05</v>
      </c>
      <c r="CZ82" s="68">
        <v>206416.62</v>
      </c>
      <c r="DA82" s="68">
        <v>103292.76</v>
      </c>
      <c r="DB82" s="68">
        <v>142691.85</v>
      </c>
      <c r="DC82" s="68">
        <v>62644.86</v>
      </c>
      <c r="DD82" s="68">
        <v>210170.74</v>
      </c>
      <c r="DE82" s="68">
        <v>41634.53</v>
      </c>
      <c r="DF82" s="68">
        <v>126349.77</v>
      </c>
      <c r="DG82" s="68">
        <v>375873.86</v>
      </c>
      <c r="DH82" s="68">
        <v>86475.75</v>
      </c>
      <c r="DI82" s="69">
        <v>226735.32</v>
      </c>
      <c r="DJ82" s="67">
        <v>26550.26</v>
      </c>
      <c r="DK82" s="68">
        <v>113905.23</v>
      </c>
      <c r="DL82" s="68">
        <v>88963.79</v>
      </c>
      <c r="DM82" s="68">
        <v>609011.47</v>
      </c>
      <c r="DN82" s="68">
        <v>89091.72</v>
      </c>
      <c r="DO82" s="68">
        <v>109250.87</v>
      </c>
      <c r="DP82" s="68">
        <v>83487.58</v>
      </c>
      <c r="DQ82" s="68">
        <v>38868.06</v>
      </c>
      <c r="DR82" s="68">
        <v>52794.39</v>
      </c>
      <c r="DS82" s="68">
        <v>91109.24</v>
      </c>
      <c r="DT82" s="68">
        <v>269060.28000000003</v>
      </c>
      <c r="DU82" s="69">
        <v>529674.18000000005</v>
      </c>
      <c r="DV82" s="61">
        <v>59821.79</v>
      </c>
      <c r="DW82" s="61">
        <v>88876.09</v>
      </c>
      <c r="DX82" s="61">
        <v>301607.74</v>
      </c>
      <c r="DY82" s="61">
        <v>592025.06000000006</v>
      </c>
      <c r="DZ82" s="79">
        <v>840885.98</v>
      </c>
      <c r="EC82" s="79"/>
      <c r="ED82" s="79"/>
      <c r="EE82" s="79"/>
      <c r="EF82" s="79"/>
      <c r="EG82" s="79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  <c r="IK82" s="62"/>
      <c r="IL82" s="62"/>
      <c r="IM82" s="62"/>
      <c r="IN82" s="62"/>
      <c r="IO82" s="62"/>
      <c r="IP82" s="62"/>
      <c r="IQ82" s="62"/>
      <c r="IR82" s="62"/>
      <c r="IS82" s="62"/>
      <c r="IT82" s="62"/>
      <c r="IU82" s="62"/>
      <c r="IV82" s="62"/>
      <c r="IW82" s="62"/>
      <c r="IX82" s="62"/>
      <c r="IY82" s="62"/>
      <c r="IZ82" s="62"/>
      <c r="JA82" s="62"/>
      <c r="JB82" s="62"/>
      <c r="JC82" s="62"/>
      <c r="JD82" s="62"/>
      <c r="JE82" s="62"/>
      <c r="JF82" s="62"/>
      <c r="JG82" s="62"/>
      <c r="JH82" s="62"/>
      <c r="JI82" s="62"/>
      <c r="JJ82" s="62"/>
      <c r="JK82" s="62"/>
      <c r="JL82" s="62"/>
      <c r="JM82" s="62"/>
      <c r="JN82" s="62"/>
      <c r="JO82" s="62"/>
      <c r="JP82" s="62"/>
      <c r="JQ82" s="62"/>
      <c r="JR82" s="62"/>
      <c r="JS82" s="62"/>
      <c r="JT82" s="62"/>
      <c r="JU82" s="62"/>
      <c r="JV82" s="62"/>
      <c r="JW82" s="62"/>
      <c r="JX82" s="62"/>
      <c r="JY82" s="62"/>
      <c r="JZ82" s="62"/>
      <c r="KA82" s="62"/>
      <c r="KB82" s="62"/>
      <c r="KC82" s="62"/>
      <c r="KD82" s="62"/>
      <c r="KE82" s="62"/>
      <c r="KF82" s="62"/>
      <c r="KG82" s="62"/>
      <c r="KH82" s="62"/>
      <c r="KI82" s="62"/>
      <c r="KJ82" s="62"/>
      <c r="KK82" s="62"/>
      <c r="KL82" s="62"/>
      <c r="KM82" s="62"/>
      <c r="KN82" s="62"/>
      <c r="KO82" s="62"/>
      <c r="KP82" s="62"/>
      <c r="KQ82" s="62"/>
      <c r="KR82" s="62"/>
      <c r="KS82" s="62"/>
      <c r="KT82" s="62"/>
      <c r="KU82" s="62"/>
      <c r="KV82" s="62"/>
      <c r="KW82" s="62"/>
      <c r="KX82" s="62"/>
      <c r="KY82" s="62"/>
      <c r="KZ82" s="62"/>
      <c r="LA82" s="62"/>
      <c r="LB82" s="62"/>
      <c r="LC82" s="62"/>
      <c r="LD82" s="62"/>
      <c r="LE82" s="62"/>
      <c r="LF82" s="62"/>
      <c r="LG82" s="62"/>
      <c r="LH82" s="62"/>
      <c r="LI82" s="62"/>
    </row>
    <row r="83" spans="3:321" ht="30">
      <c r="D83" s="59">
        <v>4147</v>
      </c>
      <c r="E83" s="60" t="s">
        <v>399</v>
      </c>
      <c r="F83" s="67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9"/>
      <c r="R83" s="67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67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9"/>
      <c r="AP83" s="67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9"/>
      <c r="BB83" s="67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9"/>
      <c r="BN83" s="67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9"/>
      <c r="BZ83" s="67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7">
        <v>575542</v>
      </c>
      <c r="CM83" s="68">
        <v>1569357.43</v>
      </c>
      <c r="CN83" s="68">
        <v>965269.03000000096</v>
      </c>
      <c r="CO83" s="68">
        <v>1958614.35</v>
      </c>
      <c r="CP83" s="68">
        <v>1144959.3799999999</v>
      </c>
      <c r="CQ83" s="68">
        <v>1217090.3999999999</v>
      </c>
      <c r="CR83" s="68">
        <v>1990417.96</v>
      </c>
      <c r="CS83" s="68">
        <v>1689489.1800000099</v>
      </c>
      <c r="CT83" s="68">
        <v>1488943.27</v>
      </c>
      <c r="CU83" s="68">
        <v>2219343.79</v>
      </c>
      <c r="CV83" s="68">
        <v>1087658.1299999999</v>
      </c>
      <c r="CW83" s="69">
        <v>5123340.8499999698</v>
      </c>
      <c r="CX83" s="67">
        <v>972449.82</v>
      </c>
      <c r="CY83" s="68">
        <v>1449174.69</v>
      </c>
      <c r="CZ83" s="68">
        <v>1486845.05</v>
      </c>
      <c r="DA83" s="68">
        <v>2139753.61</v>
      </c>
      <c r="DB83" s="68">
        <v>1210738.6299999999</v>
      </c>
      <c r="DC83" s="68">
        <v>2076644.58</v>
      </c>
      <c r="DD83" s="68">
        <v>3354826.67</v>
      </c>
      <c r="DE83" s="68">
        <v>981856.09</v>
      </c>
      <c r="DF83" s="68">
        <v>2005780.81</v>
      </c>
      <c r="DG83" s="68">
        <v>2325179.6</v>
      </c>
      <c r="DH83" s="68">
        <v>1862186.98</v>
      </c>
      <c r="DI83" s="69">
        <v>5403171.1699999999</v>
      </c>
      <c r="DJ83" s="67">
        <v>283026.37</v>
      </c>
      <c r="DK83" s="68">
        <v>962237.29000000295</v>
      </c>
      <c r="DL83" s="68">
        <v>1377097.6700000099</v>
      </c>
      <c r="DM83" s="68">
        <v>1819303.74000001</v>
      </c>
      <c r="DN83" s="68">
        <v>1684410.94000001</v>
      </c>
      <c r="DO83" s="68">
        <v>1405786.79</v>
      </c>
      <c r="DP83" s="68">
        <v>2292498.23</v>
      </c>
      <c r="DQ83" s="68">
        <v>1695589.34</v>
      </c>
      <c r="DR83" s="68">
        <v>1697585.68</v>
      </c>
      <c r="DS83" s="68">
        <v>1499015.15</v>
      </c>
      <c r="DT83" s="68">
        <v>1609147.6500000099</v>
      </c>
      <c r="DU83" s="69">
        <v>5291533.2799999798</v>
      </c>
      <c r="DV83" s="61">
        <v>548200.11</v>
      </c>
      <c r="DW83" s="61">
        <v>1967485.83</v>
      </c>
      <c r="DX83" s="61">
        <v>3318542.87</v>
      </c>
      <c r="DY83" s="61">
        <v>1713319.06</v>
      </c>
      <c r="DZ83" s="79">
        <v>2417706.4500000002</v>
      </c>
      <c r="EC83" s="79"/>
      <c r="ED83" s="79"/>
      <c r="EE83" s="79"/>
      <c r="EF83" s="79"/>
      <c r="EG83" s="79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  <c r="IK83" s="62"/>
      <c r="IL83" s="62"/>
      <c r="IM83" s="62"/>
      <c r="IN83" s="62"/>
      <c r="IO83" s="62"/>
      <c r="IP83" s="62"/>
      <c r="IQ83" s="62"/>
      <c r="IR83" s="62"/>
      <c r="IS83" s="62"/>
      <c r="IT83" s="62"/>
      <c r="IU83" s="62"/>
      <c r="IV83" s="62"/>
      <c r="IW83" s="62"/>
      <c r="IX83" s="62"/>
      <c r="IY83" s="62"/>
      <c r="IZ83" s="62"/>
      <c r="JA83" s="62"/>
      <c r="JB83" s="62"/>
      <c r="JC83" s="62"/>
      <c r="JD83" s="62"/>
      <c r="JE83" s="62"/>
      <c r="JF83" s="62"/>
      <c r="JG83" s="62"/>
      <c r="JH83" s="62"/>
      <c r="JI83" s="62"/>
      <c r="JJ83" s="62"/>
      <c r="JK83" s="62"/>
      <c r="JL83" s="62"/>
      <c r="JM83" s="62"/>
      <c r="JN83" s="62"/>
      <c r="JO83" s="62"/>
      <c r="JP83" s="62"/>
      <c r="JQ83" s="62"/>
      <c r="JR83" s="62"/>
      <c r="JS83" s="62"/>
      <c r="JT83" s="62"/>
      <c r="JU83" s="62"/>
      <c r="JV83" s="62"/>
      <c r="JW83" s="62"/>
      <c r="JX83" s="62"/>
      <c r="JY83" s="62"/>
      <c r="JZ83" s="62"/>
      <c r="KA83" s="62"/>
      <c r="KB83" s="62"/>
      <c r="KC83" s="62"/>
      <c r="KD83" s="62"/>
      <c r="KE83" s="62"/>
      <c r="KF83" s="62"/>
      <c r="KG83" s="62"/>
      <c r="KH83" s="62"/>
      <c r="KI83" s="62"/>
      <c r="KJ83" s="62"/>
      <c r="KK83" s="62"/>
      <c r="KL83" s="62"/>
      <c r="KM83" s="62"/>
      <c r="KN83" s="62"/>
      <c r="KO83" s="62"/>
      <c r="KP83" s="62"/>
      <c r="KQ83" s="62"/>
      <c r="KR83" s="62"/>
      <c r="KS83" s="62"/>
      <c r="KT83" s="62"/>
      <c r="KU83" s="62"/>
      <c r="KV83" s="62"/>
      <c r="KW83" s="62"/>
      <c r="KX83" s="62"/>
      <c r="KY83" s="62"/>
      <c r="KZ83" s="62"/>
      <c r="LA83" s="62"/>
      <c r="LB83" s="62"/>
      <c r="LC83" s="62"/>
      <c r="LD83" s="62"/>
      <c r="LE83" s="62"/>
      <c r="LF83" s="62"/>
      <c r="LG83" s="62"/>
      <c r="LH83" s="62"/>
      <c r="LI83" s="62"/>
    </row>
    <row r="84" spans="3:321">
      <c r="D84" s="59">
        <v>4148</v>
      </c>
      <c r="E84" s="60" t="s">
        <v>400</v>
      </c>
      <c r="F84" s="67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9"/>
      <c r="R84" s="67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67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9"/>
      <c r="AP84" s="67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9"/>
      <c r="BB84" s="67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9"/>
      <c r="BN84" s="67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9"/>
      <c r="BZ84" s="67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7">
        <v>23608.66</v>
      </c>
      <c r="CM84" s="68">
        <v>68994.710000000006</v>
      </c>
      <c r="CN84" s="68">
        <v>56507.05</v>
      </c>
      <c r="CO84" s="68">
        <v>118610.69</v>
      </c>
      <c r="CP84" s="68">
        <v>64395.27</v>
      </c>
      <c r="CQ84" s="68">
        <v>38849.08</v>
      </c>
      <c r="CR84" s="68">
        <v>65830.870000000097</v>
      </c>
      <c r="CS84" s="68">
        <v>20381.91</v>
      </c>
      <c r="CT84" s="68">
        <v>69137.899999999994</v>
      </c>
      <c r="CU84" s="68">
        <v>61167.24</v>
      </c>
      <c r="CV84" s="68">
        <v>60878.41</v>
      </c>
      <c r="CW84" s="69">
        <v>175526.29</v>
      </c>
      <c r="CX84" s="67">
        <v>36341.519999999997</v>
      </c>
      <c r="CY84" s="68">
        <v>68233.850000000006</v>
      </c>
      <c r="CZ84" s="68">
        <v>90141.34</v>
      </c>
      <c r="DA84" s="68">
        <v>43631.73</v>
      </c>
      <c r="DB84" s="68">
        <v>39077.86</v>
      </c>
      <c r="DC84" s="68">
        <v>113821.44</v>
      </c>
      <c r="DD84" s="68">
        <v>95159.679999999993</v>
      </c>
      <c r="DE84" s="68">
        <v>69759.39</v>
      </c>
      <c r="DF84" s="68">
        <v>76847.64</v>
      </c>
      <c r="DG84" s="68">
        <v>70884.490000000005</v>
      </c>
      <c r="DH84" s="68">
        <v>93167.33</v>
      </c>
      <c r="DI84" s="69">
        <v>190848.63</v>
      </c>
      <c r="DJ84" s="67">
        <v>22800.33</v>
      </c>
      <c r="DK84" s="68">
        <v>86110.8</v>
      </c>
      <c r="DL84" s="68">
        <v>71638.64</v>
      </c>
      <c r="DM84" s="68">
        <v>69449.429999999993</v>
      </c>
      <c r="DN84" s="68">
        <v>134440.69</v>
      </c>
      <c r="DO84" s="68">
        <v>47041.79</v>
      </c>
      <c r="DP84" s="68">
        <v>54689.220000000103</v>
      </c>
      <c r="DQ84" s="68">
        <v>42144.87</v>
      </c>
      <c r="DR84" s="68">
        <v>78205.279999999999</v>
      </c>
      <c r="DS84" s="68">
        <v>45486.61</v>
      </c>
      <c r="DT84" s="68">
        <v>58842.17</v>
      </c>
      <c r="DU84" s="69">
        <v>246364.27</v>
      </c>
      <c r="DV84" s="61">
        <v>24428.85</v>
      </c>
      <c r="DW84" s="61">
        <v>58681.46</v>
      </c>
      <c r="DX84" s="61">
        <v>62085.77</v>
      </c>
      <c r="DY84" s="61">
        <v>76560.350000000006</v>
      </c>
      <c r="DZ84" s="79">
        <v>65790.87</v>
      </c>
      <c r="EC84" s="79"/>
      <c r="ED84" s="79"/>
      <c r="EE84" s="79"/>
      <c r="EF84" s="79"/>
      <c r="EG84" s="79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  <c r="IJ84" s="62"/>
      <c r="IK84" s="62"/>
      <c r="IL84" s="62"/>
      <c r="IM84" s="62"/>
      <c r="IN84" s="62"/>
      <c r="IO84" s="62"/>
      <c r="IP84" s="62"/>
      <c r="IQ84" s="62"/>
      <c r="IR84" s="62"/>
      <c r="IS84" s="62"/>
      <c r="IT84" s="62"/>
      <c r="IU84" s="62"/>
      <c r="IV84" s="62"/>
      <c r="IW84" s="62"/>
      <c r="IX84" s="62"/>
      <c r="IY84" s="62"/>
      <c r="IZ84" s="62"/>
      <c r="JA84" s="62"/>
      <c r="JB84" s="62"/>
      <c r="JC84" s="62"/>
      <c r="JD84" s="62"/>
      <c r="JE84" s="62"/>
      <c r="JF84" s="62"/>
      <c r="JG84" s="62"/>
      <c r="JH84" s="62"/>
      <c r="JI84" s="62"/>
      <c r="JJ84" s="62"/>
      <c r="JK84" s="62"/>
      <c r="JL84" s="62"/>
      <c r="JM84" s="62"/>
      <c r="JN84" s="62"/>
      <c r="JO84" s="62"/>
      <c r="JP84" s="62"/>
      <c r="JQ84" s="62"/>
      <c r="JR84" s="62"/>
      <c r="JS84" s="62"/>
      <c r="JT84" s="62"/>
      <c r="JU84" s="62"/>
      <c r="JV84" s="62"/>
      <c r="JW84" s="62"/>
      <c r="JX84" s="62"/>
      <c r="JY84" s="62"/>
      <c r="JZ84" s="62"/>
      <c r="KA84" s="62"/>
      <c r="KB84" s="62"/>
      <c r="KC84" s="62"/>
      <c r="KD84" s="62"/>
      <c r="KE84" s="62"/>
      <c r="KF84" s="62"/>
      <c r="KG84" s="62"/>
      <c r="KH84" s="62"/>
      <c r="KI84" s="62"/>
      <c r="KJ84" s="62"/>
      <c r="KK84" s="62"/>
      <c r="KL84" s="62"/>
      <c r="KM84" s="62"/>
      <c r="KN84" s="62"/>
      <c r="KO84" s="62"/>
      <c r="KP84" s="62"/>
      <c r="KQ84" s="62"/>
      <c r="KR84" s="62"/>
      <c r="KS84" s="62"/>
      <c r="KT84" s="62"/>
      <c r="KU84" s="62"/>
      <c r="KV84" s="62"/>
      <c r="KW84" s="62"/>
      <c r="KX84" s="62"/>
      <c r="KY84" s="62"/>
      <c r="KZ84" s="62"/>
      <c r="LA84" s="62"/>
      <c r="LB84" s="62"/>
      <c r="LC84" s="62"/>
      <c r="LD84" s="62"/>
      <c r="LE84" s="62"/>
      <c r="LF84" s="62"/>
      <c r="LG84" s="62"/>
      <c r="LH84" s="62"/>
      <c r="LI84" s="62"/>
    </row>
    <row r="85" spans="3:321">
      <c r="D85" s="59">
        <v>4149</v>
      </c>
      <c r="E85" s="60" t="s">
        <v>401</v>
      </c>
      <c r="F85" s="67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9"/>
      <c r="R85" s="67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67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9"/>
      <c r="AP85" s="67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9"/>
      <c r="BB85" s="67"/>
      <c r="BC85" s="68"/>
      <c r="BD85" s="68"/>
      <c r="BE85" s="68"/>
      <c r="BF85" s="68"/>
      <c r="BG85" s="68"/>
      <c r="BH85" s="68"/>
      <c r="BI85" s="68"/>
      <c r="BJ85" s="68"/>
      <c r="BK85" s="68"/>
      <c r="BL85" s="68"/>
      <c r="BM85" s="69"/>
      <c r="BN85" s="67"/>
      <c r="BO85" s="68"/>
      <c r="BP85" s="68"/>
      <c r="BQ85" s="68"/>
      <c r="BR85" s="68"/>
      <c r="BS85" s="68"/>
      <c r="BT85" s="68"/>
      <c r="BU85" s="68"/>
      <c r="BV85" s="68"/>
      <c r="BW85" s="68"/>
      <c r="BX85" s="68"/>
      <c r="BY85" s="69"/>
      <c r="BZ85" s="67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7">
        <v>129848.44</v>
      </c>
      <c r="CM85" s="68">
        <v>341121.56</v>
      </c>
      <c r="CN85" s="68">
        <v>579445.97</v>
      </c>
      <c r="CO85" s="68">
        <v>448035.989999999</v>
      </c>
      <c r="CP85" s="68">
        <v>352875.53</v>
      </c>
      <c r="CQ85" s="68">
        <v>473512.62</v>
      </c>
      <c r="CR85" s="68">
        <v>629934.82999999996</v>
      </c>
      <c r="CS85" s="68">
        <v>524034.55</v>
      </c>
      <c r="CT85" s="68">
        <v>816090.06000000099</v>
      </c>
      <c r="CU85" s="68">
        <v>925789.7</v>
      </c>
      <c r="CV85" s="68">
        <v>358461.56</v>
      </c>
      <c r="CW85" s="69">
        <v>1355493.32</v>
      </c>
      <c r="CX85" s="67">
        <v>380344.63</v>
      </c>
      <c r="CY85" s="68">
        <v>354298.36</v>
      </c>
      <c r="CZ85" s="68">
        <v>747770.32</v>
      </c>
      <c r="DA85" s="68">
        <v>249397.15</v>
      </c>
      <c r="DB85" s="68">
        <v>325423.32</v>
      </c>
      <c r="DC85" s="68">
        <v>514029.32</v>
      </c>
      <c r="DD85" s="68">
        <v>909545.98</v>
      </c>
      <c r="DE85" s="68">
        <v>424671.49</v>
      </c>
      <c r="DF85" s="68">
        <v>717731.32</v>
      </c>
      <c r="DG85" s="68">
        <v>1069530.6200000001</v>
      </c>
      <c r="DH85" s="68">
        <v>528434.84</v>
      </c>
      <c r="DI85" s="69">
        <v>1415045.78</v>
      </c>
      <c r="DJ85" s="67">
        <v>276769.37</v>
      </c>
      <c r="DK85" s="68">
        <v>462394.67</v>
      </c>
      <c r="DL85" s="68">
        <v>880856.14</v>
      </c>
      <c r="DM85" s="68">
        <v>685780</v>
      </c>
      <c r="DN85" s="68">
        <v>583428.26</v>
      </c>
      <c r="DO85" s="68">
        <v>430425.28</v>
      </c>
      <c r="DP85" s="68">
        <v>965215.98</v>
      </c>
      <c r="DQ85" s="68">
        <v>482389.32</v>
      </c>
      <c r="DR85" s="68">
        <v>502786.64999999898</v>
      </c>
      <c r="DS85" s="68">
        <v>959274.75999999896</v>
      </c>
      <c r="DT85" s="68">
        <v>568960.34000000102</v>
      </c>
      <c r="DU85" s="69">
        <v>1408612.05</v>
      </c>
      <c r="DV85" s="61">
        <v>182735.03</v>
      </c>
      <c r="DW85" s="61">
        <v>363355.53</v>
      </c>
      <c r="DX85" s="61">
        <v>661144.29</v>
      </c>
      <c r="DY85" s="61">
        <v>556246.51</v>
      </c>
      <c r="DZ85" s="79">
        <v>645000.25</v>
      </c>
      <c r="EC85" s="79"/>
      <c r="ED85" s="79"/>
      <c r="EE85" s="79"/>
      <c r="EF85" s="79"/>
      <c r="EG85" s="79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  <c r="IJ85" s="62"/>
      <c r="IK85" s="62"/>
      <c r="IL85" s="62"/>
      <c r="IM85" s="62"/>
      <c r="IN85" s="62"/>
      <c r="IO85" s="62"/>
      <c r="IP85" s="62"/>
      <c r="IQ85" s="62"/>
      <c r="IR85" s="62"/>
      <c r="IS85" s="62"/>
      <c r="IT85" s="62"/>
      <c r="IU85" s="62"/>
      <c r="IV85" s="62"/>
      <c r="IW85" s="62"/>
      <c r="IX85" s="62"/>
      <c r="IY85" s="62"/>
      <c r="IZ85" s="62"/>
      <c r="JA85" s="62"/>
      <c r="JB85" s="62"/>
      <c r="JC85" s="62"/>
      <c r="JD85" s="62"/>
      <c r="JE85" s="62"/>
      <c r="JF85" s="62"/>
      <c r="JG85" s="62"/>
      <c r="JH85" s="62"/>
      <c r="JI85" s="62"/>
      <c r="JJ85" s="62"/>
      <c r="JK85" s="62"/>
      <c r="JL85" s="62"/>
      <c r="JM85" s="62"/>
      <c r="JN85" s="62"/>
      <c r="JO85" s="62"/>
      <c r="JP85" s="62"/>
      <c r="JQ85" s="62"/>
      <c r="JR85" s="62"/>
      <c r="JS85" s="62"/>
      <c r="JT85" s="62"/>
      <c r="JU85" s="62"/>
      <c r="JV85" s="62"/>
      <c r="JW85" s="62"/>
      <c r="JX85" s="62"/>
      <c r="JY85" s="62"/>
      <c r="JZ85" s="62"/>
      <c r="KA85" s="62"/>
      <c r="KB85" s="62"/>
      <c r="KC85" s="62"/>
      <c r="KD85" s="62"/>
      <c r="KE85" s="62"/>
      <c r="KF85" s="62"/>
      <c r="KG85" s="62"/>
      <c r="KH85" s="62"/>
      <c r="KI85" s="62"/>
      <c r="KJ85" s="62"/>
      <c r="KK85" s="62"/>
      <c r="KL85" s="62"/>
      <c r="KM85" s="62"/>
      <c r="KN85" s="62"/>
      <c r="KO85" s="62"/>
      <c r="KP85" s="62"/>
      <c r="KQ85" s="62"/>
      <c r="KR85" s="62"/>
      <c r="KS85" s="62"/>
      <c r="KT85" s="62"/>
      <c r="KU85" s="62"/>
      <c r="KV85" s="62"/>
      <c r="KW85" s="62"/>
      <c r="KX85" s="62"/>
      <c r="KY85" s="62"/>
      <c r="KZ85" s="62"/>
      <c r="LA85" s="62"/>
      <c r="LB85" s="62"/>
      <c r="LC85" s="62"/>
      <c r="LD85" s="62"/>
      <c r="LE85" s="62"/>
      <c r="LF85" s="62"/>
      <c r="LG85" s="62"/>
      <c r="LH85" s="62"/>
      <c r="LI85" s="62"/>
    </row>
    <row r="86" spans="3:321">
      <c r="C86" s="59">
        <v>415</v>
      </c>
      <c r="D86" s="59">
        <v>415</v>
      </c>
      <c r="E86" s="60" t="s">
        <v>151</v>
      </c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9"/>
      <c r="R86" s="67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67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9"/>
      <c r="AP86" s="67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9"/>
      <c r="BB86" s="67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9"/>
      <c r="BN86" s="67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9"/>
      <c r="BZ86" s="67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7">
        <v>39625.519999999997</v>
      </c>
      <c r="CM86" s="68">
        <v>746518.12</v>
      </c>
      <c r="CN86" s="68">
        <v>2188111.64</v>
      </c>
      <c r="CO86" s="68">
        <v>860738.32</v>
      </c>
      <c r="CP86" s="68">
        <v>1045961.96</v>
      </c>
      <c r="CQ86" s="68">
        <v>1586588.07</v>
      </c>
      <c r="CR86" s="68">
        <v>1708745.73</v>
      </c>
      <c r="CS86" s="68">
        <v>2046173.92</v>
      </c>
      <c r="CT86" s="68">
        <v>2633936.0099999998</v>
      </c>
      <c r="CU86" s="68">
        <v>1316206.53</v>
      </c>
      <c r="CV86" s="68">
        <v>1381658.69</v>
      </c>
      <c r="CW86" s="69">
        <v>4861519.66</v>
      </c>
      <c r="CX86" s="67">
        <v>639522.21</v>
      </c>
      <c r="CY86" s="68">
        <v>185129.94</v>
      </c>
      <c r="CZ86" s="68">
        <v>1189329.8500000001</v>
      </c>
      <c r="DA86" s="68">
        <v>2186869.6</v>
      </c>
      <c r="DB86" s="68">
        <v>2500201.56</v>
      </c>
      <c r="DC86" s="68">
        <v>1421763.26</v>
      </c>
      <c r="DD86" s="68">
        <v>1944244.05</v>
      </c>
      <c r="DE86" s="68">
        <v>1888022.98</v>
      </c>
      <c r="DF86" s="68">
        <v>2165109.09</v>
      </c>
      <c r="DG86" s="68">
        <v>2645946.2400000002</v>
      </c>
      <c r="DH86" s="68">
        <v>1134749.99</v>
      </c>
      <c r="DI86" s="69">
        <v>3374455</v>
      </c>
      <c r="DJ86" s="67">
        <v>605572.42000000004</v>
      </c>
      <c r="DK86" s="68">
        <v>1430948.27</v>
      </c>
      <c r="DL86" s="68">
        <v>1541159.98</v>
      </c>
      <c r="DM86" s="68">
        <v>1495923.86</v>
      </c>
      <c r="DN86" s="68">
        <v>1537431.38</v>
      </c>
      <c r="DO86" s="68">
        <v>1471949.09</v>
      </c>
      <c r="DP86" s="68">
        <v>787283.64</v>
      </c>
      <c r="DQ86" s="68">
        <v>1786413.21</v>
      </c>
      <c r="DR86" s="68">
        <v>3880961.31</v>
      </c>
      <c r="DS86" s="68">
        <v>962169.45</v>
      </c>
      <c r="DT86" s="68">
        <v>1789182.71</v>
      </c>
      <c r="DU86" s="69">
        <v>2826847.32</v>
      </c>
      <c r="DV86" s="61">
        <v>94021.83</v>
      </c>
      <c r="DW86" s="61">
        <v>726586.2</v>
      </c>
      <c r="DX86" s="61">
        <v>1501775.73</v>
      </c>
      <c r="DY86" s="61">
        <v>817453.67</v>
      </c>
      <c r="DZ86" s="79">
        <v>1646121.33</v>
      </c>
      <c r="EA86" s="79">
        <v>1787416.93</v>
      </c>
      <c r="EB86" s="79">
        <v>1593097.05</v>
      </c>
      <c r="EC86" s="84">
        <v>1693887.02</v>
      </c>
      <c r="ED86" s="79">
        <v>1322349.8999999999</v>
      </c>
      <c r="EE86" s="79">
        <v>2089865.16</v>
      </c>
      <c r="EF86" s="79">
        <v>2656726.35</v>
      </c>
      <c r="EG86" s="79">
        <v>4522986.3099999996</v>
      </c>
      <c r="EH86" s="62">
        <v>133702.59</v>
      </c>
      <c r="EI86" s="62">
        <v>831412.02</v>
      </c>
      <c r="EJ86" s="62">
        <v>1518146.21</v>
      </c>
      <c r="EK86" s="62">
        <v>1549212.25</v>
      </c>
      <c r="EL86" s="62">
        <v>2002570.68</v>
      </c>
      <c r="EM86" s="62">
        <v>1160348.8799999999</v>
      </c>
      <c r="EN86" s="62">
        <v>1865668.51</v>
      </c>
      <c r="EO86" s="62">
        <v>1371232.73</v>
      </c>
      <c r="EP86" s="62">
        <v>2163282.15</v>
      </c>
      <c r="EQ86" s="62">
        <v>1881648.29</v>
      </c>
      <c r="ER86" s="62">
        <v>1702269.74</v>
      </c>
      <c r="ES86" s="62">
        <v>4045495.9</v>
      </c>
      <c r="ET86" s="62">
        <v>106817.18</v>
      </c>
      <c r="EU86" s="62">
        <v>1250394.3700000001</v>
      </c>
      <c r="EV86" s="62">
        <v>1932637.76</v>
      </c>
      <c r="EW86" s="62">
        <v>1701228.15</v>
      </c>
      <c r="EX86" s="62">
        <v>1674065.37</v>
      </c>
      <c r="EY86" s="62">
        <v>1595157.28</v>
      </c>
      <c r="EZ86" s="62">
        <v>1764069.48</v>
      </c>
      <c r="FA86" s="62">
        <v>822546.3</v>
      </c>
      <c r="FB86" s="62">
        <v>2309329.44</v>
      </c>
      <c r="FC86" s="62">
        <v>1824056.36</v>
      </c>
      <c r="FD86" s="62">
        <v>1126241.5900000001</v>
      </c>
      <c r="FE86" s="62">
        <v>4866689.49</v>
      </c>
      <c r="FF86" s="62">
        <v>106399.74</v>
      </c>
      <c r="FG86" s="62">
        <v>1531025.06</v>
      </c>
      <c r="FH86" s="62">
        <v>1550264.35</v>
      </c>
      <c r="FI86" s="62">
        <v>1599282.1</v>
      </c>
      <c r="FJ86" s="62">
        <v>1713146.13</v>
      </c>
      <c r="FK86" s="62">
        <v>1354703</v>
      </c>
      <c r="FL86" s="1">
        <v>2071180.13</v>
      </c>
      <c r="FM86" s="62">
        <v>1118342.44</v>
      </c>
      <c r="FN86" s="62">
        <v>1708282.91</v>
      </c>
      <c r="FO86" s="62">
        <v>2758305.97</v>
      </c>
      <c r="FP86" s="62">
        <v>2123662.0099999998</v>
      </c>
      <c r="FQ86" s="62">
        <v>4877112.1900000004</v>
      </c>
      <c r="FR86" s="62">
        <v>108260.99</v>
      </c>
      <c r="FS86" s="62">
        <v>2255656.6800000002</v>
      </c>
      <c r="FT86" s="62">
        <v>1009908.48</v>
      </c>
      <c r="FU86" s="62">
        <v>2799383.59</v>
      </c>
      <c r="FV86" s="62">
        <v>1877104.42</v>
      </c>
      <c r="FW86" s="62">
        <v>1791066.21</v>
      </c>
      <c r="FX86" s="62">
        <v>2157134.41</v>
      </c>
      <c r="FY86" s="62">
        <v>967680.89</v>
      </c>
      <c r="FZ86" s="62">
        <v>2793256.25</v>
      </c>
      <c r="GA86" s="62">
        <v>1995447.62</v>
      </c>
      <c r="GB86" s="62">
        <v>1984910.33</v>
      </c>
      <c r="GC86" s="62">
        <v>4623873.92</v>
      </c>
      <c r="GD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  <c r="IK86" s="62"/>
      <c r="IL86" s="62"/>
      <c r="IM86" s="62"/>
      <c r="IN86" s="62"/>
      <c r="IO86" s="62"/>
      <c r="IP86" s="62"/>
      <c r="IQ86" s="62"/>
      <c r="IR86" s="62"/>
      <c r="IS86" s="62"/>
      <c r="IT86" s="62"/>
      <c r="IU86" s="62"/>
      <c r="IV86" s="62"/>
      <c r="IW86" s="62"/>
      <c r="IX86" s="62"/>
      <c r="IY86" s="62"/>
      <c r="IZ86" s="62"/>
      <c r="JA86" s="62"/>
      <c r="JB86" s="62"/>
      <c r="JC86" s="62"/>
      <c r="JD86" s="62"/>
      <c r="JE86" s="62"/>
      <c r="JF86" s="62"/>
      <c r="JG86" s="62"/>
      <c r="JH86" s="62"/>
      <c r="JI86" s="62"/>
      <c r="JJ86" s="62"/>
      <c r="JK86" s="62"/>
      <c r="JL86" s="62"/>
      <c r="JM86" s="62"/>
      <c r="JN86" s="62"/>
      <c r="JO86" s="62"/>
      <c r="JP86" s="62"/>
      <c r="JQ86" s="62"/>
      <c r="JR86" s="62"/>
      <c r="JS86" s="62"/>
      <c r="JT86" s="62"/>
      <c r="JU86" s="62"/>
      <c r="JV86" s="62"/>
      <c r="JW86" s="62"/>
      <c r="JX86" s="62"/>
      <c r="JY86" s="62"/>
      <c r="JZ86" s="62"/>
      <c r="KA86" s="62"/>
      <c r="KB86" s="62"/>
      <c r="KC86" s="62"/>
      <c r="KD86" s="62"/>
      <c r="KE86" s="62"/>
      <c r="KF86" s="62"/>
      <c r="KG86" s="62"/>
      <c r="KH86" s="62"/>
      <c r="KI86" s="62"/>
      <c r="KJ86" s="62"/>
      <c r="KK86" s="62"/>
      <c r="KL86" s="62"/>
      <c r="KM86" s="62"/>
      <c r="KN86" s="62"/>
      <c r="KO86" s="62"/>
      <c r="KP86" s="62"/>
      <c r="KQ86" s="62"/>
      <c r="KR86" s="62"/>
      <c r="KS86" s="62"/>
      <c r="KT86" s="62"/>
      <c r="KU86" s="62"/>
      <c r="KV86" s="62"/>
      <c r="KW86" s="62"/>
      <c r="KX86" s="62"/>
      <c r="KY86" s="62"/>
      <c r="KZ86" s="62"/>
      <c r="LA86" s="62"/>
      <c r="LB86" s="62"/>
      <c r="LC86" s="62"/>
      <c r="LD86" s="62"/>
      <c r="LE86" s="62"/>
      <c r="LF86" s="62"/>
      <c r="LG86" s="62"/>
      <c r="LH86" s="62"/>
      <c r="LI86" s="62"/>
    </row>
    <row r="87" spans="3:321" ht="30">
      <c r="D87" s="59">
        <v>4151</v>
      </c>
      <c r="E87" s="60" t="s">
        <v>402</v>
      </c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9"/>
      <c r="R87" s="67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67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9"/>
      <c r="AP87" s="67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9"/>
      <c r="BB87" s="67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9"/>
      <c r="BN87" s="67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9"/>
      <c r="BZ87" s="67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7">
        <v>0</v>
      </c>
      <c r="CM87" s="68">
        <v>567333.32999999996</v>
      </c>
      <c r="CN87" s="68">
        <v>1961942.42</v>
      </c>
      <c r="CO87" s="68">
        <v>567000</v>
      </c>
      <c r="CP87" s="68">
        <v>831109.08</v>
      </c>
      <c r="CQ87" s="68">
        <v>1395275.75</v>
      </c>
      <c r="CR87" s="68">
        <v>1439952.94</v>
      </c>
      <c r="CS87" s="68">
        <v>1795442.42</v>
      </c>
      <c r="CT87" s="68">
        <v>2362275.7400000002</v>
      </c>
      <c r="CU87" s="68">
        <v>996275.75</v>
      </c>
      <c r="CV87" s="68">
        <v>1058825.47</v>
      </c>
      <c r="CW87" s="69">
        <v>3869101.56</v>
      </c>
      <c r="CX87" s="67">
        <v>558500</v>
      </c>
      <c r="CY87" s="68">
        <v>166.67</v>
      </c>
      <c r="CZ87" s="68">
        <v>558500</v>
      </c>
      <c r="DA87" s="68">
        <v>1886084.75</v>
      </c>
      <c r="DB87" s="68">
        <v>2215051.5</v>
      </c>
      <c r="DC87" s="68">
        <v>1118456.52</v>
      </c>
      <c r="DD87" s="68">
        <v>1686775.75</v>
      </c>
      <c r="DE87" s="68">
        <v>1436775.75</v>
      </c>
      <c r="DF87" s="68">
        <v>1752310.79</v>
      </c>
      <c r="DG87" s="68">
        <v>2272390.75</v>
      </c>
      <c r="DH87" s="68">
        <v>783152.4</v>
      </c>
      <c r="DI87" s="69">
        <v>2402498.15</v>
      </c>
      <c r="DJ87" s="67">
        <v>537642.97</v>
      </c>
      <c r="DK87" s="68">
        <v>1116833.33</v>
      </c>
      <c r="DL87" s="68">
        <v>1305784.18</v>
      </c>
      <c r="DM87" s="68">
        <v>1242197.1599999999</v>
      </c>
      <c r="DN87" s="68">
        <v>1298295</v>
      </c>
      <c r="DO87" s="68">
        <v>1191028.76</v>
      </c>
      <c r="DP87" s="68">
        <v>601357.14</v>
      </c>
      <c r="DQ87" s="68">
        <v>1490817.88</v>
      </c>
      <c r="DR87" s="68">
        <v>3578133.58</v>
      </c>
      <c r="DS87" s="68">
        <v>601357.14</v>
      </c>
      <c r="DT87" s="68">
        <v>1429629.89</v>
      </c>
      <c r="DU87" s="69">
        <v>1629283.42</v>
      </c>
      <c r="DV87" s="61">
        <v>166</v>
      </c>
      <c r="DW87" s="61">
        <v>566834.01</v>
      </c>
      <c r="DX87" s="61">
        <v>1094105.28</v>
      </c>
      <c r="DY87" s="61">
        <v>567011.83999999997</v>
      </c>
      <c r="DZ87" s="79">
        <v>1441605.28</v>
      </c>
      <c r="EC87" s="79"/>
      <c r="ED87" s="79"/>
      <c r="EE87" s="79"/>
      <c r="EF87" s="79"/>
      <c r="EG87" s="79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  <c r="IK87" s="62"/>
      <c r="IL87" s="62"/>
      <c r="IM87" s="62"/>
      <c r="IN87" s="62"/>
      <c r="IO87" s="62"/>
      <c r="IP87" s="62"/>
      <c r="IQ87" s="62"/>
      <c r="IR87" s="62"/>
      <c r="IS87" s="62"/>
      <c r="IT87" s="62"/>
      <c r="IU87" s="62"/>
      <c r="IV87" s="62"/>
      <c r="IW87" s="62"/>
      <c r="IX87" s="62"/>
      <c r="IY87" s="62"/>
      <c r="IZ87" s="62"/>
      <c r="JA87" s="62"/>
      <c r="JB87" s="62"/>
      <c r="JC87" s="62"/>
      <c r="JD87" s="62"/>
      <c r="JE87" s="62"/>
      <c r="JF87" s="62"/>
      <c r="JG87" s="62"/>
      <c r="JH87" s="62"/>
      <c r="JI87" s="62"/>
      <c r="JJ87" s="62"/>
      <c r="JK87" s="62"/>
      <c r="JL87" s="62"/>
      <c r="JM87" s="62"/>
      <c r="JN87" s="62"/>
      <c r="JO87" s="62"/>
      <c r="JP87" s="62"/>
      <c r="JQ87" s="62"/>
      <c r="JR87" s="62"/>
      <c r="JS87" s="62"/>
      <c r="JT87" s="62"/>
      <c r="JU87" s="62"/>
      <c r="JV87" s="62"/>
      <c r="JW87" s="62"/>
      <c r="JX87" s="62"/>
      <c r="JY87" s="62"/>
      <c r="JZ87" s="62"/>
      <c r="KA87" s="62"/>
      <c r="KB87" s="62"/>
      <c r="KC87" s="62"/>
      <c r="KD87" s="62"/>
      <c r="KE87" s="62"/>
      <c r="KF87" s="62"/>
      <c r="KG87" s="62"/>
      <c r="KH87" s="62"/>
      <c r="KI87" s="62"/>
      <c r="KJ87" s="62"/>
      <c r="KK87" s="62"/>
      <c r="KL87" s="62"/>
      <c r="KM87" s="62"/>
      <c r="KN87" s="62"/>
      <c r="KO87" s="62"/>
      <c r="KP87" s="62"/>
      <c r="KQ87" s="62"/>
      <c r="KR87" s="62"/>
      <c r="KS87" s="62"/>
      <c r="KT87" s="62"/>
      <c r="KU87" s="62"/>
      <c r="KV87" s="62"/>
      <c r="KW87" s="62"/>
      <c r="KX87" s="62"/>
      <c r="KY87" s="62"/>
      <c r="KZ87" s="62"/>
      <c r="LA87" s="62"/>
      <c r="LB87" s="62"/>
      <c r="LC87" s="62"/>
      <c r="LD87" s="62"/>
      <c r="LE87" s="62"/>
      <c r="LF87" s="62"/>
      <c r="LG87" s="62"/>
      <c r="LH87" s="62"/>
      <c r="LI87" s="62"/>
    </row>
    <row r="88" spans="3:321" ht="30">
      <c r="D88" s="59">
        <v>4152</v>
      </c>
      <c r="E88" s="60" t="s">
        <v>403</v>
      </c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9"/>
      <c r="R88" s="67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67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9"/>
      <c r="AP88" s="67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9"/>
      <c r="BB88" s="67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9"/>
      <c r="BN88" s="67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9"/>
      <c r="BZ88" s="67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7">
        <v>9044.9</v>
      </c>
      <c r="CM88" s="68">
        <v>60860.65</v>
      </c>
      <c r="CN88" s="68">
        <v>79115.17</v>
      </c>
      <c r="CO88" s="68">
        <v>96998.14</v>
      </c>
      <c r="CP88" s="68">
        <v>69695.600000000006</v>
      </c>
      <c r="CQ88" s="68">
        <v>68808.77</v>
      </c>
      <c r="CR88" s="68">
        <v>77664.740000000005</v>
      </c>
      <c r="CS88" s="68">
        <v>85421.62</v>
      </c>
      <c r="CT88" s="68">
        <v>105069.08</v>
      </c>
      <c r="CU88" s="68">
        <v>137215.75</v>
      </c>
      <c r="CV88" s="68">
        <v>148559.5</v>
      </c>
      <c r="CW88" s="69">
        <v>377252.82</v>
      </c>
      <c r="CX88" s="67">
        <v>32206.21</v>
      </c>
      <c r="CY88" s="68">
        <v>57542.05</v>
      </c>
      <c r="CZ88" s="68">
        <v>133172.42000000001</v>
      </c>
      <c r="DA88" s="68">
        <v>48134.83</v>
      </c>
      <c r="DB88" s="68">
        <v>76474.039999999994</v>
      </c>
      <c r="DC88" s="68">
        <v>107768.05</v>
      </c>
      <c r="DD88" s="68">
        <v>145315.32999999999</v>
      </c>
      <c r="DE88" s="68">
        <v>169127.42</v>
      </c>
      <c r="DF88" s="68">
        <v>189337.91</v>
      </c>
      <c r="DG88" s="68">
        <v>105564.61</v>
      </c>
      <c r="DH88" s="68">
        <v>91502.5</v>
      </c>
      <c r="DI88" s="69">
        <v>317366.67</v>
      </c>
      <c r="DJ88" s="67">
        <v>17430.63</v>
      </c>
      <c r="DK88" s="68">
        <v>99175.679999999993</v>
      </c>
      <c r="DL88" s="68">
        <v>86425</v>
      </c>
      <c r="DM88" s="68">
        <v>80972.52</v>
      </c>
      <c r="DN88" s="68">
        <v>88960.93</v>
      </c>
      <c r="DO88" s="68">
        <v>99205.0600000001</v>
      </c>
      <c r="DP88" s="68">
        <v>63270.34</v>
      </c>
      <c r="DQ88" s="68">
        <v>139380.1</v>
      </c>
      <c r="DR88" s="68">
        <v>114079.71</v>
      </c>
      <c r="DS88" s="68">
        <v>84032.61</v>
      </c>
      <c r="DT88" s="68">
        <v>189563.6</v>
      </c>
      <c r="DU88" s="69">
        <v>433945.65</v>
      </c>
      <c r="DV88" s="61">
        <v>42547.839999999997</v>
      </c>
      <c r="DW88" s="61">
        <v>44260.23</v>
      </c>
      <c r="DX88" s="61">
        <v>197207.06</v>
      </c>
      <c r="DY88" s="61">
        <v>112167.75</v>
      </c>
      <c r="DZ88" s="79">
        <v>54569.3</v>
      </c>
      <c r="EC88" s="79"/>
      <c r="ED88" s="79"/>
      <c r="EE88" s="79"/>
      <c r="EF88" s="79"/>
      <c r="EG88" s="79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  <c r="IK88" s="62"/>
      <c r="IL88" s="62"/>
      <c r="IM88" s="62"/>
      <c r="IN88" s="62"/>
      <c r="IO88" s="62"/>
      <c r="IP88" s="62"/>
      <c r="IQ88" s="62"/>
      <c r="IR88" s="62"/>
      <c r="IS88" s="62"/>
      <c r="IT88" s="62"/>
      <c r="IU88" s="62"/>
      <c r="IV88" s="62"/>
      <c r="IW88" s="62"/>
      <c r="IX88" s="62"/>
      <c r="IY88" s="62"/>
      <c r="IZ88" s="62"/>
      <c r="JA88" s="62"/>
      <c r="JB88" s="62"/>
      <c r="JC88" s="62"/>
      <c r="JD88" s="62"/>
      <c r="JE88" s="62"/>
      <c r="JF88" s="62"/>
      <c r="JG88" s="62"/>
      <c r="JH88" s="62"/>
      <c r="JI88" s="62"/>
      <c r="JJ88" s="62"/>
      <c r="JK88" s="62"/>
      <c r="JL88" s="62"/>
      <c r="JM88" s="62"/>
      <c r="JN88" s="62"/>
      <c r="JO88" s="62"/>
      <c r="JP88" s="62"/>
      <c r="JQ88" s="62"/>
      <c r="JR88" s="62"/>
      <c r="JS88" s="62"/>
      <c r="JT88" s="62"/>
      <c r="JU88" s="62"/>
      <c r="JV88" s="62"/>
      <c r="JW88" s="62"/>
      <c r="JX88" s="62"/>
      <c r="JY88" s="62"/>
      <c r="JZ88" s="62"/>
      <c r="KA88" s="62"/>
      <c r="KB88" s="62"/>
      <c r="KC88" s="62"/>
      <c r="KD88" s="62"/>
      <c r="KE88" s="62"/>
      <c r="KF88" s="62"/>
      <c r="KG88" s="62"/>
      <c r="KH88" s="62"/>
      <c r="KI88" s="62"/>
      <c r="KJ88" s="62"/>
      <c r="KK88" s="62"/>
      <c r="KL88" s="62"/>
      <c r="KM88" s="62"/>
      <c r="KN88" s="62"/>
      <c r="KO88" s="62"/>
      <c r="KP88" s="62"/>
      <c r="KQ88" s="62"/>
      <c r="KR88" s="62"/>
      <c r="KS88" s="62"/>
      <c r="KT88" s="62"/>
      <c r="KU88" s="62"/>
      <c r="KV88" s="62"/>
      <c r="KW88" s="62"/>
      <c r="KX88" s="62"/>
      <c r="KY88" s="62"/>
      <c r="KZ88" s="62"/>
      <c r="LA88" s="62"/>
      <c r="LB88" s="62"/>
      <c r="LC88" s="62"/>
      <c r="LD88" s="62"/>
      <c r="LE88" s="62"/>
      <c r="LF88" s="62"/>
      <c r="LG88" s="62"/>
      <c r="LH88" s="62"/>
      <c r="LI88" s="62"/>
    </row>
    <row r="89" spans="3:321">
      <c r="D89" s="59">
        <v>4153</v>
      </c>
      <c r="E89" s="60" t="s">
        <v>404</v>
      </c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9"/>
      <c r="R89" s="67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67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9"/>
      <c r="AP89" s="67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9"/>
      <c r="BB89" s="67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9"/>
      <c r="BN89" s="67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9"/>
      <c r="BZ89" s="67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7">
        <v>30580.62</v>
      </c>
      <c r="CM89" s="68">
        <v>118324.14</v>
      </c>
      <c r="CN89" s="68">
        <v>147054.04999999999</v>
      </c>
      <c r="CO89" s="68">
        <v>196740.18</v>
      </c>
      <c r="CP89" s="68">
        <v>145157.28</v>
      </c>
      <c r="CQ89" s="68">
        <v>122503.55</v>
      </c>
      <c r="CR89" s="68">
        <v>191128.05</v>
      </c>
      <c r="CS89" s="68">
        <v>165309.88</v>
      </c>
      <c r="CT89" s="68">
        <v>166591.19</v>
      </c>
      <c r="CU89" s="68">
        <v>182715.03</v>
      </c>
      <c r="CV89" s="68">
        <v>174273.72</v>
      </c>
      <c r="CW89" s="69">
        <v>615165.28</v>
      </c>
      <c r="CX89" s="67">
        <v>48816</v>
      </c>
      <c r="CY89" s="68">
        <v>127421.22</v>
      </c>
      <c r="CZ89" s="68">
        <v>497657.43</v>
      </c>
      <c r="DA89" s="68">
        <v>252650.02</v>
      </c>
      <c r="DB89" s="68">
        <v>208676.02</v>
      </c>
      <c r="DC89" s="68">
        <v>195538.69</v>
      </c>
      <c r="DD89" s="68">
        <v>112152.97</v>
      </c>
      <c r="DE89" s="68">
        <v>282119.81</v>
      </c>
      <c r="DF89" s="68">
        <v>223460.39</v>
      </c>
      <c r="DG89" s="68">
        <v>267990.88</v>
      </c>
      <c r="DH89" s="68">
        <v>260095.09</v>
      </c>
      <c r="DI89" s="69">
        <v>654590.18000000005</v>
      </c>
      <c r="DJ89" s="67">
        <v>50498.82</v>
      </c>
      <c r="DK89" s="68">
        <v>214939.26</v>
      </c>
      <c r="DL89" s="68">
        <v>148950.79999999999</v>
      </c>
      <c r="DM89" s="68">
        <v>172754.18</v>
      </c>
      <c r="DN89" s="68">
        <v>150175.45000000001</v>
      </c>
      <c r="DO89" s="68">
        <v>181715.27</v>
      </c>
      <c r="DP89" s="68">
        <v>122656.16</v>
      </c>
      <c r="DQ89" s="68">
        <v>156215.23000000001</v>
      </c>
      <c r="DR89" s="68">
        <v>188748.02</v>
      </c>
      <c r="DS89" s="68">
        <v>276779.7</v>
      </c>
      <c r="DT89" s="68">
        <v>169989.22</v>
      </c>
      <c r="DU89" s="69">
        <v>763618.24999999895</v>
      </c>
      <c r="DV89" s="61">
        <v>51307.99</v>
      </c>
      <c r="DW89" s="61">
        <v>115491.96</v>
      </c>
      <c r="DX89" s="61">
        <v>209821.33</v>
      </c>
      <c r="DY89" s="61">
        <v>138611.59</v>
      </c>
      <c r="DZ89" s="79">
        <v>149946.75</v>
      </c>
      <c r="EC89" s="79"/>
      <c r="ED89" s="79"/>
      <c r="EE89" s="79"/>
      <c r="EF89" s="79"/>
      <c r="EG89" s="79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  <c r="IJ89" s="62"/>
      <c r="IK89" s="62"/>
      <c r="IL89" s="62"/>
      <c r="IM89" s="62"/>
      <c r="IN89" s="62"/>
      <c r="IO89" s="62"/>
      <c r="IP89" s="62"/>
      <c r="IQ89" s="62"/>
      <c r="IR89" s="62"/>
      <c r="IS89" s="62"/>
      <c r="IT89" s="62"/>
      <c r="IU89" s="62"/>
      <c r="IV89" s="62"/>
      <c r="IW89" s="62"/>
      <c r="IX89" s="62"/>
      <c r="IY89" s="62"/>
      <c r="IZ89" s="62"/>
      <c r="JA89" s="62"/>
      <c r="JB89" s="62"/>
      <c r="JC89" s="62"/>
      <c r="JD89" s="62"/>
      <c r="JE89" s="62"/>
      <c r="JF89" s="62"/>
      <c r="JG89" s="62"/>
      <c r="JH89" s="62"/>
      <c r="JI89" s="62"/>
      <c r="JJ89" s="62"/>
      <c r="JK89" s="62"/>
      <c r="JL89" s="62"/>
      <c r="JM89" s="62"/>
      <c r="JN89" s="62"/>
      <c r="JO89" s="62"/>
      <c r="JP89" s="62"/>
      <c r="JQ89" s="62"/>
      <c r="JR89" s="62"/>
      <c r="JS89" s="62"/>
      <c r="JT89" s="62"/>
      <c r="JU89" s="62"/>
      <c r="JV89" s="62"/>
      <c r="JW89" s="62"/>
      <c r="JX89" s="62"/>
      <c r="JY89" s="62"/>
      <c r="JZ89" s="62"/>
      <c r="KA89" s="62"/>
      <c r="KB89" s="62"/>
      <c r="KC89" s="62"/>
      <c r="KD89" s="62"/>
      <c r="KE89" s="62"/>
      <c r="KF89" s="62"/>
      <c r="KG89" s="62"/>
      <c r="KH89" s="62"/>
      <c r="KI89" s="62"/>
      <c r="KJ89" s="62"/>
      <c r="KK89" s="62"/>
      <c r="KL89" s="62"/>
      <c r="KM89" s="62"/>
      <c r="KN89" s="62"/>
      <c r="KO89" s="62"/>
      <c r="KP89" s="62"/>
      <c r="KQ89" s="62"/>
      <c r="KR89" s="62"/>
      <c r="KS89" s="62"/>
      <c r="KT89" s="62"/>
      <c r="KU89" s="62"/>
      <c r="KV89" s="62"/>
      <c r="KW89" s="62"/>
      <c r="KX89" s="62"/>
      <c r="KY89" s="62"/>
      <c r="KZ89" s="62"/>
      <c r="LA89" s="62"/>
      <c r="LB89" s="62"/>
      <c r="LC89" s="62"/>
      <c r="LD89" s="62"/>
      <c r="LE89" s="62"/>
      <c r="LF89" s="62"/>
      <c r="LG89" s="62"/>
      <c r="LH89" s="62"/>
      <c r="LI89" s="62"/>
    </row>
    <row r="90" spans="3:321">
      <c r="C90" s="59">
        <v>416</v>
      </c>
      <c r="D90" s="59">
        <v>416</v>
      </c>
      <c r="E90" s="60" t="s">
        <v>152</v>
      </c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9"/>
      <c r="R90" s="67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67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9"/>
      <c r="AP90" s="67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9"/>
      <c r="BB90" s="67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9"/>
      <c r="BN90" s="67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9"/>
      <c r="BZ90" s="67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  <c r="CL90" s="67">
        <v>553790.51</v>
      </c>
      <c r="CM90" s="68">
        <v>1783760.79</v>
      </c>
      <c r="CN90" s="68">
        <v>2136902.62</v>
      </c>
      <c r="CO90" s="68">
        <v>24827472.129999999</v>
      </c>
      <c r="CP90" s="68">
        <v>1125415.93</v>
      </c>
      <c r="CQ90" s="68">
        <v>3793946.45</v>
      </c>
      <c r="CR90" s="68">
        <v>5739215.1900000004</v>
      </c>
      <c r="CS90" s="68">
        <v>2103580.09</v>
      </c>
      <c r="CT90" s="68">
        <v>18700318.620000001</v>
      </c>
      <c r="CU90" s="68">
        <v>797388.29</v>
      </c>
      <c r="CV90" s="68">
        <v>749118.78</v>
      </c>
      <c r="CW90" s="69">
        <v>5611866.1399999997</v>
      </c>
      <c r="CX90" s="67">
        <v>2500818.23</v>
      </c>
      <c r="CY90" s="68">
        <v>1109975.3799999999</v>
      </c>
      <c r="CZ90" s="68">
        <v>4604120.0999999996</v>
      </c>
      <c r="DA90" s="68">
        <v>24681413.120000001</v>
      </c>
      <c r="DB90" s="68">
        <v>4723228.4400000004</v>
      </c>
      <c r="DC90" s="68">
        <v>5612524.4100000001</v>
      </c>
      <c r="DD90" s="68">
        <v>6811017.4000000004</v>
      </c>
      <c r="DE90" s="68">
        <v>1194574.1499999999</v>
      </c>
      <c r="DF90" s="68">
        <v>17531674.219999999</v>
      </c>
      <c r="DG90" s="68">
        <v>516556.35</v>
      </c>
      <c r="DH90" s="68">
        <v>569278.71</v>
      </c>
      <c r="DI90" s="69">
        <v>5661214.9000000004</v>
      </c>
      <c r="DJ90" s="67">
        <v>2231451.0099999998</v>
      </c>
      <c r="DK90" s="68">
        <v>2890207.88</v>
      </c>
      <c r="DL90" s="68">
        <v>8942154.3000000007</v>
      </c>
      <c r="DM90" s="68">
        <v>19073852.52</v>
      </c>
      <c r="DN90" s="68">
        <v>15976194.35</v>
      </c>
      <c r="DO90" s="68">
        <v>4369899.47</v>
      </c>
      <c r="DP90" s="68">
        <v>6120956.6900000004</v>
      </c>
      <c r="DQ90" s="68">
        <v>983659.16</v>
      </c>
      <c r="DR90" s="68">
        <v>16142994.029999999</v>
      </c>
      <c r="DS90" s="68">
        <v>488401.27</v>
      </c>
      <c r="DT90" s="68">
        <v>462527.35</v>
      </c>
      <c r="DU90" s="69">
        <v>4120451.72</v>
      </c>
      <c r="DV90" s="61">
        <v>3853176.02</v>
      </c>
      <c r="DW90" s="61">
        <v>923447.88</v>
      </c>
      <c r="DX90" s="61">
        <v>26673541.219999999</v>
      </c>
      <c r="DY90" s="61">
        <v>16836216.219999999</v>
      </c>
      <c r="DZ90" s="79">
        <v>16044663.550000001</v>
      </c>
      <c r="EA90" s="79">
        <v>2932165.72</v>
      </c>
      <c r="EB90" s="79">
        <v>6331227.2400000002</v>
      </c>
      <c r="EC90" s="84">
        <v>1492919.53</v>
      </c>
      <c r="ED90" s="79">
        <v>2590259.06</v>
      </c>
      <c r="EE90" s="79">
        <v>414135.02</v>
      </c>
      <c r="EF90" s="79">
        <v>552221.05000000005</v>
      </c>
      <c r="EG90" s="79">
        <v>2932108.14</v>
      </c>
      <c r="EH90" s="62">
        <v>3229720.9</v>
      </c>
      <c r="EI90" s="62">
        <v>1105648.4099999999</v>
      </c>
      <c r="EJ90" s="62">
        <v>39350670.159999996</v>
      </c>
      <c r="EK90" s="62">
        <v>18359667.859999999</v>
      </c>
      <c r="EL90" s="62">
        <v>16347481.07</v>
      </c>
      <c r="EM90" s="62">
        <v>2519907.7599999998</v>
      </c>
      <c r="EN90" s="62">
        <v>6570219.0800000001</v>
      </c>
      <c r="EO90" s="62">
        <v>1254218.04</v>
      </c>
      <c r="EP90" s="62">
        <v>2016695.15</v>
      </c>
      <c r="EQ90" s="62">
        <v>1739140.99</v>
      </c>
      <c r="ER90" s="62">
        <v>3918626.83</v>
      </c>
      <c r="ES90" s="62">
        <v>2293382.33</v>
      </c>
      <c r="ET90" s="62">
        <v>4324077.55</v>
      </c>
      <c r="EU90" s="62">
        <v>1050801.23</v>
      </c>
      <c r="EV90" s="62">
        <v>39514676.710000001</v>
      </c>
      <c r="EW90" s="62">
        <v>17000784.449999999</v>
      </c>
      <c r="EX90" s="62">
        <v>10064809.060000001</v>
      </c>
      <c r="EY90" s="62">
        <v>1838720.63</v>
      </c>
      <c r="EZ90" s="62">
        <v>7518062.3499999996</v>
      </c>
      <c r="FA90" s="62">
        <v>1168435.74</v>
      </c>
      <c r="FB90" s="62">
        <v>3617355.6</v>
      </c>
      <c r="FC90" s="62">
        <v>1538688.3</v>
      </c>
      <c r="FD90" s="62">
        <v>4283049.2</v>
      </c>
      <c r="FE90" s="62">
        <v>5677848.6699999999</v>
      </c>
      <c r="FF90" s="62">
        <v>6154852.9000000004</v>
      </c>
      <c r="FG90" s="62">
        <v>999341.54</v>
      </c>
      <c r="FH90" s="62">
        <v>28695513.649999999</v>
      </c>
      <c r="FI90" s="62">
        <v>18435271.789999999</v>
      </c>
      <c r="FJ90" s="62">
        <v>10258844.07</v>
      </c>
      <c r="FK90" s="62">
        <v>5411766.9400000004</v>
      </c>
      <c r="FL90" s="1">
        <v>9047333.1999999993</v>
      </c>
      <c r="FM90" s="62">
        <v>1051267.33</v>
      </c>
      <c r="FN90" s="62">
        <v>2999385.93</v>
      </c>
      <c r="FO90" s="62">
        <v>12529193.49</v>
      </c>
      <c r="FP90" s="62">
        <v>4455810.1900000004</v>
      </c>
      <c r="FQ90" s="62">
        <v>5764759.8200000003</v>
      </c>
      <c r="FR90" s="62">
        <v>7654845.3899999997</v>
      </c>
      <c r="FS90" s="62">
        <v>1839801.88</v>
      </c>
      <c r="FT90" s="62">
        <v>27475960.399999999</v>
      </c>
      <c r="FU90" s="62">
        <v>22627138.609999999</v>
      </c>
      <c r="FV90" s="62">
        <v>1656916.58</v>
      </c>
      <c r="FW90" s="62">
        <v>5341737.45</v>
      </c>
      <c r="FX90" s="62">
        <v>7776730.1600000001</v>
      </c>
      <c r="FY90" s="62">
        <v>1773831.18</v>
      </c>
      <c r="FZ90" s="62">
        <v>1552435.29</v>
      </c>
      <c r="GA90" s="62">
        <v>14223016.369999999</v>
      </c>
      <c r="GB90" s="62">
        <v>10001902.91</v>
      </c>
      <c r="GC90" s="62">
        <v>9184592.1300000008</v>
      </c>
      <c r="GD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  <c r="IJ90" s="62"/>
      <c r="IK90" s="62"/>
      <c r="IL90" s="62"/>
      <c r="IM90" s="62"/>
      <c r="IN90" s="62"/>
      <c r="IO90" s="62"/>
      <c r="IP90" s="62"/>
      <c r="IQ90" s="62"/>
      <c r="IR90" s="62"/>
      <c r="IS90" s="62"/>
      <c r="IT90" s="62"/>
      <c r="IU90" s="62"/>
      <c r="IV90" s="62"/>
      <c r="IW90" s="62"/>
      <c r="IX90" s="62"/>
      <c r="IY90" s="62"/>
      <c r="IZ90" s="62"/>
      <c r="JA90" s="62"/>
      <c r="JB90" s="62"/>
      <c r="JC90" s="62"/>
      <c r="JD90" s="62"/>
      <c r="JE90" s="62"/>
      <c r="JF90" s="62"/>
      <c r="JG90" s="62"/>
      <c r="JH90" s="62"/>
      <c r="JI90" s="62"/>
      <c r="JJ90" s="62"/>
      <c r="JK90" s="62"/>
      <c r="JL90" s="62"/>
      <c r="JM90" s="62"/>
      <c r="JN90" s="62"/>
      <c r="JO90" s="62"/>
      <c r="JP90" s="62"/>
      <c r="JQ90" s="62"/>
      <c r="JR90" s="62"/>
      <c r="JS90" s="62"/>
      <c r="JT90" s="62"/>
      <c r="JU90" s="62"/>
      <c r="JV90" s="62"/>
      <c r="JW90" s="62"/>
      <c r="JX90" s="62"/>
      <c r="JY90" s="62"/>
      <c r="JZ90" s="62"/>
      <c r="KA90" s="62"/>
      <c r="KB90" s="62"/>
      <c r="KC90" s="62"/>
      <c r="KD90" s="62"/>
      <c r="KE90" s="62"/>
      <c r="KF90" s="62"/>
      <c r="KG90" s="62"/>
      <c r="KH90" s="62"/>
      <c r="KI90" s="62"/>
      <c r="KJ90" s="62"/>
      <c r="KK90" s="62"/>
      <c r="KL90" s="62"/>
      <c r="KM90" s="62"/>
      <c r="KN90" s="62"/>
      <c r="KO90" s="62"/>
      <c r="KP90" s="62"/>
      <c r="KQ90" s="62"/>
      <c r="KR90" s="62"/>
      <c r="KS90" s="62"/>
      <c r="KT90" s="62"/>
      <c r="KU90" s="62"/>
      <c r="KV90" s="62"/>
      <c r="KW90" s="62"/>
      <c r="KX90" s="62"/>
      <c r="KY90" s="62"/>
      <c r="KZ90" s="62"/>
      <c r="LA90" s="62"/>
      <c r="LB90" s="62"/>
      <c r="LC90" s="62"/>
      <c r="LD90" s="62"/>
      <c r="LE90" s="62"/>
      <c r="LF90" s="62"/>
      <c r="LG90" s="62"/>
      <c r="LH90" s="62"/>
      <c r="LI90" s="62"/>
    </row>
    <row r="91" spans="3:321">
      <c r="D91" s="59">
        <v>4161</v>
      </c>
      <c r="E91" s="60" t="s">
        <v>405</v>
      </c>
      <c r="F91" s="67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9"/>
      <c r="R91" s="67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67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9"/>
      <c r="AP91" s="67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9"/>
      <c r="BB91" s="67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9"/>
      <c r="BN91" s="67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9"/>
      <c r="BZ91" s="67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  <c r="CL91" s="67">
        <v>186935.47</v>
      </c>
      <c r="CM91" s="68">
        <v>1089798.1599999999</v>
      </c>
      <c r="CN91" s="68">
        <v>235648.29</v>
      </c>
      <c r="CO91" s="68">
        <v>572214.51</v>
      </c>
      <c r="CP91" s="68">
        <v>347437.52</v>
      </c>
      <c r="CQ91" s="68">
        <v>628963.75</v>
      </c>
      <c r="CR91" s="68">
        <v>646150.65</v>
      </c>
      <c r="CS91" s="68">
        <v>1284391.83</v>
      </c>
      <c r="CT91" s="68">
        <v>1025800.67</v>
      </c>
      <c r="CU91" s="68">
        <v>418836.32</v>
      </c>
      <c r="CV91" s="68">
        <v>319838.31</v>
      </c>
      <c r="CW91" s="69">
        <v>1647052.39</v>
      </c>
      <c r="CX91" s="67">
        <v>111733.17</v>
      </c>
      <c r="CY91" s="68">
        <v>139373.56</v>
      </c>
      <c r="CZ91" s="68">
        <v>1993480.86</v>
      </c>
      <c r="DA91" s="68">
        <v>41946.62</v>
      </c>
      <c r="DB91" s="68">
        <v>35809.410000000003</v>
      </c>
      <c r="DC91" s="68">
        <v>829028.67</v>
      </c>
      <c r="DD91" s="68">
        <v>351656.55</v>
      </c>
      <c r="DE91" s="68">
        <v>131034.26</v>
      </c>
      <c r="DF91" s="68">
        <v>1544582.96</v>
      </c>
      <c r="DG91" s="68">
        <v>52709.01</v>
      </c>
      <c r="DH91" s="68">
        <v>96569.56</v>
      </c>
      <c r="DI91" s="69">
        <v>952094.37</v>
      </c>
      <c r="DJ91" s="67">
        <v>111733.17</v>
      </c>
      <c r="DK91" s="68">
        <v>112308.35</v>
      </c>
      <c r="DL91" s="68">
        <v>2020546.07</v>
      </c>
      <c r="DM91" s="68">
        <v>41946.62</v>
      </c>
      <c r="DN91" s="68">
        <v>35809.410000000003</v>
      </c>
      <c r="DO91" s="68">
        <v>829028.67</v>
      </c>
      <c r="DP91" s="68">
        <v>351618.79</v>
      </c>
      <c r="DQ91" s="68">
        <v>131072.01999999999</v>
      </c>
      <c r="DR91" s="68">
        <v>1543150.85</v>
      </c>
      <c r="DS91" s="68">
        <v>52709.01</v>
      </c>
      <c r="DT91" s="68">
        <v>96569.56</v>
      </c>
      <c r="DU91" s="69">
        <v>952094.37</v>
      </c>
      <c r="DV91" s="61">
        <v>73377.89</v>
      </c>
      <c r="DW91" s="61">
        <v>287510.59999999998</v>
      </c>
      <c r="DX91" s="61">
        <v>1394593.96</v>
      </c>
      <c r="DY91" s="61">
        <v>207911.91</v>
      </c>
      <c r="DZ91" s="79">
        <v>67626.53</v>
      </c>
      <c r="EC91" s="84">
        <v>759145.46</v>
      </c>
      <c r="ED91" s="79"/>
      <c r="EE91" s="79"/>
      <c r="EF91" s="79"/>
      <c r="EG91" s="79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  <c r="IJ91" s="62"/>
      <c r="IK91" s="62"/>
      <c r="IL91" s="62"/>
      <c r="IM91" s="62"/>
      <c r="IN91" s="62"/>
      <c r="IO91" s="62"/>
      <c r="IP91" s="62"/>
      <c r="IQ91" s="62"/>
      <c r="IR91" s="62"/>
      <c r="IS91" s="62"/>
      <c r="IT91" s="62"/>
      <c r="IU91" s="62"/>
      <c r="IV91" s="62"/>
      <c r="IW91" s="62"/>
      <c r="IX91" s="62"/>
      <c r="IY91" s="62"/>
      <c r="IZ91" s="62"/>
      <c r="JA91" s="62"/>
      <c r="JB91" s="62"/>
      <c r="JC91" s="62"/>
      <c r="JD91" s="62"/>
      <c r="JE91" s="62"/>
      <c r="JF91" s="62"/>
      <c r="JG91" s="62"/>
      <c r="JH91" s="62"/>
      <c r="JI91" s="62"/>
      <c r="JJ91" s="62"/>
      <c r="JK91" s="62"/>
      <c r="JL91" s="62"/>
      <c r="JM91" s="62"/>
      <c r="JN91" s="62"/>
      <c r="JO91" s="62"/>
      <c r="JP91" s="62"/>
      <c r="JQ91" s="62"/>
      <c r="JR91" s="62"/>
      <c r="JS91" s="62"/>
      <c r="JT91" s="62"/>
      <c r="JU91" s="62"/>
      <c r="JV91" s="62"/>
      <c r="JW91" s="62"/>
      <c r="JX91" s="62"/>
      <c r="JY91" s="62"/>
      <c r="JZ91" s="62"/>
      <c r="KA91" s="62"/>
      <c r="KB91" s="62"/>
      <c r="KC91" s="62"/>
      <c r="KD91" s="62"/>
      <c r="KE91" s="62"/>
      <c r="KF91" s="62"/>
      <c r="KG91" s="62"/>
      <c r="KH91" s="62"/>
      <c r="KI91" s="62"/>
      <c r="KJ91" s="62"/>
      <c r="KK91" s="62"/>
      <c r="KL91" s="62"/>
      <c r="KM91" s="62"/>
      <c r="KN91" s="62"/>
      <c r="KO91" s="62"/>
      <c r="KP91" s="62"/>
      <c r="KQ91" s="62"/>
      <c r="KR91" s="62"/>
      <c r="KS91" s="62"/>
      <c r="KT91" s="62"/>
      <c r="KU91" s="62"/>
      <c r="KV91" s="62"/>
      <c r="KW91" s="62"/>
      <c r="KX91" s="62"/>
      <c r="KY91" s="62"/>
      <c r="KZ91" s="62"/>
      <c r="LA91" s="62"/>
      <c r="LB91" s="62"/>
      <c r="LC91" s="62"/>
      <c r="LD91" s="62"/>
      <c r="LE91" s="62"/>
      <c r="LF91" s="62"/>
      <c r="LG91" s="62"/>
      <c r="LH91" s="62"/>
      <c r="LI91" s="62"/>
    </row>
    <row r="92" spans="3:321">
      <c r="D92" s="59">
        <v>4162</v>
      </c>
      <c r="E92" s="60" t="s">
        <v>406</v>
      </c>
      <c r="F92" s="67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9"/>
      <c r="R92" s="67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67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9"/>
      <c r="AP92" s="67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9"/>
      <c r="BB92" s="67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9"/>
      <c r="BN92" s="67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9"/>
      <c r="BZ92" s="67"/>
      <c r="CA92" s="68"/>
      <c r="CB92" s="68"/>
      <c r="CC92" s="68"/>
      <c r="CD92" s="68"/>
      <c r="CE92" s="68"/>
      <c r="CF92" s="68"/>
      <c r="CG92" s="68"/>
      <c r="CH92" s="68"/>
      <c r="CI92" s="68"/>
      <c r="CJ92" s="68"/>
      <c r="CK92" s="68"/>
      <c r="CL92" s="67">
        <v>366855.04</v>
      </c>
      <c r="CM92" s="68">
        <v>693962.63</v>
      </c>
      <c r="CN92" s="68">
        <v>1901254.33</v>
      </c>
      <c r="CO92" s="68">
        <v>24255257.620000001</v>
      </c>
      <c r="CP92" s="68">
        <v>777978.41</v>
      </c>
      <c r="CQ92" s="68">
        <v>3164982.7</v>
      </c>
      <c r="CR92" s="68">
        <v>5093064.54</v>
      </c>
      <c r="CS92" s="68">
        <v>819188.26</v>
      </c>
      <c r="CT92" s="68">
        <v>17674517.949999999</v>
      </c>
      <c r="CU92" s="68">
        <v>378551.97</v>
      </c>
      <c r="CV92" s="68">
        <v>429280.47</v>
      </c>
      <c r="CW92" s="69">
        <v>3964813.75</v>
      </c>
      <c r="CX92" s="67">
        <v>2137792.7200000002</v>
      </c>
      <c r="CY92" s="68">
        <v>2786785</v>
      </c>
      <c r="CZ92" s="68">
        <v>2996447.12</v>
      </c>
      <c r="DA92" s="68">
        <v>19095358.280000001</v>
      </c>
      <c r="DB92" s="68">
        <v>15882319.67</v>
      </c>
      <c r="DC92" s="68">
        <v>3532104.12</v>
      </c>
      <c r="DD92" s="68">
        <v>5785849.54</v>
      </c>
      <c r="DE92" s="68">
        <v>980481.95</v>
      </c>
      <c r="DF92" s="68">
        <v>14505250.550000001</v>
      </c>
      <c r="DG92" s="68">
        <v>392905.03</v>
      </c>
      <c r="DH92" s="68">
        <v>358931.20000000001</v>
      </c>
      <c r="DI92" s="69">
        <v>3168368.89</v>
      </c>
      <c r="DJ92" s="67">
        <v>2119717.84</v>
      </c>
      <c r="DK92" s="68">
        <v>2777899.53</v>
      </c>
      <c r="DL92" s="68">
        <v>6921608.2300000004</v>
      </c>
      <c r="DM92" s="68">
        <v>19031905.899999999</v>
      </c>
      <c r="DN92" s="68">
        <v>15940384.939999999</v>
      </c>
      <c r="DO92" s="68">
        <v>3540870.8</v>
      </c>
      <c r="DP92" s="68">
        <v>5769337.9000000004</v>
      </c>
      <c r="DQ92" s="68">
        <v>852587.14</v>
      </c>
      <c r="DR92" s="68">
        <v>14599843.18</v>
      </c>
      <c r="DS92" s="68">
        <v>435692.26</v>
      </c>
      <c r="DT92" s="68">
        <v>365957.79</v>
      </c>
      <c r="DU92" s="69">
        <v>3168357.35</v>
      </c>
      <c r="DV92" s="61">
        <v>3779798.13</v>
      </c>
      <c r="DW92" s="61">
        <v>635937.28000000003</v>
      </c>
      <c r="DX92" s="61">
        <v>21712938.809999999</v>
      </c>
      <c r="DY92" s="61">
        <v>16628312.609999999</v>
      </c>
      <c r="DZ92" s="79">
        <v>15920481.640000001</v>
      </c>
      <c r="EC92" s="84">
        <v>733774.07</v>
      </c>
      <c r="ED92" s="79"/>
      <c r="EE92" s="79"/>
      <c r="EF92" s="79"/>
      <c r="EG92" s="79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  <c r="IK92" s="62"/>
      <c r="IL92" s="62"/>
      <c r="IM92" s="62"/>
      <c r="IN92" s="62"/>
      <c r="IO92" s="62"/>
      <c r="IP92" s="62"/>
      <c r="IQ92" s="62"/>
      <c r="IR92" s="62"/>
      <c r="IS92" s="62"/>
      <c r="IT92" s="62"/>
      <c r="IU92" s="62"/>
      <c r="IV92" s="62"/>
      <c r="IW92" s="62"/>
      <c r="IX92" s="62"/>
      <c r="IY92" s="62"/>
      <c r="IZ92" s="62"/>
      <c r="JA92" s="62"/>
      <c r="JB92" s="62"/>
      <c r="JC92" s="62"/>
      <c r="JD92" s="62"/>
      <c r="JE92" s="62"/>
      <c r="JF92" s="62"/>
      <c r="JG92" s="62"/>
      <c r="JH92" s="62"/>
      <c r="JI92" s="62"/>
      <c r="JJ92" s="62"/>
      <c r="JK92" s="62"/>
      <c r="JL92" s="62"/>
      <c r="JM92" s="62"/>
      <c r="JN92" s="62"/>
      <c r="JO92" s="62"/>
      <c r="JP92" s="62"/>
      <c r="JQ92" s="62"/>
      <c r="JR92" s="62"/>
      <c r="JS92" s="62"/>
      <c r="JT92" s="62"/>
      <c r="JU92" s="62"/>
      <c r="JV92" s="62"/>
      <c r="JW92" s="62"/>
      <c r="JX92" s="62"/>
      <c r="JY92" s="62"/>
      <c r="JZ92" s="62"/>
      <c r="KA92" s="62"/>
      <c r="KB92" s="62"/>
      <c r="KC92" s="62"/>
      <c r="KD92" s="62"/>
      <c r="KE92" s="62"/>
      <c r="KF92" s="62"/>
      <c r="KG92" s="62"/>
      <c r="KH92" s="62"/>
      <c r="KI92" s="62"/>
      <c r="KJ92" s="62"/>
      <c r="KK92" s="62"/>
      <c r="KL92" s="62"/>
      <c r="KM92" s="62"/>
      <c r="KN92" s="62"/>
      <c r="KO92" s="62"/>
      <c r="KP92" s="62"/>
      <c r="KQ92" s="62"/>
      <c r="KR92" s="62"/>
      <c r="KS92" s="62"/>
      <c r="KT92" s="62"/>
      <c r="KU92" s="62"/>
      <c r="KV92" s="62"/>
      <c r="KW92" s="62"/>
      <c r="KX92" s="62"/>
      <c r="KY92" s="62"/>
      <c r="KZ92" s="62"/>
      <c r="LA92" s="62"/>
      <c r="LB92" s="62"/>
      <c r="LC92" s="62"/>
      <c r="LD92" s="62"/>
      <c r="LE92" s="62"/>
      <c r="LF92" s="62"/>
      <c r="LG92" s="62"/>
      <c r="LH92" s="62"/>
      <c r="LI92" s="62"/>
    </row>
    <row r="93" spans="3:321">
      <c r="C93" s="59">
        <v>417</v>
      </c>
      <c r="D93" s="59">
        <v>417</v>
      </c>
      <c r="E93" s="60" t="s">
        <v>153</v>
      </c>
      <c r="F93" s="67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9"/>
      <c r="R93" s="67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67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9"/>
      <c r="AP93" s="67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9"/>
      <c r="BB93" s="67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9"/>
      <c r="BN93" s="67"/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9"/>
      <c r="BZ93" s="67"/>
      <c r="CA93" s="68"/>
      <c r="CB93" s="68"/>
      <c r="CC93" s="68"/>
      <c r="CD93" s="68"/>
      <c r="CE93" s="68"/>
      <c r="CF93" s="68"/>
      <c r="CG93" s="68"/>
      <c r="CH93" s="68"/>
      <c r="CI93" s="68"/>
      <c r="CJ93" s="68"/>
      <c r="CK93" s="68"/>
      <c r="CL93" s="67">
        <v>514851.78</v>
      </c>
      <c r="CM93" s="68">
        <v>585306.03</v>
      </c>
      <c r="CN93" s="68">
        <v>717206.68</v>
      </c>
      <c r="CO93" s="68">
        <v>605035.82999999996</v>
      </c>
      <c r="CP93" s="68">
        <v>812757.71</v>
      </c>
      <c r="CQ93" s="68">
        <v>562444.48</v>
      </c>
      <c r="CR93" s="68">
        <v>546494.51</v>
      </c>
      <c r="CS93" s="68">
        <v>583035.29</v>
      </c>
      <c r="CT93" s="68">
        <v>872287.29</v>
      </c>
      <c r="CU93" s="68">
        <v>927461.39</v>
      </c>
      <c r="CV93" s="68">
        <v>532803.81000000006</v>
      </c>
      <c r="CW93" s="69">
        <v>668357.01</v>
      </c>
      <c r="CX93" s="67">
        <v>940663.68</v>
      </c>
      <c r="CY93" s="68">
        <v>532115.69999999995</v>
      </c>
      <c r="CZ93" s="68">
        <v>635952.73</v>
      </c>
      <c r="DA93" s="68">
        <v>682674.55</v>
      </c>
      <c r="DB93" s="68">
        <v>791656.25</v>
      </c>
      <c r="DC93" s="68">
        <v>768899.8</v>
      </c>
      <c r="DD93" s="68">
        <v>704468.67</v>
      </c>
      <c r="DE93" s="68">
        <v>564493.42000000004</v>
      </c>
      <c r="DF93" s="68">
        <v>382571.18</v>
      </c>
      <c r="DG93" s="68">
        <v>878175.46</v>
      </c>
      <c r="DH93" s="68">
        <v>526085.06999999995</v>
      </c>
      <c r="DI93" s="69">
        <v>640245.18999999994</v>
      </c>
      <c r="DJ93" s="67">
        <v>1031507.5</v>
      </c>
      <c r="DK93" s="68">
        <v>317157.59999999998</v>
      </c>
      <c r="DL93" s="68">
        <v>1109766.83</v>
      </c>
      <c r="DM93" s="68">
        <v>602143.53</v>
      </c>
      <c r="DN93" s="68">
        <v>694433.44</v>
      </c>
      <c r="DO93" s="68">
        <v>646801.94999999995</v>
      </c>
      <c r="DP93" s="68">
        <v>742385.64</v>
      </c>
      <c r="DQ93" s="68">
        <v>646855.39</v>
      </c>
      <c r="DR93" s="68">
        <v>645629.5</v>
      </c>
      <c r="DS93" s="68">
        <v>307234.49</v>
      </c>
      <c r="DT93" s="68">
        <v>532511.6</v>
      </c>
      <c r="DU93" s="69">
        <v>642314.85</v>
      </c>
      <c r="DV93" s="61">
        <v>732339.01</v>
      </c>
      <c r="DW93" s="61">
        <v>864772.2</v>
      </c>
      <c r="DX93" s="61">
        <v>908359.28</v>
      </c>
      <c r="DY93" s="61">
        <v>644491.55000000005</v>
      </c>
      <c r="DZ93" s="79">
        <v>633916.04</v>
      </c>
      <c r="EA93" s="79">
        <v>547580.09</v>
      </c>
      <c r="EB93" s="79">
        <v>683009.06</v>
      </c>
      <c r="EC93" s="84">
        <v>712804.15</v>
      </c>
      <c r="ED93" s="79">
        <v>668129.85</v>
      </c>
      <c r="EE93" s="79">
        <v>606022.38</v>
      </c>
      <c r="EF93" s="79">
        <v>538062.98</v>
      </c>
      <c r="EG93" s="79">
        <v>1676542.74</v>
      </c>
      <c r="EH93" s="62">
        <v>576439.54</v>
      </c>
      <c r="EI93" s="62">
        <v>609518.68999999994</v>
      </c>
      <c r="EJ93" s="62">
        <v>647095.18000000005</v>
      </c>
      <c r="EK93" s="62">
        <v>737903.15</v>
      </c>
      <c r="EL93" s="62">
        <v>649640.18999999994</v>
      </c>
      <c r="EM93" s="62">
        <v>723692.29</v>
      </c>
      <c r="EN93" s="62">
        <v>744151.17</v>
      </c>
      <c r="EO93" s="62">
        <v>655865.84</v>
      </c>
      <c r="EP93" s="62">
        <v>680175.47</v>
      </c>
      <c r="EQ93" s="62">
        <v>802737.21</v>
      </c>
      <c r="ER93" s="62">
        <v>721286.02</v>
      </c>
      <c r="ES93" s="62">
        <v>1392442.62</v>
      </c>
      <c r="ET93" s="62">
        <v>175603.34</v>
      </c>
      <c r="EU93" s="62">
        <v>1124463.03</v>
      </c>
      <c r="EV93" s="62">
        <v>523950.18</v>
      </c>
      <c r="EW93" s="62">
        <v>641415.42000000004</v>
      </c>
      <c r="EX93" s="62">
        <v>933048.68</v>
      </c>
      <c r="EY93" s="62">
        <v>835746.88</v>
      </c>
      <c r="EZ93" s="62">
        <v>824828.88</v>
      </c>
      <c r="FA93" s="62">
        <v>555711.06999999995</v>
      </c>
      <c r="FB93" s="62">
        <v>949304.64</v>
      </c>
      <c r="FC93" s="62">
        <v>827176.94</v>
      </c>
      <c r="FD93" s="62">
        <v>584262.68000000005</v>
      </c>
      <c r="FE93" s="62">
        <v>2717616.81</v>
      </c>
      <c r="FF93" s="62">
        <v>218026.46</v>
      </c>
      <c r="FG93" s="62">
        <v>777233.65</v>
      </c>
      <c r="FH93" s="62">
        <v>800870.53</v>
      </c>
      <c r="FI93" s="62">
        <v>1119902.21</v>
      </c>
      <c r="FJ93" s="62">
        <v>986505.29</v>
      </c>
      <c r="FK93" s="62">
        <v>606326.98</v>
      </c>
      <c r="FL93" s="1">
        <v>1397044.86</v>
      </c>
      <c r="FM93" s="62">
        <v>824993.89</v>
      </c>
      <c r="FN93" s="62">
        <v>653814.94999999995</v>
      </c>
      <c r="FO93" s="62">
        <v>804750.67</v>
      </c>
      <c r="FP93" s="62">
        <v>559052.02</v>
      </c>
      <c r="FQ93" s="62">
        <v>2205140.14</v>
      </c>
      <c r="FR93" s="62">
        <v>615194.6</v>
      </c>
      <c r="FS93" s="62">
        <v>744117.39</v>
      </c>
      <c r="FT93" s="62">
        <v>896209.73</v>
      </c>
      <c r="FU93" s="62">
        <v>971481.72</v>
      </c>
      <c r="FV93" s="62">
        <v>768927.2</v>
      </c>
      <c r="FW93" s="62">
        <v>795087.54</v>
      </c>
      <c r="FX93" s="62">
        <v>1218754.73</v>
      </c>
      <c r="FY93" s="62">
        <v>762878.34</v>
      </c>
      <c r="FZ93" s="62">
        <v>769460.79</v>
      </c>
      <c r="GA93" s="62">
        <v>1062864.68</v>
      </c>
      <c r="GB93" s="62">
        <v>1092565.04</v>
      </c>
      <c r="GC93" s="62">
        <v>1672063.04</v>
      </c>
      <c r="GD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2"/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62"/>
      <c r="HX93" s="62"/>
      <c r="HY93" s="62"/>
      <c r="HZ93" s="62"/>
      <c r="IA93" s="62"/>
      <c r="IB93" s="62"/>
      <c r="IC93" s="62"/>
      <c r="ID93" s="62"/>
      <c r="IE93" s="62"/>
      <c r="IF93" s="62"/>
      <c r="IG93" s="62"/>
      <c r="IH93" s="62"/>
      <c r="II93" s="62"/>
      <c r="IJ93" s="62"/>
      <c r="IK93" s="62"/>
      <c r="IL93" s="62"/>
      <c r="IM93" s="62"/>
      <c r="IN93" s="62"/>
      <c r="IO93" s="62"/>
      <c r="IP93" s="62"/>
      <c r="IQ93" s="62"/>
      <c r="IR93" s="62"/>
      <c r="IS93" s="62"/>
      <c r="IT93" s="62"/>
      <c r="IU93" s="62"/>
      <c r="IV93" s="62"/>
      <c r="IW93" s="62"/>
      <c r="IX93" s="62"/>
      <c r="IY93" s="62"/>
      <c r="IZ93" s="62"/>
      <c r="JA93" s="62"/>
      <c r="JB93" s="62"/>
      <c r="JC93" s="62"/>
      <c r="JD93" s="62"/>
      <c r="JE93" s="62"/>
      <c r="JF93" s="62"/>
      <c r="JG93" s="62"/>
      <c r="JH93" s="62"/>
      <c r="JI93" s="62"/>
      <c r="JJ93" s="62"/>
      <c r="JK93" s="62"/>
      <c r="JL93" s="62"/>
      <c r="JM93" s="62"/>
      <c r="JN93" s="62"/>
      <c r="JO93" s="62"/>
      <c r="JP93" s="62"/>
      <c r="JQ93" s="62"/>
      <c r="JR93" s="62"/>
      <c r="JS93" s="62"/>
      <c r="JT93" s="62"/>
      <c r="JU93" s="62"/>
      <c r="JV93" s="62"/>
      <c r="JW93" s="62"/>
      <c r="JX93" s="62"/>
      <c r="JY93" s="62"/>
      <c r="JZ93" s="62"/>
      <c r="KA93" s="62"/>
      <c r="KB93" s="62"/>
      <c r="KC93" s="62"/>
      <c r="KD93" s="62"/>
      <c r="KE93" s="62"/>
      <c r="KF93" s="62"/>
      <c r="KG93" s="62"/>
      <c r="KH93" s="62"/>
      <c r="KI93" s="62"/>
      <c r="KJ93" s="62"/>
      <c r="KK93" s="62"/>
      <c r="KL93" s="62"/>
      <c r="KM93" s="62"/>
      <c r="KN93" s="62"/>
      <c r="KO93" s="62"/>
      <c r="KP93" s="62"/>
      <c r="KQ93" s="62"/>
      <c r="KR93" s="62"/>
      <c r="KS93" s="62"/>
      <c r="KT93" s="62"/>
      <c r="KU93" s="62"/>
      <c r="KV93" s="62"/>
      <c r="KW93" s="62"/>
      <c r="KX93" s="62"/>
      <c r="KY93" s="62"/>
      <c r="KZ93" s="62"/>
      <c r="LA93" s="62"/>
      <c r="LB93" s="62"/>
      <c r="LC93" s="62"/>
      <c r="LD93" s="62"/>
      <c r="LE93" s="62"/>
      <c r="LF93" s="62"/>
      <c r="LG93" s="62"/>
      <c r="LH93" s="62"/>
      <c r="LI93" s="62"/>
    </row>
    <row r="94" spans="3:321">
      <c r="D94" s="59">
        <v>4171</v>
      </c>
      <c r="E94" s="60" t="s">
        <v>407</v>
      </c>
      <c r="F94" s="67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9"/>
      <c r="R94" s="67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67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9"/>
      <c r="AP94" s="67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9"/>
      <c r="BB94" s="67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9"/>
      <c r="BN94" s="67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9"/>
      <c r="BZ94" s="67"/>
      <c r="CA94" s="68"/>
      <c r="CB94" s="68"/>
      <c r="CC94" s="68"/>
      <c r="CD94" s="68"/>
      <c r="CE94" s="68"/>
      <c r="CF94" s="68"/>
      <c r="CG94" s="68"/>
      <c r="CH94" s="68"/>
      <c r="CI94" s="68"/>
      <c r="CJ94" s="68"/>
      <c r="CK94" s="68"/>
      <c r="CL94" s="67">
        <v>514751.78</v>
      </c>
      <c r="CM94" s="68">
        <v>582861.37</v>
      </c>
      <c r="CN94" s="68">
        <v>692835.69</v>
      </c>
      <c r="CO94" s="68">
        <v>590493.67000000004</v>
      </c>
      <c r="CP94" s="68">
        <v>803392.72</v>
      </c>
      <c r="CQ94" s="68">
        <v>556683.67000000004</v>
      </c>
      <c r="CR94" s="68">
        <v>543388.64</v>
      </c>
      <c r="CS94" s="68">
        <v>569208.55000000005</v>
      </c>
      <c r="CT94" s="68">
        <v>859166.07</v>
      </c>
      <c r="CU94" s="68">
        <v>903568.11</v>
      </c>
      <c r="CV94" s="68">
        <v>530576.55000000005</v>
      </c>
      <c r="CW94" s="69">
        <v>527625.15</v>
      </c>
      <c r="CX94" s="67">
        <v>936514.28</v>
      </c>
      <c r="CY94" s="68">
        <v>522916.67</v>
      </c>
      <c r="CZ94" s="68">
        <v>625117.02</v>
      </c>
      <c r="DA94" s="68">
        <v>675542.83</v>
      </c>
      <c r="DB94" s="68">
        <v>736275.13</v>
      </c>
      <c r="DC94" s="68">
        <v>720893.93</v>
      </c>
      <c r="DD94" s="68">
        <v>687223.75</v>
      </c>
      <c r="DE94" s="68">
        <v>553618.18999999994</v>
      </c>
      <c r="DF94" s="68">
        <v>338280.83</v>
      </c>
      <c r="DG94" s="68">
        <v>876646.63</v>
      </c>
      <c r="DH94" s="68">
        <v>504065.32</v>
      </c>
      <c r="DI94" s="69">
        <v>544633.68999999994</v>
      </c>
      <c r="DJ94" s="67">
        <v>1021315.31</v>
      </c>
      <c r="DK94" s="68">
        <v>296631.28999999998</v>
      </c>
      <c r="DL94" s="68">
        <v>1078776.81</v>
      </c>
      <c r="DM94" s="68">
        <v>579689.87</v>
      </c>
      <c r="DN94" s="68">
        <v>677574.88</v>
      </c>
      <c r="DO94" s="68">
        <v>621987.56000000006</v>
      </c>
      <c r="DP94" s="68">
        <v>725283.14</v>
      </c>
      <c r="DQ94" s="68">
        <v>621210.34</v>
      </c>
      <c r="DR94" s="68">
        <v>610094.97</v>
      </c>
      <c r="DS94" s="68">
        <v>282238.56</v>
      </c>
      <c r="DT94" s="68">
        <v>509089.66</v>
      </c>
      <c r="DU94" s="69">
        <v>604814.54</v>
      </c>
      <c r="DV94" s="61">
        <v>716401.69</v>
      </c>
      <c r="DW94" s="61">
        <v>841014.31</v>
      </c>
      <c r="DX94" s="61">
        <v>836284.18</v>
      </c>
      <c r="DY94" s="61">
        <v>621743.63</v>
      </c>
      <c r="DZ94" s="79">
        <v>588196.75</v>
      </c>
      <c r="EC94" s="79"/>
      <c r="ED94" s="79"/>
      <c r="EE94" s="79"/>
      <c r="EF94" s="79"/>
      <c r="EG94" s="79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  <c r="IJ94" s="62"/>
      <c r="IK94" s="62"/>
      <c r="IL94" s="62"/>
      <c r="IM94" s="62"/>
      <c r="IN94" s="62"/>
      <c r="IO94" s="62"/>
      <c r="IP94" s="62"/>
      <c r="IQ94" s="62"/>
      <c r="IR94" s="62"/>
      <c r="IS94" s="62"/>
      <c r="IT94" s="62"/>
      <c r="IU94" s="62"/>
      <c r="IV94" s="62"/>
      <c r="IW94" s="62"/>
      <c r="IX94" s="62"/>
      <c r="IY94" s="62"/>
      <c r="IZ94" s="62"/>
      <c r="JA94" s="62"/>
      <c r="JB94" s="62"/>
      <c r="JC94" s="62"/>
      <c r="JD94" s="62"/>
      <c r="JE94" s="62"/>
      <c r="JF94" s="62"/>
      <c r="JG94" s="62"/>
      <c r="JH94" s="62"/>
      <c r="JI94" s="62"/>
      <c r="JJ94" s="62"/>
      <c r="JK94" s="62"/>
      <c r="JL94" s="62"/>
      <c r="JM94" s="62"/>
      <c r="JN94" s="62"/>
      <c r="JO94" s="62"/>
      <c r="JP94" s="62"/>
      <c r="JQ94" s="62"/>
      <c r="JR94" s="62"/>
      <c r="JS94" s="62"/>
      <c r="JT94" s="62"/>
      <c r="JU94" s="62"/>
      <c r="JV94" s="62"/>
      <c r="JW94" s="62"/>
      <c r="JX94" s="62"/>
      <c r="JY94" s="62"/>
      <c r="JZ94" s="62"/>
      <c r="KA94" s="62"/>
      <c r="KB94" s="62"/>
      <c r="KC94" s="62"/>
      <c r="KD94" s="62"/>
      <c r="KE94" s="62"/>
      <c r="KF94" s="62"/>
      <c r="KG94" s="62"/>
      <c r="KH94" s="62"/>
      <c r="KI94" s="62"/>
      <c r="KJ94" s="62"/>
      <c r="KK94" s="62"/>
      <c r="KL94" s="62"/>
      <c r="KM94" s="62"/>
      <c r="KN94" s="62"/>
      <c r="KO94" s="62"/>
      <c r="KP94" s="62"/>
      <c r="KQ94" s="62"/>
      <c r="KR94" s="62"/>
      <c r="KS94" s="62"/>
      <c r="KT94" s="62"/>
      <c r="KU94" s="62"/>
      <c r="KV94" s="62"/>
      <c r="KW94" s="62"/>
      <c r="KX94" s="62"/>
      <c r="KY94" s="62"/>
      <c r="KZ94" s="62"/>
      <c r="LA94" s="62"/>
      <c r="LB94" s="62"/>
      <c r="LC94" s="62"/>
      <c r="LD94" s="62"/>
      <c r="LE94" s="62"/>
      <c r="LF94" s="62"/>
      <c r="LG94" s="62"/>
      <c r="LH94" s="62"/>
      <c r="LI94" s="62"/>
    </row>
    <row r="95" spans="3:321">
      <c r="D95" s="59">
        <v>4172</v>
      </c>
      <c r="E95" s="60" t="s">
        <v>408</v>
      </c>
      <c r="F95" s="67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9"/>
      <c r="R95" s="67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67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9"/>
      <c r="AP95" s="67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9"/>
      <c r="BB95" s="67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9"/>
      <c r="BN95" s="67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9"/>
      <c r="BZ95" s="67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7">
        <v>100</v>
      </c>
      <c r="CM95" s="68">
        <v>2264.66</v>
      </c>
      <c r="CN95" s="68">
        <v>22048.99</v>
      </c>
      <c r="CO95" s="68">
        <v>14290.16</v>
      </c>
      <c r="CP95" s="68">
        <v>8590.99</v>
      </c>
      <c r="CQ95" s="68">
        <v>4938.8100000000004</v>
      </c>
      <c r="CR95" s="68">
        <v>2259.87</v>
      </c>
      <c r="CS95" s="68">
        <v>13112.74</v>
      </c>
      <c r="CT95" s="68">
        <v>12857.22</v>
      </c>
      <c r="CU95" s="68">
        <v>22393.279999999999</v>
      </c>
      <c r="CV95" s="68">
        <v>1441.26</v>
      </c>
      <c r="CW95" s="69">
        <v>139111.85999999999</v>
      </c>
      <c r="CX95" s="67">
        <v>4149.3999999999996</v>
      </c>
      <c r="CY95" s="68">
        <v>9199.0300000000007</v>
      </c>
      <c r="CZ95" s="68">
        <v>10391.709999999999</v>
      </c>
      <c r="DA95" s="68">
        <v>4203.72</v>
      </c>
      <c r="DB95" s="68">
        <v>54523.12</v>
      </c>
      <c r="DC95" s="68">
        <v>47933.87</v>
      </c>
      <c r="DD95" s="68">
        <v>15344.92</v>
      </c>
      <c r="DE95" s="68">
        <v>10875.23</v>
      </c>
      <c r="DF95" s="68">
        <v>42718.35</v>
      </c>
      <c r="DG95" s="68">
        <v>1456.83</v>
      </c>
      <c r="DH95" s="68">
        <v>21947.75</v>
      </c>
      <c r="DI95" s="69">
        <v>92577.49</v>
      </c>
      <c r="DJ95" s="67">
        <v>10192.19</v>
      </c>
      <c r="DK95" s="68">
        <v>20322.310000000001</v>
      </c>
      <c r="DL95" s="68">
        <v>28776.02</v>
      </c>
      <c r="DM95" s="68">
        <v>21667.66</v>
      </c>
      <c r="DN95" s="68">
        <v>16012.56</v>
      </c>
      <c r="DO95" s="68">
        <v>22444.39</v>
      </c>
      <c r="DP95" s="68">
        <v>16316.5</v>
      </c>
      <c r="DQ95" s="68">
        <v>25328.25</v>
      </c>
      <c r="DR95" s="68">
        <v>34299.730000000003</v>
      </c>
      <c r="DS95" s="68">
        <v>24547.13</v>
      </c>
      <c r="DT95" s="68">
        <v>23045.14</v>
      </c>
      <c r="DU95" s="69">
        <v>34133.51</v>
      </c>
      <c r="DV95" s="61">
        <v>15937.32</v>
      </c>
      <c r="DW95" s="61">
        <v>22584.29</v>
      </c>
      <c r="DX95" s="61">
        <v>71626.3</v>
      </c>
      <c r="DY95" s="61">
        <v>21930.720000000001</v>
      </c>
      <c r="DZ95" s="79">
        <v>44173.69</v>
      </c>
      <c r="EC95" s="79"/>
      <c r="ED95" s="79"/>
      <c r="EE95" s="79"/>
      <c r="EF95" s="79"/>
      <c r="EG95" s="79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  <c r="HM95" s="62"/>
      <c r="HN95" s="62"/>
      <c r="HO95" s="62"/>
      <c r="HP95" s="62"/>
      <c r="HQ95" s="62"/>
      <c r="HR95" s="62"/>
      <c r="HS95" s="62"/>
      <c r="HT95" s="62"/>
      <c r="HU95" s="62"/>
      <c r="HV95" s="62"/>
      <c r="HW95" s="62"/>
      <c r="HX95" s="62"/>
      <c r="HY95" s="62"/>
      <c r="HZ95" s="62"/>
      <c r="IA95" s="62"/>
      <c r="IB95" s="62"/>
      <c r="IC95" s="62"/>
      <c r="ID95" s="62"/>
      <c r="IE95" s="62"/>
      <c r="IF95" s="62"/>
      <c r="IG95" s="62"/>
      <c r="IH95" s="62"/>
      <c r="II95" s="62"/>
      <c r="IJ95" s="62"/>
      <c r="IK95" s="62"/>
      <c r="IL95" s="62"/>
      <c r="IM95" s="62"/>
      <c r="IN95" s="62"/>
      <c r="IO95" s="62"/>
      <c r="IP95" s="62"/>
      <c r="IQ95" s="62"/>
      <c r="IR95" s="62"/>
      <c r="IS95" s="62"/>
      <c r="IT95" s="62"/>
      <c r="IU95" s="62"/>
      <c r="IV95" s="62"/>
      <c r="IW95" s="62"/>
      <c r="IX95" s="62"/>
      <c r="IY95" s="62"/>
      <c r="IZ95" s="62"/>
      <c r="JA95" s="62"/>
      <c r="JB95" s="62"/>
      <c r="JC95" s="62"/>
      <c r="JD95" s="62"/>
      <c r="JE95" s="62"/>
      <c r="JF95" s="62"/>
      <c r="JG95" s="62"/>
      <c r="JH95" s="62"/>
      <c r="JI95" s="62"/>
      <c r="JJ95" s="62"/>
      <c r="JK95" s="62"/>
      <c r="JL95" s="62"/>
      <c r="JM95" s="62"/>
      <c r="JN95" s="62"/>
      <c r="JO95" s="62"/>
      <c r="JP95" s="62"/>
      <c r="JQ95" s="62"/>
      <c r="JR95" s="62"/>
      <c r="JS95" s="62"/>
      <c r="JT95" s="62"/>
      <c r="JU95" s="62"/>
      <c r="JV95" s="62"/>
      <c r="JW95" s="62"/>
      <c r="JX95" s="62"/>
      <c r="JY95" s="62"/>
      <c r="JZ95" s="62"/>
      <c r="KA95" s="62"/>
      <c r="KB95" s="62"/>
      <c r="KC95" s="62"/>
      <c r="KD95" s="62"/>
      <c r="KE95" s="62"/>
      <c r="KF95" s="62"/>
      <c r="KG95" s="62"/>
      <c r="KH95" s="62"/>
      <c r="KI95" s="62"/>
      <c r="KJ95" s="62"/>
      <c r="KK95" s="62"/>
      <c r="KL95" s="62"/>
      <c r="KM95" s="62"/>
      <c r="KN95" s="62"/>
      <c r="KO95" s="62"/>
      <c r="KP95" s="62"/>
      <c r="KQ95" s="62"/>
      <c r="KR95" s="62"/>
      <c r="KS95" s="62"/>
      <c r="KT95" s="62"/>
      <c r="KU95" s="62"/>
      <c r="KV95" s="62"/>
      <c r="KW95" s="62"/>
      <c r="KX95" s="62"/>
      <c r="KY95" s="62"/>
      <c r="KZ95" s="62"/>
      <c r="LA95" s="62"/>
      <c r="LB95" s="62"/>
      <c r="LC95" s="62"/>
      <c r="LD95" s="62"/>
      <c r="LE95" s="62"/>
      <c r="LF95" s="62"/>
      <c r="LG95" s="62"/>
      <c r="LH95" s="62"/>
      <c r="LI95" s="62"/>
    </row>
    <row r="96" spans="3:321">
      <c r="D96" s="59">
        <v>4173</v>
      </c>
      <c r="E96" s="60" t="s">
        <v>409</v>
      </c>
      <c r="F96" s="67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9"/>
      <c r="R96" s="67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67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9"/>
      <c r="AP96" s="67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9"/>
      <c r="BB96" s="67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9"/>
      <c r="BN96" s="67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9"/>
      <c r="BZ96" s="67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  <c r="CL96" s="67">
        <v>0</v>
      </c>
      <c r="CM96" s="68">
        <v>180</v>
      </c>
      <c r="CN96" s="68">
        <v>2322</v>
      </c>
      <c r="CO96" s="68">
        <v>252</v>
      </c>
      <c r="CP96" s="68">
        <v>774</v>
      </c>
      <c r="CQ96" s="68">
        <v>822</v>
      </c>
      <c r="CR96" s="68">
        <v>846</v>
      </c>
      <c r="CS96" s="68">
        <v>714</v>
      </c>
      <c r="CT96" s="68">
        <v>264</v>
      </c>
      <c r="CU96" s="68">
        <v>1500</v>
      </c>
      <c r="CV96" s="68">
        <v>786</v>
      </c>
      <c r="CW96" s="69">
        <v>1620</v>
      </c>
      <c r="CX96" s="67">
        <v>0</v>
      </c>
      <c r="CY96" s="68">
        <v>0</v>
      </c>
      <c r="CZ96" s="68">
        <v>444</v>
      </c>
      <c r="DA96" s="68">
        <v>2928</v>
      </c>
      <c r="DB96" s="68">
        <v>858</v>
      </c>
      <c r="DC96" s="68">
        <v>72</v>
      </c>
      <c r="DD96" s="68">
        <v>1900</v>
      </c>
      <c r="DE96" s="68">
        <v>0</v>
      </c>
      <c r="DF96" s="68">
        <v>1572</v>
      </c>
      <c r="DG96" s="68">
        <v>72</v>
      </c>
      <c r="DH96" s="68">
        <v>72</v>
      </c>
      <c r="DI96" s="69">
        <v>3034.01</v>
      </c>
      <c r="DJ96" s="67">
        <v>0</v>
      </c>
      <c r="DK96" s="68">
        <v>204</v>
      </c>
      <c r="DL96" s="68">
        <v>2214</v>
      </c>
      <c r="DM96" s="68">
        <v>786</v>
      </c>
      <c r="DN96" s="68">
        <v>846</v>
      </c>
      <c r="DO96" s="68">
        <v>2370</v>
      </c>
      <c r="DP96" s="68">
        <v>786</v>
      </c>
      <c r="DQ96" s="68">
        <v>316.8</v>
      </c>
      <c r="DR96" s="68">
        <v>1234.8</v>
      </c>
      <c r="DS96" s="68">
        <v>448.8</v>
      </c>
      <c r="DT96" s="68">
        <v>376.8</v>
      </c>
      <c r="DU96" s="69">
        <v>3366.8</v>
      </c>
      <c r="DV96" s="61">
        <v>0</v>
      </c>
      <c r="DW96" s="61">
        <v>1173.5999999999999</v>
      </c>
      <c r="DX96" s="61">
        <v>448.8</v>
      </c>
      <c r="DY96" s="61">
        <v>817.2</v>
      </c>
      <c r="DZ96" s="79">
        <v>1545.6</v>
      </c>
      <c r="EC96" s="79"/>
      <c r="ED96" s="79"/>
      <c r="EE96" s="79"/>
      <c r="EF96" s="79"/>
      <c r="EG96" s="79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2"/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62"/>
      <c r="HX96" s="62"/>
      <c r="HY96" s="62"/>
      <c r="HZ96" s="62"/>
      <c r="IA96" s="62"/>
      <c r="IB96" s="62"/>
      <c r="IC96" s="62"/>
      <c r="ID96" s="62"/>
      <c r="IE96" s="62"/>
      <c r="IF96" s="62"/>
      <c r="IG96" s="62"/>
      <c r="IH96" s="62"/>
      <c r="II96" s="62"/>
      <c r="IJ96" s="62"/>
      <c r="IK96" s="62"/>
      <c r="IL96" s="62"/>
      <c r="IM96" s="62"/>
      <c r="IN96" s="62"/>
      <c r="IO96" s="62"/>
      <c r="IP96" s="62"/>
      <c r="IQ96" s="62"/>
      <c r="IR96" s="62"/>
      <c r="IS96" s="62"/>
      <c r="IT96" s="62"/>
      <c r="IU96" s="62"/>
      <c r="IV96" s="62"/>
      <c r="IW96" s="62"/>
      <c r="IX96" s="62"/>
      <c r="IY96" s="62"/>
      <c r="IZ96" s="62"/>
      <c r="JA96" s="62"/>
      <c r="JB96" s="62"/>
      <c r="JC96" s="62"/>
      <c r="JD96" s="62"/>
      <c r="JE96" s="62"/>
      <c r="JF96" s="62"/>
      <c r="JG96" s="62"/>
      <c r="JH96" s="62"/>
      <c r="JI96" s="62"/>
      <c r="JJ96" s="62"/>
      <c r="JK96" s="62"/>
      <c r="JL96" s="62"/>
      <c r="JM96" s="62"/>
      <c r="JN96" s="62"/>
      <c r="JO96" s="62"/>
      <c r="JP96" s="62"/>
      <c r="JQ96" s="62"/>
      <c r="JR96" s="62"/>
      <c r="JS96" s="62"/>
      <c r="JT96" s="62"/>
      <c r="JU96" s="62"/>
      <c r="JV96" s="62"/>
      <c r="JW96" s="62"/>
      <c r="JX96" s="62"/>
      <c r="JY96" s="62"/>
      <c r="JZ96" s="62"/>
      <c r="KA96" s="62"/>
      <c r="KB96" s="62"/>
      <c r="KC96" s="62"/>
      <c r="KD96" s="62"/>
      <c r="KE96" s="62"/>
      <c r="KF96" s="62"/>
      <c r="KG96" s="62"/>
      <c r="KH96" s="62"/>
      <c r="KI96" s="62"/>
      <c r="KJ96" s="62"/>
      <c r="KK96" s="62"/>
      <c r="KL96" s="62"/>
      <c r="KM96" s="62"/>
      <c r="KN96" s="62"/>
      <c r="KO96" s="62"/>
      <c r="KP96" s="62"/>
      <c r="KQ96" s="62"/>
      <c r="KR96" s="62"/>
      <c r="KS96" s="62"/>
      <c r="KT96" s="62"/>
      <c r="KU96" s="62"/>
      <c r="KV96" s="62"/>
      <c r="KW96" s="62"/>
      <c r="KX96" s="62"/>
      <c r="KY96" s="62"/>
      <c r="KZ96" s="62"/>
      <c r="LA96" s="62"/>
      <c r="LB96" s="62"/>
      <c r="LC96" s="62"/>
      <c r="LD96" s="62"/>
      <c r="LE96" s="62"/>
      <c r="LF96" s="62"/>
      <c r="LG96" s="62"/>
      <c r="LH96" s="62"/>
      <c r="LI96" s="62"/>
    </row>
    <row r="97" spans="2:321">
      <c r="C97" s="59">
        <v>418</v>
      </c>
      <c r="D97" s="59">
        <v>418</v>
      </c>
      <c r="E97" s="60" t="s">
        <v>154</v>
      </c>
      <c r="F97" s="67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9"/>
      <c r="R97" s="67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67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9"/>
      <c r="AP97" s="67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9"/>
      <c r="BB97" s="67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9"/>
      <c r="BN97" s="67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9"/>
      <c r="BZ97" s="67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7">
        <v>77660</v>
      </c>
      <c r="CM97" s="68">
        <v>1074577.6399999999</v>
      </c>
      <c r="CN97" s="68">
        <v>3164428.47</v>
      </c>
      <c r="CO97" s="68">
        <v>667057.27</v>
      </c>
      <c r="CP97" s="68">
        <v>1249861.72</v>
      </c>
      <c r="CQ97" s="68">
        <v>697386.65</v>
      </c>
      <c r="CR97" s="68">
        <v>891788.01</v>
      </c>
      <c r="CS97" s="68">
        <v>1091929.3799999999</v>
      </c>
      <c r="CT97" s="68">
        <v>1191416.1399999999</v>
      </c>
      <c r="CU97" s="68">
        <v>1143142.19</v>
      </c>
      <c r="CV97" s="68">
        <v>2199265.2000000002</v>
      </c>
      <c r="CW97" s="69">
        <v>3977237.29</v>
      </c>
      <c r="CX97" s="67">
        <v>2104751.61</v>
      </c>
      <c r="CY97" s="68">
        <v>964053.87</v>
      </c>
      <c r="CZ97" s="68">
        <v>3024119.07</v>
      </c>
      <c r="DA97" s="68">
        <v>1097205.76</v>
      </c>
      <c r="DB97" s="68">
        <v>593941.82999999996</v>
      </c>
      <c r="DC97" s="68">
        <v>2276344.9</v>
      </c>
      <c r="DD97" s="68">
        <v>349559.56</v>
      </c>
      <c r="DE97" s="68">
        <v>1341562.3400000001</v>
      </c>
      <c r="DF97" s="68">
        <v>328229.89</v>
      </c>
      <c r="DG97" s="68">
        <v>1158637.43</v>
      </c>
      <c r="DH97" s="68">
        <v>606415.78</v>
      </c>
      <c r="DI97" s="69">
        <v>4582041.3</v>
      </c>
      <c r="DJ97" s="67">
        <v>1086971.1499999999</v>
      </c>
      <c r="DK97" s="68">
        <v>1306305.69</v>
      </c>
      <c r="DL97" s="68">
        <v>2404016.9300000002</v>
      </c>
      <c r="DM97" s="68">
        <v>539463.15</v>
      </c>
      <c r="DN97" s="68">
        <v>455124.37</v>
      </c>
      <c r="DO97" s="68">
        <v>403939.29</v>
      </c>
      <c r="DP97" s="68">
        <v>762127.46</v>
      </c>
      <c r="DQ97" s="68">
        <v>2984947.52</v>
      </c>
      <c r="DR97" s="68">
        <v>987522.9</v>
      </c>
      <c r="DS97" s="68">
        <v>2646264.2999999998</v>
      </c>
      <c r="DT97" s="68">
        <v>740675.31</v>
      </c>
      <c r="DU97" s="69">
        <v>5305995.96</v>
      </c>
      <c r="DV97" s="61">
        <v>10079.34</v>
      </c>
      <c r="DW97" s="61">
        <v>643210.06000000006</v>
      </c>
      <c r="DX97" s="61">
        <v>2357652.9900000002</v>
      </c>
      <c r="DY97" s="61">
        <v>1200641.0900000001</v>
      </c>
      <c r="DZ97" s="79">
        <v>2439014.4700000002</v>
      </c>
      <c r="EA97" s="79">
        <v>164335.99</v>
      </c>
      <c r="EB97" s="79">
        <v>1051165.42</v>
      </c>
      <c r="EC97" s="84">
        <v>526120.15</v>
      </c>
      <c r="ED97" s="79">
        <v>3410704.75</v>
      </c>
      <c r="EE97" s="79">
        <v>1866021.33</v>
      </c>
      <c r="EF97" s="79">
        <v>2935296.45</v>
      </c>
      <c r="EG97" s="79">
        <v>10516579.09</v>
      </c>
      <c r="EH97" s="62">
        <v>1010</v>
      </c>
      <c r="EI97" s="62">
        <v>437077.96</v>
      </c>
      <c r="EJ97" s="62">
        <v>2564740.2200000002</v>
      </c>
      <c r="EK97" s="62">
        <v>735427.01</v>
      </c>
      <c r="EL97" s="62">
        <v>700208.25</v>
      </c>
      <c r="EM97" s="62">
        <v>1456109.61</v>
      </c>
      <c r="EN97" s="62">
        <v>1493000.87</v>
      </c>
      <c r="EO97" s="62">
        <v>2964968.57</v>
      </c>
      <c r="EP97" s="62">
        <v>3824679.63</v>
      </c>
      <c r="EQ97" s="62">
        <v>2388415.48</v>
      </c>
      <c r="ER97" s="62">
        <v>3022483.62</v>
      </c>
      <c r="ES97" s="62">
        <v>8215705.0499999998</v>
      </c>
      <c r="ET97" s="62">
        <v>31033.66</v>
      </c>
      <c r="EU97" s="62">
        <v>2281116.2599999998</v>
      </c>
      <c r="EV97" s="62">
        <v>3600137.18</v>
      </c>
      <c r="EW97" s="62">
        <v>1218773.67</v>
      </c>
      <c r="EX97" s="62">
        <v>1488510.36</v>
      </c>
      <c r="EY97" s="62">
        <v>2469572.83</v>
      </c>
      <c r="EZ97" s="62">
        <v>1172428.94</v>
      </c>
      <c r="FA97" s="62">
        <v>2244079.69</v>
      </c>
      <c r="FB97" s="62">
        <v>3480196.8</v>
      </c>
      <c r="FC97" s="62">
        <v>3547724.18</v>
      </c>
      <c r="FD97" s="62">
        <v>2265915.5499999998</v>
      </c>
      <c r="FE97" s="62">
        <v>6761395.8499999996</v>
      </c>
      <c r="FF97" s="62">
        <v>99006.6</v>
      </c>
      <c r="FG97" s="62">
        <v>1819632.21</v>
      </c>
      <c r="FH97" s="62">
        <v>3556257.45</v>
      </c>
      <c r="FI97" s="62">
        <v>1298353.71</v>
      </c>
      <c r="FJ97" s="62">
        <v>2220638.35</v>
      </c>
      <c r="FK97" s="62">
        <v>1487101.06</v>
      </c>
      <c r="FL97" s="1">
        <v>3695060.6</v>
      </c>
      <c r="FM97" s="62">
        <v>1069449</v>
      </c>
      <c r="FN97" s="62">
        <v>3742161.66</v>
      </c>
      <c r="FO97" s="62">
        <v>4843530.18</v>
      </c>
      <c r="FP97" s="62">
        <v>3109078.63</v>
      </c>
      <c r="FQ97" s="62">
        <v>7625878.5099999998</v>
      </c>
      <c r="FR97" s="62">
        <v>186907.92</v>
      </c>
      <c r="FS97" s="62">
        <v>1211715.27</v>
      </c>
      <c r="FT97" s="62">
        <v>1425211.49</v>
      </c>
      <c r="FU97" s="62">
        <v>5065576.53</v>
      </c>
      <c r="FV97" s="62">
        <v>1512180.75</v>
      </c>
      <c r="FW97" s="62">
        <v>2801785.17</v>
      </c>
      <c r="FX97" s="62">
        <v>1918061.81</v>
      </c>
      <c r="FY97" s="62">
        <v>3289868.97</v>
      </c>
      <c r="FZ97" s="62">
        <v>4969212.8</v>
      </c>
      <c r="GA97" s="62">
        <v>3866974.49</v>
      </c>
      <c r="GB97" s="62">
        <v>5206660.47</v>
      </c>
      <c r="GC97" s="62">
        <v>4870096.6500000004</v>
      </c>
      <c r="GD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2"/>
      <c r="HE97" s="62"/>
      <c r="HF97" s="62"/>
      <c r="HG97" s="62"/>
      <c r="HH97" s="62"/>
      <c r="HI97" s="62"/>
      <c r="HJ97" s="62"/>
      <c r="HK97" s="62"/>
      <c r="HL97" s="62"/>
      <c r="HM97" s="62"/>
      <c r="HN97" s="62"/>
      <c r="HO97" s="62"/>
      <c r="HP97" s="62"/>
      <c r="HQ97" s="62"/>
      <c r="HR97" s="62"/>
      <c r="HS97" s="62"/>
      <c r="HT97" s="62"/>
      <c r="HU97" s="62"/>
      <c r="HV97" s="62"/>
      <c r="HW97" s="62"/>
      <c r="HX97" s="62"/>
      <c r="HY97" s="62"/>
      <c r="HZ97" s="62"/>
      <c r="IA97" s="62"/>
      <c r="IB97" s="62"/>
      <c r="IC97" s="62"/>
      <c r="ID97" s="62"/>
      <c r="IE97" s="62"/>
      <c r="IF97" s="62"/>
      <c r="IG97" s="62"/>
      <c r="IH97" s="62"/>
      <c r="II97" s="62"/>
      <c r="IJ97" s="62"/>
      <c r="IK97" s="62"/>
      <c r="IL97" s="62"/>
      <c r="IM97" s="62"/>
      <c r="IN97" s="62"/>
      <c r="IO97" s="62"/>
      <c r="IP97" s="62"/>
      <c r="IQ97" s="62"/>
      <c r="IR97" s="62"/>
      <c r="IS97" s="62"/>
      <c r="IT97" s="62"/>
      <c r="IU97" s="62"/>
      <c r="IV97" s="62"/>
      <c r="IW97" s="62"/>
      <c r="IX97" s="62"/>
      <c r="IY97" s="62"/>
      <c r="IZ97" s="62"/>
      <c r="JA97" s="62"/>
      <c r="JB97" s="62"/>
      <c r="JC97" s="62"/>
      <c r="JD97" s="62"/>
      <c r="JE97" s="62"/>
      <c r="JF97" s="62"/>
      <c r="JG97" s="62"/>
      <c r="JH97" s="62"/>
      <c r="JI97" s="62"/>
      <c r="JJ97" s="62"/>
      <c r="JK97" s="62"/>
      <c r="JL97" s="62"/>
      <c r="JM97" s="62"/>
      <c r="JN97" s="62"/>
      <c r="JO97" s="62"/>
      <c r="JP97" s="62"/>
      <c r="JQ97" s="62"/>
      <c r="JR97" s="62"/>
      <c r="JS97" s="62"/>
      <c r="JT97" s="62"/>
      <c r="JU97" s="62"/>
      <c r="JV97" s="62"/>
      <c r="JW97" s="62"/>
      <c r="JX97" s="62"/>
      <c r="JY97" s="62"/>
      <c r="JZ97" s="62"/>
      <c r="KA97" s="62"/>
      <c r="KB97" s="62"/>
      <c r="KC97" s="62"/>
      <c r="KD97" s="62"/>
      <c r="KE97" s="62"/>
      <c r="KF97" s="62"/>
      <c r="KG97" s="62"/>
      <c r="KH97" s="62"/>
      <c r="KI97" s="62"/>
      <c r="KJ97" s="62"/>
      <c r="KK97" s="62"/>
      <c r="KL97" s="62"/>
      <c r="KM97" s="62"/>
      <c r="KN97" s="62"/>
      <c r="KO97" s="62"/>
      <c r="KP97" s="62"/>
      <c r="KQ97" s="62"/>
      <c r="KR97" s="62"/>
      <c r="KS97" s="62"/>
      <c r="KT97" s="62"/>
      <c r="KU97" s="62"/>
      <c r="KV97" s="62"/>
      <c r="KW97" s="62"/>
      <c r="KX97" s="62"/>
      <c r="KY97" s="62"/>
      <c r="KZ97" s="62"/>
      <c r="LA97" s="62"/>
      <c r="LB97" s="62"/>
      <c r="LC97" s="62"/>
      <c r="LD97" s="62"/>
      <c r="LE97" s="62"/>
      <c r="LF97" s="62"/>
      <c r="LG97" s="62"/>
      <c r="LH97" s="62"/>
      <c r="LI97" s="62"/>
    </row>
    <row r="98" spans="2:321" ht="30">
      <c r="D98" s="59">
        <v>4181</v>
      </c>
      <c r="E98" s="60" t="s">
        <v>410</v>
      </c>
      <c r="F98" s="67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9"/>
      <c r="R98" s="67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67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9"/>
      <c r="AP98" s="67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9"/>
      <c r="BB98" s="67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9"/>
      <c r="BN98" s="67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9"/>
      <c r="BZ98" s="67"/>
      <c r="CA98" s="68"/>
      <c r="CB98" s="68"/>
      <c r="CC98" s="68"/>
      <c r="CD98" s="68"/>
      <c r="CE98" s="68"/>
      <c r="CF98" s="68"/>
      <c r="CG98" s="68"/>
      <c r="CH98" s="68"/>
      <c r="CI98" s="68"/>
      <c r="CJ98" s="68"/>
      <c r="CK98" s="68"/>
      <c r="CL98" s="67">
        <v>77660</v>
      </c>
      <c r="CM98" s="68">
        <v>1074577.6399999999</v>
      </c>
      <c r="CN98" s="68">
        <v>3164428.47</v>
      </c>
      <c r="CO98" s="68">
        <v>667057.27</v>
      </c>
      <c r="CP98" s="68">
        <v>1249861.72</v>
      </c>
      <c r="CQ98" s="68">
        <v>697386.65</v>
      </c>
      <c r="CR98" s="68">
        <v>891788.01</v>
      </c>
      <c r="CS98" s="68">
        <v>1091929.3799999999</v>
      </c>
      <c r="CT98" s="68">
        <v>1191416.1399999999</v>
      </c>
      <c r="CU98" s="68">
        <v>1143142.19</v>
      </c>
      <c r="CV98" s="68">
        <v>2199265.2000000002</v>
      </c>
      <c r="CW98" s="69">
        <v>3977237.29</v>
      </c>
      <c r="CX98" s="67">
        <v>2104751.61</v>
      </c>
      <c r="CY98" s="68">
        <v>964053.87</v>
      </c>
      <c r="CZ98" s="68">
        <v>3024119.07</v>
      </c>
      <c r="DA98" s="68">
        <v>1097205.76</v>
      </c>
      <c r="DB98" s="68">
        <v>593941.82999999996</v>
      </c>
      <c r="DC98" s="68">
        <v>2276344.9</v>
      </c>
      <c r="DD98" s="68">
        <v>349559.56</v>
      </c>
      <c r="DE98" s="68">
        <v>1341562.3400000001</v>
      </c>
      <c r="DF98" s="68">
        <v>328229.89</v>
      </c>
      <c r="DG98" s="68">
        <v>1158637.43</v>
      </c>
      <c r="DH98" s="68">
        <v>606415.78</v>
      </c>
      <c r="DI98" s="69">
        <v>4582041.3</v>
      </c>
      <c r="DJ98" s="67">
        <v>1086971.1499999999</v>
      </c>
      <c r="DK98" s="68">
        <v>1306305.69</v>
      </c>
      <c r="DL98" s="68">
        <v>2404016.9300000002</v>
      </c>
      <c r="DM98" s="68">
        <v>539463.15</v>
      </c>
      <c r="DN98" s="68">
        <v>455124.37</v>
      </c>
      <c r="DO98" s="68">
        <v>403939.29</v>
      </c>
      <c r="DP98" s="68">
        <v>762127.46</v>
      </c>
      <c r="DQ98" s="68">
        <v>2984947.52</v>
      </c>
      <c r="DR98" s="68">
        <v>987522.9</v>
      </c>
      <c r="DS98" s="68">
        <v>2646264.1</v>
      </c>
      <c r="DT98" s="68">
        <v>740388.31</v>
      </c>
      <c r="DU98" s="69">
        <v>5300995.96</v>
      </c>
      <c r="DV98" s="61">
        <v>10079.34</v>
      </c>
      <c r="DW98" s="61">
        <v>643210.06000000006</v>
      </c>
      <c r="DX98" s="61">
        <v>2357652.9900000002</v>
      </c>
      <c r="DY98" s="61">
        <v>1200641.0900000001</v>
      </c>
      <c r="DZ98" s="79">
        <v>2439014.4700000002</v>
      </c>
      <c r="EB98" s="79"/>
      <c r="EC98" s="79"/>
      <c r="ED98" s="79"/>
      <c r="EE98" s="79"/>
      <c r="EF98" s="79"/>
      <c r="EG98" s="79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2"/>
      <c r="HE98" s="62"/>
      <c r="HF98" s="62"/>
      <c r="HG98" s="62"/>
      <c r="HH98" s="62"/>
      <c r="HI98" s="62"/>
      <c r="HJ98" s="62"/>
      <c r="HK98" s="62"/>
      <c r="HL98" s="62"/>
      <c r="HM98" s="62"/>
      <c r="HN98" s="62"/>
      <c r="HO98" s="62"/>
      <c r="HP98" s="62"/>
      <c r="HQ98" s="62"/>
      <c r="HR98" s="62"/>
      <c r="HS98" s="62"/>
      <c r="HT98" s="62"/>
      <c r="HU98" s="62"/>
      <c r="HV98" s="62"/>
      <c r="HW98" s="62"/>
      <c r="HX98" s="62"/>
      <c r="HY98" s="62"/>
      <c r="HZ98" s="62"/>
      <c r="IA98" s="62"/>
      <c r="IB98" s="62"/>
      <c r="IC98" s="62"/>
      <c r="ID98" s="62"/>
      <c r="IE98" s="62"/>
      <c r="IF98" s="62"/>
      <c r="IG98" s="62"/>
      <c r="IH98" s="62"/>
      <c r="II98" s="62"/>
      <c r="IJ98" s="62"/>
      <c r="IK98" s="62"/>
      <c r="IL98" s="62"/>
      <c r="IM98" s="62"/>
      <c r="IN98" s="62"/>
      <c r="IO98" s="62"/>
      <c r="IP98" s="62"/>
      <c r="IQ98" s="62"/>
      <c r="IR98" s="62"/>
      <c r="IS98" s="62"/>
      <c r="IT98" s="62"/>
      <c r="IU98" s="62"/>
      <c r="IV98" s="62"/>
      <c r="IW98" s="62"/>
      <c r="IX98" s="62"/>
      <c r="IY98" s="62"/>
      <c r="IZ98" s="62"/>
      <c r="JA98" s="62"/>
      <c r="JB98" s="62"/>
      <c r="JC98" s="62"/>
      <c r="JD98" s="62"/>
      <c r="JE98" s="62"/>
      <c r="JF98" s="62"/>
      <c r="JG98" s="62"/>
      <c r="JH98" s="62"/>
      <c r="JI98" s="62"/>
      <c r="JJ98" s="62"/>
      <c r="JK98" s="62"/>
      <c r="JL98" s="62"/>
      <c r="JM98" s="62"/>
      <c r="JN98" s="62"/>
      <c r="JO98" s="62"/>
      <c r="JP98" s="62"/>
      <c r="JQ98" s="62"/>
      <c r="JR98" s="62"/>
      <c r="JS98" s="62"/>
      <c r="JT98" s="62"/>
      <c r="JU98" s="62"/>
      <c r="JV98" s="62"/>
      <c r="JW98" s="62"/>
      <c r="JX98" s="62"/>
      <c r="JY98" s="62"/>
      <c r="JZ98" s="62"/>
      <c r="KA98" s="62"/>
      <c r="KB98" s="62"/>
      <c r="KC98" s="62"/>
      <c r="KD98" s="62"/>
      <c r="KE98" s="62"/>
      <c r="KF98" s="62"/>
      <c r="KG98" s="62"/>
      <c r="KH98" s="62"/>
      <c r="KI98" s="62"/>
      <c r="KJ98" s="62"/>
      <c r="KK98" s="62"/>
      <c r="KL98" s="62"/>
      <c r="KM98" s="62"/>
      <c r="KN98" s="62"/>
      <c r="KO98" s="62"/>
      <c r="KP98" s="62"/>
      <c r="KQ98" s="62"/>
      <c r="KR98" s="62"/>
      <c r="KS98" s="62"/>
      <c r="KT98" s="62"/>
      <c r="KU98" s="62"/>
      <c r="KV98" s="62"/>
      <c r="KW98" s="62"/>
      <c r="KX98" s="62"/>
      <c r="KY98" s="62"/>
      <c r="KZ98" s="62"/>
      <c r="LA98" s="62"/>
      <c r="LB98" s="62"/>
      <c r="LC98" s="62"/>
      <c r="LD98" s="62"/>
      <c r="LE98" s="62"/>
      <c r="LF98" s="62"/>
      <c r="LG98" s="62"/>
      <c r="LH98" s="62"/>
      <c r="LI98" s="62"/>
    </row>
    <row r="99" spans="2:321">
      <c r="D99" s="59">
        <v>4182</v>
      </c>
      <c r="E99" s="60" t="s">
        <v>411</v>
      </c>
      <c r="F99" s="67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9"/>
      <c r="R99" s="67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67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9"/>
      <c r="AP99" s="67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9"/>
      <c r="BB99" s="67"/>
      <c r="BC99" s="68"/>
      <c r="BD99" s="68"/>
      <c r="BE99" s="68"/>
      <c r="BF99" s="68"/>
      <c r="BG99" s="68"/>
      <c r="BH99" s="68"/>
      <c r="BI99" s="68"/>
      <c r="BJ99" s="68"/>
      <c r="BK99" s="68"/>
      <c r="BL99" s="68"/>
      <c r="BM99" s="69"/>
      <c r="BN99" s="67"/>
      <c r="BO99" s="68"/>
      <c r="BP99" s="68"/>
      <c r="BQ99" s="68"/>
      <c r="BR99" s="68"/>
      <c r="BS99" s="68"/>
      <c r="BT99" s="68"/>
      <c r="BU99" s="68"/>
      <c r="BV99" s="68"/>
      <c r="BW99" s="68"/>
      <c r="BX99" s="68"/>
      <c r="BY99" s="69"/>
      <c r="BZ99" s="67"/>
      <c r="CA99" s="68"/>
      <c r="CB99" s="68"/>
      <c r="CC99" s="68"/>
      <c r="CD99" s="68"/>
      <c r="CE99" s="68"/>
      <c r="CF99" s="68"/>
      <c r="CG99" s="68"/>
      <c r="CH99" s="68"/>
      <c r="CI99" s="68"/>
      <c r="CJ99" s="68"/>
      <c r="CK99" s="68"/>
      <c r="CL99" s="67">
        <v>0</v>
      </c>
      <c r="CM99" s="68">
        <v>0</v>
      </c>
      <c r="CN99" s="68">
        <v>0</v>
      </c>
      <c r="CO99" s="68">
        <v>0</v>
      </c>
      <c r="CP99" s="68">
        <v>0</v>
      </c>
      <c r="CQ99" s="68">
        <v>0</v>
      </c>
      <c r="CR99" s="68">
        <v>0</v>
      </c>
      <c r="CS99" s="68">
        <v>0</v>
      </c>
      <c r="CT99" s="68">
        <v>0</v>
      </c>
      <c r="CU99" s="68">
        <v>0</v>
      </c>
      <c r="CV99" s="68">
        <v>0</v>
      </c>
      <c r="CW99" s="69">
        <v>0</v>
      </c>
      <c r="CX99" s="67">
        <v>0</v>
      </c>
      <c r="CY99" s="68">
        <v>0</v>
      </c>
      <c r="CZ99" s="68">
        <v>0</v>
      </c>
      <c r="DA99" s="68">
        <v>0</v>
      </c>
      <c r="DB99" s="68">
        <v>0</v>
      </c>
      <c r="DC99" s="68">
        <v>0</v>
      </c>
      <c r="DD99" s="68">
        <v>0</v>
      </c>
      <c r="DE99" s="68">
        <v>0</v>
      </c>
      <c r="DF99" s="68">
        <v>0</v>
      </c>
      <c r="DG99" s="68">
        <v>0</v>
      </c>
      <c r="DH99" s="68">
        <v>0</v>
      </c>
      <c r="DI99" s="69">
        <v>0</v>
      </c>
      <c r="DJ99" s="67">
        <v>0</v>
      </c>
      <c r="DK99" s="68">
        <v>0</v>
      </c>
      <c r="DL99" s="68">
        <v>0</v>
      </c>
      <c r="DM99" s="68">
        <v>0</v>
      </c>
      <c r="DN99" s="68">
        <v>0</v>
      </c>
      <c r="DO99" s="68">
        <v>0</v>
      </c>
      <c r="DP99" s="68">
        <v>0</v>
      </c>
      <c r="DQ99" s="68">
        <v>0</v>
      </c>
      <c r="DR99" s="68">
        <v>0</v>
      </c>
      <c r="DS99" s="68">
        <v>0</v>
      </c>
      <c r="DT99" s="68">
        <v>0</v>
      </c>
      <c r="DU99" s="69">
        <v>0</v>
      </c>
      <c r="DV99" s="61">
        <v>0</v>
      </c>
      <c r="DW99" s="61">
        <v>0</v>
      </c>
      <c r="DX99" s="61">
        <v>0</v>
      </c>
      <c r="DY99" s="61">
        <v>0</v>
      </c>
      <c r="DZ99" s="79"/>
      <c r="EB99" s="79"/>
      <c r="EC99" s="79"/>
      <c r="ED99" s="79"/>
      <c r="EE99" s="79"/>
      <c r="EF99" s="79"/>
      <c r="EG99" s="79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2"/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62"/>
      <c r="HX99" s="62"/>
      <c r="HY99" s="62"/>
      <c r="HZ99" s="62"/>
      <c r="IA99" s="62"/>
      <c r="IB99" s="62"/>
      <c r="IC99" s="62"/>
      <c r="ID99" s="62"/>
      <c r="IE99" s="62"/>
      <c r="IF99" s="62"/>
      <c r="IG99" s="62"/>
      <c r="IH99" s="62"/>
      <c r="II99" s="62"/>
      <c r="IJ99" s="62"/>
      <c r="IK99" s="62"/>
      <c r="IL99" s="62"/>
      <c r="IM99" s="62"/>
      <c r="IN99" s="62"/>
      <c r="IO99" s="62"/>
      <c r="IP99" s="62"/>
      <c r="IQ99" s="62"/>
      <c r="IR99" s="62"/>
      <c r="IS99" s="62"/>
      <c r="IT99" s="62"/>
      <c r="IU99" s="62"/>
      <c r="IV99" s="62"/>
      <c r="IW99" s="62"/>
      <c r="IX99" s="62"/>
      <c r="IY99" s="62"/>
      <c r="IZ99" s="62"/>
      <c r="JA99" s="62"/>
      <c r="JB99" s="62"/>
      <c r="JC99" s="62"/>
      <c r="JD99" s="62"/>
      <c r="JE99" s="62"/>
      <c r="JF99" s="62"/>
      <c r="JG99" s="62"/>
      <c r="JH99" s="62"/>
      <c r="JI99" s="62"/>
      <c r="JJ99" s="62"/>
      <c r="JK99" s="62"/>
      <c r="JL99" s="62"/>
      <c r="JM99" s="62"/>
      <c r="JN99" s="62"/>
      <c r="JO99" s="62"/>
      <c r="JP99" s="62"/>
      <c r="JQ99" s="62"/>
      <c r="JR99" s="62"/>
      <c r="JS99" s="62"/>
      <c r="JT99" s="62"/>
      <c r="JU99" s="62"/>
      <c r="JV99" s="62"/>
      <c r="JW99" s="62"/>
      <c r="JX99" s="62"/>
      <c r="JY99" s="62"/>
      <c r="JZ99" s="62"/>
      <c r="KA99" s="62"/>
      <c r="KB99" s="62"/>
      <c r="KC99" s="62"/>
      <c r="KD99" s="62"/>
      <c r="KE99" s="62"/>
      <c r="KF99" s="62"/>
      <c r="KG99" s="62"/>
      <c r="KH99" s="62"/>
      <c r="KI99" s="62"/>
      <c r="KJ99" s="62"/>
      <c r="KK99" s="62"/>
      <c r="KL99" s="62"/>
      <c r="KM99" s="62"/>
      <c r="KN99" s="62"/>
      <c r="KO99" s="62"/>
      <c r="KP99" s="62"/>
      <c r="KQ99" s="62"/>
      <c r="KR99" s="62"/>
      <c r="KS99" s="62"/>
      <c r="KT99" s="62"/>
      <c r="KU99" s="62"/>
      <c r="KV99" s="62"/>
      <c r="KW99" s="62"/>
      <c r="KX99" s="62"/>
      <c r="KY99" s="62"/>
      <c r="KZ99" s="62"/>
      <c r="LA99" s="62"/>
      <c r="LB99" s="62"/>
      <c r="LC99" s="62"/>
      <c r="LD99" s="62"/>
      <c r="LE99" s="62"/>
      <c r="LF99" s="62"/>
      <c r="LG99" s="62"/>
      <c r="LH99" s="62"/>
      <c r="LI99" s="62"/>
    </row>
    <row r="100" spans="2:321">
      <c r="D100" s="59">
        <v>4183</v>
      </c>
      <c r="E100" s="60" t="s">
        <v>412</v>
      </c>
      <c r="F100" s="67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9"/>
      <c r="R100" s="67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67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9"/>
      <c r="AP100" s="67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9"/>
      <c r="BB100" s="67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9"/>
      <c r="BN100" s="67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9"/>
      <c r="BZ100" s="67"/>
      <c r="CA100" s="68"/>
      <c r="CB100" s="68"/>
      <c r="CC100" s="68"/>
      <c r="CD100" s="68"/>
      <c r="CE100" s="68"/>
      <c r="CF100" s="68"/>
      <c r="CG100" s="68"/>
      <c r="CH100" s="68"/>
      <c r="CI100" s="68"/>
      <c r="CJ100" s="68"/>
      <c r="CK100" s="68"/>
      <c r="CL100" s="67">
        <v>0</v>
      </c>
      <c r="CM100" s="68">
        <v>0</v>
      </c>
      <c r="CN100" s="68">
        <v>0</v>
      </c>
      <c r="CO100" s="68">
        <v>0</v>
      </c>
      <c r="CP100" s="68">
        <v>0</v>
      </c>
      <c r="CQ100" s="68">
        <v>0</v>
      </c>
      <c r="CR100" s="68">
        <v>0</v>
      </c>
      <c r="CS100" s="68">
        <v>0</v>
      </c>
      <c r="CT100" s="68">
        <v>0</v>
      </c>
      <c r="CU100" s="68">
        <v>0</v>
      </c>
      <c r="CV100" s="68">
        <v>0</v>
      </c>
      <c r="CW100" s="69">
        <v>0</v>
      </c>
      <c r="CX100" s="67">
        <v>0</v>
      </c>
      <c r="CY100" s="68">
        <v>0</v>
      </c>
      <c r="CZ100" s="68">
        <v>0</v>
      </c>
      <c r="DA100" s="68">
        <v>0</v>
      </c>
      <c r="DB100" s="68">
        <v>0</v>
      </c>
      <c r="DC100" s="68">
        <v>0</v>
      </c>
      <c r="DD100" s="68">
        <v>0</v>
      </c>
      <c r="DE100" s="68">
        <v>0</v>
      </c>
      <c r="DF100" s="68">
        <v>0</v>
      </c>
      <c r="DG100" s="68">
        <v>0</v>
      </c>
      <c r="DH100" s="68">
        <v>0</v>
      </c>
      <c r="DI100" s="69">
        <v>0</v>
      </c>
      <c r="DJ100" s="67">
        <v>0</v>
      </c>
      <c r="DK100" s="68">
        <v>0</v>
      </c>
      <c r="DL100" s="68">
        <v>0</v>
      </c>
      <c r="DM100" s="68">
        <v>0</v>
      </c>
      <c r="DN100" s="68">
        <v>0</v>
      </c>
      <c r="DO100" s="68">
        <v>0</v>
      </c>
      <c r="DP100" s="68">
        <v>0</v>
      </c>
      <c r="DQ100" s="68">
        <v>0</v>
      </c>
      <c r="DR100" s="68">
        <v>0</v>
      </c>
      <c r="DS100" s="68">
        <v>0</v>
      </c>
      <c r="DT100" s="68">
        <v>0</v>
      </c>
      <c r="DU100" s="69">
        <v>0</v>
      </c>
      <c r="DV100" s="61">
        <v>0</v>
      </c>
      <c r="DW100" s="61">
        <v>0</v>
      </c>
      <c r="DX100" s="61">
        <v>0</v>
      </c>
      <c r="DY100" s="61">
        <v>0</v>
      </c>
      <c r="DZ100" s="79"/>
      <c r="EB100" s="79"/>
      <c r="EC100" s="79"/>
      <c r="ED100" s="79"/>
      <c r="EE100" s="79"/>
      <c r="EF100" s="79"/>
      <c r="EG100" s="79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2"/>
      <c r="HE100" s="62"/>
      <c r="HF100" s="62"/>
      <c r="HG100" s="62"/>
      <c r="HH100" s="62"/>
      <c r="HI100" s="62"/>
      <c r="HJ100" s="62"/>
      <c r="HK100" s="62"/>
      <c r="HL100" s="62"/>
      <c r="HM100" s="62"/>
      <c r="HN100" s="62"/>
      <c r="HO100" s="62"/>
      <c r="HP100" s="62"/>
      <c r="HQ100" s="62"/>
      <c r="HR100" s="62"/>
      <c r="HS100" s="62"/>
      <c r="HT100" s="62"/>
      <c r="HU100" s="62"/>
      <c r="HV100" s="62"/>
      <c r="HW100" s="62"/>
      <c r="HX100" s="62"/>
      <c r="HY100" s="62"/>
      <c r="HZ100" s="62"/>
      <c r="IA100" s="62"/>
      <c r="IB100" s="62"/>
      <c r="IC100" s="62"/>
      <c r="ID100" s="62"/>
      <c r="IE100" s="62"/>
      <c r="IF100" s="62"/>
      <c r="IG100" s="62"/>
      <c r="IH100" s="62"/>
      <c r="II100" s="62"/>
      <c r="IJ100" s="62"/>
      <c r="IK100" s="62"/>
      <c r="IL100" s="62"/>
      <c r="IM100" s="62"/>
      <c r="IN100" s="62"/>
      <c r="IO100" s="62"/>
      <c r="IP100" s="62"/>
      <c r="IQ100" s="62"/>
      <c r="IR100" s="62"/>
      <c r="IS100" s="62"/>
      <c r="IT100" s="62"/>
      <c r="IU100" s="62"/>
      <c r="IV100" s="62"/>
      <c r="IW100" s="62"/>
      <c r="IX100" s="62"/>
      <c r="IY100" s="62"/>
      <c r="IZ100" s="62"/>
      <c r="JA100" s="62"/>
      <c r="JB100" s="62"/>
      <c r="JC100" s="62"/>
      <c r="JD100" s="62"/>
      <c r="JE100" s="62"/>
      <c r="JF100" s="62"/>
      <c r="JG100" s="62"/>
      <c r="JH100" s="62"/>
      <c r="JI100" s="62"/>
      <c r="JJ100" s="62"/>
      <c r="JK100" s="62"/>
      <c r="JL100" s="62"/>
      <c r="JM100" s="62"/>
      <c r="JN100" s="62"/>
      <c r="JO100" s="62"/>
      <c r="JP100" s="62"/>
      <c r="JQ100" s="62"/>
      <c r="JR100" s="62"/>
      <c r="JS100" s="62"/>
      <c r="JT100" s="62"/>
      <c r="JU100" s="62"/>
      <c r="JV100" s="62"/>
      <c r="JW100" s="62"/>
      <c r="JX100" s="62"/>
      <c r="JY100" s="62"/>
      <c r="JZ100" s="62"/>
      <c r="KA100" s="62"/>
      <c r="KB100" s="62"/>
      <c r="KC100" s="62"/>
      <c r="KD100" s="62"/>
      <c r="KE100" s="62"/>
      <c r="KF100" s="62"/>
      <c r="KG100" s="62"/>
      <c r="KH100" s="62"/>
      <c r="KI100" s="62"/>
      <c r="KJ100" s="62"/>
      <c r="KK100" s="62"/>
      <c r="KL100" s="62"/>
      <c r="KM100" s="62"/>
      <c r="KN100" s="62"/>
      <c r="KO100" s="62"/>
      <c r="KP100" s="62"/>
      <c r="KQ100" s="62"/>
      <c r="KR100" s="62"/>
      <c r="KS100" s="62"/>
      <c r="KT100" s="62"/>
      <c r="KU100" s="62"/>
      <c r="KV100" s="62"/>
      <c r="KW100" s="62"/>
      <c r="KX100" s="62"/>
      <c r="KY100" s="62"/>
      <c r="KZ100" s="62"/>
      <c r="LA100" s="62"/>
      <c r="LB100" s="62"/>
      <c r="LC100" s="62"/>
      <c r="LD100" s="62"/>
      <c r="LE100" s="62"/>
      <c r="LF100" s="62"/>
      <c r="LG100" s="62"/>
      <c r="LH100" s="62"/>
      <c r="LI100" s="62"/>
    </row>
    <row r="101" spans="2:321">
      <c r="C101" s="59">
        <v>419</v>
      </c>
      <c r="D101" s="59">
        <v>419</v>
      </c>
      <c r="E101" s="60" t="s">
        <v>155</v>
      </c>
      <c r="F101" s="67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9"/>
      <c r="R101" s="67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67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9"/>
      <c r="AP101" s="67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9"/>
      <c r="BB101" s="67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9"/>
      <c r="BN101" s="67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9"/>
      <c r="BZ101" s="67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7">
        <v>581683.6</v>
      </c>
      <c r="CM101" s="68">
        <v>1362314.95</v>
      </c>
      <c r="CN101" s="68">
        <v>3124988.67</v>
      </c>
      <c r="CO101" s="68">
        <v>1637869.83</v>
      </c>
      <c r="CP101" s="68">
        <v>1862941.28</v>
      </c>
      <c r="CQ101" s="68">
        <v>1673742.22</v>
      </c>
      <c r="CR101" s="68">
        <v>1597215.34</v>
      </c>
      <c r="CS101" s="68">
        <v>1583362.94</v>
      </c>
      <c r="CT101" s="68">
        <v>1556662.86</v>
      </c>
      <c r="CU101" s="68">
        <v>1657284.79</v>
      </c>
      <c r="CV101" s="68">
        <v>1584386.88</v>
      </c>
      <c r="CW101" s="69">
        <v>3716241.43</v>
      </c>
      <c r="CX101" s="67">
        <v>821797.4</v>
      </c>
      <c r="CY101" s="68">
        <v>2611405.5699999998</v>
      </c>
      <c r="CZ101" s="68">
        <v>1966059.37</v>
      </c>
      <c r="DA101" s="68">
        <v>1331079.99</v>
      </c>
      <c r="DB101" s="68">
        <v>1761449.05</v>
      </c>
      <c r="DC101" s="68">
        <v>3332910.8</v>
      </c>
      <c r="DD101" s="68">
        <v>2707785.53</v>
      </c>
      <c r="DE101" s="68">
        <v>2480482.61</v>
      </c>
      <c r="DF101" s="68">
        <v>3097475.87</v>
      </c>
      <c r="DG101" s="68">
        <v>2804532.34</v>
      </c>
      <c r="DH101" s="68">
        <v>2176272.3199999998</v>
      </c>
      <c r="DI101" s="69">
        <v>4716230.8</v>
      </c>
      <c r="DJ101" s="67">
        <v>711681.39</v>
      </c>
      <c r="DK101" s="68">
        <v>1713202.34</v>
      </c>
      <c r="DL101" s="68">
        <v>2690115</v>
      </c>
      <c r="DM101" s="68">
        <v>1995010.18</v>
      </c>
      <c r="DN101" s="68">
        <v>2810397.76</v>
      </c>
      <c r="DO101" s="68">
        <v>1799602.39</v>
      </c>
      <c r="DP101" s="68">
        <v>3588410.08</v>
      </c>
      <c r="DQ101" s="68">
        <v>1624978.82</v>
      </c>
      <c r="DR101" s="68">
        <v>2825020.19</v>
      </c>
      <c r="DS101" s="68">
        <v>2074664.12</v>
      </c>
      <c r="DT101" s="68">
        <v>1731618.74</v>
      </c>
      <c r="DU101" s="69">
        <v>7182059.0599999996</v>
      </c>
      <c r="DV101" s="83">
        <v>957980.63</v>
      </c>
      <c r="DW101" s="83">
        <v>3319870.14</v>
      </c>
      <c r="DX101" s="83">
        <v>3074118.5</v>
      </c>
      <c r="DY101" s="61">
        <v>2282641.9700000002</v>
      </c>
      <c r="DZ101" s="79">
        <v>2819109.17</v>
      </c>
      <c r="EA101" s="79">
        <v>2698411.47</v>
      </c>
      <c r="EB101" s="79">
        <v>1727146.57</v>
      </c>
      <c r="EC101" s="84">
        <v>2512983.86</v>
      </c>
      <c r="ED101" s="79">
        <v>3344109.35</v>
      </c>
      <c r="EE101" s="79">
        <v>2190412.1</v>
      </c>
      <c r="EF101" s="79">
        <v>2741929.74</v>
      </c>
      <c r="EG101" s="79">
        <v>6700842.0499999998</v>
      </c>
      <c r="EH101" s="62">
        <v>640573.4</v>
      </c>
      <c r="EI101" s="62">
        <v>1813144.72</v>
      </c>
      <c r="EJ101" s="62">
        <v>3850774.87</v>
      </c>
      <c r="EK101" s="62">
        <v>2537947.84</v>
      </c>
      <c r="EL101" s="62">
        <v>2629633.84</v>
      </c>
      <c r="EM101" s="62">
        <v>2647992.59</v>
      </c>
      <c r="EN101" s="62">
        <v>2526292.0099999998</v>
      </c>
      <c r="EO101" s="62">
        <v>2670416.61</v>
      </c>
      <c r="EP101" s="62">
        <v>2766749.02</v>
      </c>
      <c r="EQ101" s="62">
        <v>3382897.72</v>
      </c>
      <c r="ER101" s="62">
        <v>4807051.49</v>
      </c>
      <c r="ES101" s="62">
        <v>7968970.9500000002</v>
      </c>
      <c r="ET101" s="62">
        <v>586002.18999999994</v>
      </c>
      <c r="EU101" s="62">
        <v>3384331.52</v>
      </c>
      <c r="EV101" s="62">
        <v>2155321.13</v>
      </c>
      <c r="EW101" s="62">
        <v>2882966.63</v>
      </c>
      <c r="EX101" s="62">
        <v>2637225.6800000002</v>
      </c>
      <c r="EY101" s="62">
        <v>3635960.61</v>
      </c>
      <c r="EZ101" s="62">
        <v>2919935.46</v>
      </c>
      <c r="FA101" s="62">
        <v>3454663.76</v>
      </c>
      <c r="FB101" s="62">
        <v>3201193.66</v>
      </c>
      <c r="FC101" s="62">
        <v>3091262.43</v>
      </c>
      <c r="FD101" s="62">
        <v>3357403.41</v>
      </c>
      <c r="FE101" s="62">
        <v>12250161.189999999</v>
      </c>
      <c r="FF101" s="62">
        <v>693676.87</v>
      </c>
      <c r="FG101" s="62">
        <v>3354186.07</v>
      </c>
      <c r="FH101" s="62">
        <v>2292267.91</v>
      </c>
      <c r="FI101" s="62">
        <v>5377993.4900000002</v>
      </c>
      <c r="FJ101" s="62">
        <v>2113794.41</v>
      </c>
      <c r="FK101" s="62">
        <v>4480934.04</v>
      </c>
      <c r="FL101" s="1">
        <f>3827386.53</f>
        <v>3827386.53</v>
      </c>
      <c r="FM101" s="62">
        <v>4013042.17</v>
      </c>
      <c r="FN101" s="62">
        <v>4099702.04</v>
      </c>
      <c r="FO101" s="62">
        <v>3040245.77</v>
      </c>
      <c r="FP101" s="62">
        <v>3173787.81</v>
      </c>
      <c r="FQ101" s="62">
        <v>13492320.9</v>
      </c>
      <c r="FR101" s="62">
        <v>1395608.23</v>
      </c>
      <c r="FS101" s="62">
        <v>3808288.9</v>
      </c>
      <c r="FT101" s="62">
        <v>3205784.91</v>
      </c>
      <c r="FU101" s="62">
        <v>3934346.45</v>
      </c>
      <c r="FV101" s="62">
        <v>3370974.62</v>
      </c>
      <c r="FW101" s="62">
        <v>6472209.0199999996</v>
      </c>
      <c r="FX101" s="62">
        <v>5667806.7999999998</v>
      </c>
      <c r="FY101" s="62">
        <v>2672727.7999999998</v>
      </c>
      <c r="FZ101" s="62">
        <v>3093416.86</v>
      </c>
      <c r="GA101" s="62">
        <v>4280518.5599999996</v>
      </c>
      <c r="GB101" s="62">
        <v>4290626.6500000004</v>
      </c>
      <c r="GC101" s="62">
        <v>6415846.71</v>
      </c>
      <c r="GD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2"/>
      <c r="HI101" s="62"/>
      <c r="HJ101" s="62"/>
      <c r="HK101" s="62"/>
      <c r="HL101" s="62"/>
      <c r="HM101" s="62"/>
      <c r="HN101" s="62"/>
      <c r="HO101" s="62"/>
      <c r="HP101" s="62"/>
      <c r="HQ101" s="62"/>
      <c r="HR101" s="62"/>
      <c r="HS101" s="62"/>
      <c r="HT101" s="62"/>
      <c r="HU101" s="62"/>
      <c r="HV101" s="62"/>
      <c r="HW101" s="62"/>
      <c r="HX101" s="62"/>
      <c r="HY101" s="62"/>
      <c r="HZ101" s="62"/>
      <c r="IA101" s="62"/>
      <c r="IB101" s="62"/>
      <c r="IC101" s="62"/>
      <c r="ID101" s="62"/>
      <c r="IE101" s="62"/>
      <c r="IF101" s="62"/>
      <c r="IG101" s="62"/>
      <c r="IH101" s="62"/>
      <c r="II101" s="62"/>
      <c r="IJ101" s="62"/>
      <c r="IK101" s="62"/>
      <c r="IL101" s="62"/>
      <c r="IM101" s="62"/>
      <c r="IN101" s="62"/>
      <c r="IO101" s="62"/>
      <c r="IP101" s="62"/>
      <c r="IQ101" s="62"/>
      <c r="IR101" s="62"/>
      <c r="IS101" s="62"/>
      <c r="IT101" s="62"/>
      <c r="IU101" s="62"/>
      <c r="IV101" s="62"/>
      <c r="IW101" s="62"/>
      <c r="IX101" s="62"/>
      <c r="IY101" s="62"/>
      <c r="IZ101" s="62"/>
      <c r="JA101" s="62"/>
      <c r="JB101" s="62"/>
      <c r="JC101" s="62"/>
      <c r="JD101" s="62"/>
      <c r="JE101" s="62"/>
      <c r="JF101" s="62"/>
      <c r="JG101" s="62"/>
      <c r="JH101" s="62"/>
      <c r="JI101" s="62"/>
      <c r="JJ101" s="62"/>
      <c r="JK101" s="62"/>
      <c r="JL101" s="62"/>
      <c r="JM101" s="62"/>
      <c r="JN101" s="62"/>
      <c r="JO101" s="62"/>
      <c r="JP101" s="62"/>
      <c r="JQ101" s="62"/>
      <c r="JR101" s="62"/>
      <c r="JS101" s="62"/>
      <c r="JT101" s="62"/>
      <c r="JU101" s="62"/>
      <c r="JV101" s="62"/>
      <c r="JW101" s="62"/>
      <c r="JX101" s="62"/>
      <c r="JY101" s="62"/>
      <c r="JZ101" s="62"/>
      <c r="KA101" s="62"/>
      <c r="KB101" s="62"/>
      <c r="KC101" s="62"/>
      <c r="KD101" s="62"/>
      <c r="KE101" s="62"/>
      <c r="KF101" s="62"/>
      <c r="KG101" s="62"/>
      <c r="KH101" s="62"/>
      <c r="KI101" s="62"/>
      <c r="KJ101" s="62"/>
      <c r="KK101" s="62"/>
      <c r="KL101" s="62"/>
      <c r="KM101" s="62"/>
      <c r="KN101" s="62"/>
      <c r="KO101" s="62"/>
      <c r="KP101" s="62"/>
      <c r="KQ101" s="62"/>
      <c r="KR101" s="62"/>
      <c r="KS101" s="62"/>
      <c r="KT101" s="62"/>
      <c r="KU101" s="62"/>
      <c r="KV101" s="62"/>
      <c r="KW101" s="62"/>
      <c r="KX101" s="62"/>
      <c r="KY101" s="62"/>
      <c r="KZ101" s="62"/>
      <c r="LA101" s="62"/>
      <c r="LB101" s="62"/>
      <c r="LC101" s="62"/>
      <c r="LD101" s="62"/>
      <c r="LE101" s="62"/>
      <c r="LF101" s="62"/>
      <c r="LG101" s="62"/>
      <c r="LH101" s="62"/>
      <c r="LI101" s="62"/>
    </row>
    <row r="102" spans="2:321" ht="30">
      <c r="D102" s="59">
        <v>4191</v>
      </c>
      <c r="E102" s="60" t="s">
        <v>413</v>
      </c>
      <c r="F102" s="67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9"/>
      <c r="R102" s="67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67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9"/>
      <c r="AP102" s="67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9"/>
      <c r="BB102" s="67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9"/>
      <c r="BN102" s="67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9"/>
      <c r="BZ102" s="67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67">
        <v>283086.12</v>
      </c>
      <c r="CM102" s="68">
        <v>367364.43</v>
      </c>
      <c r="CN102" s="68">
        <v>444242.46</v>
      </c>
      <c r="CO102" s="68">
        <v>365150.47</v>
      </c>
      <c r="CP102" s="68">
        <v>388210.11</v>
      </c>
      <c r="CQ102" s="68">
        <v>570502.57999999996</v>
      </c>
      <c r="CR102" s="68">
        <v>448100.37000000098</v>
      </c>
      <c r="CS102" s="68">
        <v>462249.65</v>
      </c>
      <c r="CT102" s="68">
        <v>489608.62000000098</v>
      </c>
      <c r="CU102" s="68">
        <v>433406.06000000099</v>
      </c>
      <c r="CV102" s="68">
        <v>591397.98</v>
      </c>
      <c r="CW102" s="69">
        <v>413093.4</v>
      </c>
      <c r="CX102" s="67">
        <v>223276.44</v>
      </c>
      <c r="CY102" s="68">
        <v>435701.33</v>
      </c>
      <c r="CZ102" s="68">
        <v>530241.54</v>
      </c>
      <c r="DA102" s="68">
        <v>521938.69</v>
      </c>
      <c r="DB102" s="68">
        <v>443361.15</v>
      </c>
      <c r="DC102" s="68">
        <v>438981.08</v>
      </c>
      <c r="DD102" s="68">
        <v>677741</v>
      </c>
      <c r="DE102" s="68">
        <v>331715.65999999997</v>
      </c>
      <c r="DF102" s="68">
        <v>543994.44999999995</v>
      </c>
      <c r="DG102" s="68">
        <v>516088.11</v>
      </c>
      <c r="DH102" s="68">
        <v>521712.05</v>
      </c>
      <c r="DI102" s="69">
        <v>589448.55000000005</v>
      </c>
      <c r="DJ102" s="67">
        <v>531486.85</v>
      </c>
      <c r="DK102" s="68">
        <v>516913.49999999901</v>
      </c>
      <c r="DL102" s="68">
        <v>410429.49</v>
      </c>
      <c r="DM102" s="68">
        <v>511303.38999999902</v>
      </c>
      <c r="DN102" s="68">
        <v>441792.23</v>
      </c>
      <c r="DO102" s="68">
        <v>548658.30999999901</v>
      </c>
      <c r="DP102" s="68">
        <v>492166.63</v>
      </c>
      <c r="DQ102" s="68">
        <v>394101.96</v>
      </c>
      <c r="DR102" s="68">
        <v>595246.11999999895</v>
      </c>
      <c r="DS102" s="68">
        <v>492074.82</v>
      </c>
      <c r="DT102" s="68">
        <v>646040.06000000006</v>
      </c>
      <c r="DU102" s="69">
        <v>531234.81999999902</v>
      </c>
      <c r="DV102" s="61">
        <v>668748.64</v>
      </c>
      <c r="DW102" s="61">
        <v>581398.20999999903</v>
      </c>
      <c r="DX102" s="61">
        <v>584947.79</v>
      </c>
      <c r="DY102" s="61">
        <v>537409.48</v>
      </c>
      <c r="DZ102" s="79">
        <v>590009.09</v>
      </c>
      <c r="EB102" s="79"/>
      <c r="EC102" s="79"/>
      <c r="ED102" s="79"/>
      <c r="EE102" s="79"/>
      <c r="EF102" s="79"/>
      <c r="EG102" s="79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2"/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62"/>
      <c r="HX102" s="62"/>
      <c r="HY102" s="62"/>
      <c r="HZ102" s="62"/>
      <c r="IA102" s="62"/>
      <c r="IB102" s="62"/>
      <c r="IC102" s="62"/>
      <c r="ID102" s="62"/>
      <c r="IE102" s="62"/>
      <c r="IF102" s="62"/>
      <c r="IG102" s="62"/>
      <c r="IH102" s="62"/>
      <c r="II102" s="62"/>
      <c r="IJ102" s="62"/>
      <c r="IK102" s="62"/>
      <c r="IL102" s="62"/>
      <c r="IM102" s="62"/>
      <c r="IN102" s="62"/>
      <c r="IO102" s="62"/>
      <c r="IP102" s="62"/>
      <c r="IQ102" s="62"/>
      <c r="IR102" s="62"/>
      <c r="IS102" s="62"/>
      <c r="IT102" s="62"/>
      <c r="IU102" s="62"/>
      <c r="IV102" s="62"/>
      <c r="IW102" s="62"/>
      <c r="IX102" s="62"/>
      <c r="IY102" s="62"/>
      <c r="IZ102" s="62"/>
      <c r="JA102" s="62"/>
      <c r="JB102" s="62"/>
      <c r="JC102" s="62"/>
      <c r="JD102" s="62"/>
      <c r="JE102" s="62"/>
      <c r="JF102" s="62"/>
      <c r="JG102" s="62"/>
      <c r="JH102" s="62"/>
      <c r="JI102" s="62"/>
      <c r="JJ102" s="62"/>
      <c r="JK102" s="62"/>
      <c r="JL102" s="62"/>
      <c r="JM102" s="62"/>
      <c r="JN102" s="62"/>
      <c r="JO102" s="62"/>
      <c r="JP102" s="62"/>
      <c r="JQ102" s="62"/>
      <c r="JR102" s="62"/>
      <c r="JS102" s="62"/>
      <c r="JT102" s="62"/>
      <c r="JU102" s="62"/>
      <c r="JV102" s="62"/>
      <c r="JW102" s="62"/>
      <c r="JX102" s="62"/>
      <c r="JY102" s="62"/>
      <c r="JZ102" s="62"/>
      <c r="KA102" s="62"/>
      <c r="KB102" s="62"/>
      <c r="KC102" s="62"/>
      <c r="KD102" s="62"/>
      <c r="KE102" s="62"/>
      <c r="KF102" s="62"/>
      <c r="KG102" s="62"/>
      <c r="KH102" s="62"/>
      <c r="KI102" s="62"/>
      <c r="KJ102" s="62"/>
      <c r="KK102" s="62"/>
      <c r="KL102" s="62"/>
      <c r="KM102" s="62"/>
      <c r="KN102" s="62"/>
      <c r="KO102" s="62"/>
      <c r="KP102" s="62"/>
      <c r="KQ102" s="62"/>
      <c r="KR102" s="62"/>
      <c r="KS102" s="62"/>
      <c r="KT102" s="62"/>
      <c r="KU102" s="62"/>
      <c r="KV102" s="62"/>
      <c r="KW102" s="62"/>
      <c r="KX102" s="62"/>
      <c r="KY102" s="62"/>
      <c r="KZ102" s="62"/>
      <c r="LA102" s="62"/>
      <c r="LB102" s="62"/>
      <c r="LC102" s="62"/>
      <c r="LD102" s="62"/>
      <c r="LE102" s="62"/>
      <c r="LF102" s="62"/>
      <c r="LG102" s="62"/>
      <c r="LH102" s="62"/>
      <c r="LI102" s="62"/>
    </row>
    <row r="103" spans="2:321" ht="30">
      <c r="D103" s="59">
        <v>4192</v>
      </c>
      <c r="E103" s="60" t="s">
        <v>414</v>
      </c>
      <c r="F103" s="67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9"/>
      <c r="R103" s="67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67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9"/>
      <c r="AP103" s="67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9"/>
      <c r="BB103" s="67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9"/>
      <c r="BN103" s="67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9"/>
      <c r="BZ103" s="67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7">
        <v>3280.22</v>
      </c>
      <c r="CM103" s="68">
        <v>85409.77</v>
      </c>
      <c r="CN103" s="68">
        <v>144108.79999999999</v>
      </c>
      <c r="CO103" s="68">
        <v>79898.05</v>
      </c>
      <c r="CP103" s="68">
        <v>47061.93</v>
      </c>
      <c r="CQ103" s="68">
        <v>82660.480000000098</v>
      </c>
      <c r="CR103" s="68">
        <v>61924.41</v>
      </c>
      <c r="CS103" s="68">
        <v>45003.42</v>
      </c>
      <c r="CT103" s="68">
        <v>55110.78</v>
      </c>
      <c r="CU103" s="68">
        <v>80659.240000000005</v>
      </c>
      <c r="CV103" s="68">
        <v>137519.99</v>
      </c>
      <c r="CW103" s="69">
        <v>167225.20000000001</v>
      </c>
      <c r="CX103" s="67">
        <v>36372.65</v>
      </c>
      <c r="CY103" s="68">
        <v>70289.03</v>
      </c>
      <c r="CZ103" s="68">
        <v>76064.210000000006</v>
      </c>
      <c r="DA103" s="68">
        <v>52950.81</v>
      </c>
      <c r="DB103" s="68">
        <v>97021.6</v>
      </c>
      <c r="DC103" s="68">
        <v>80975.61</v>
      </c>
      <c r="DD103" s="68">
        <v>55252.33</v>
      </c>
      <c r="DE103" s="68">
        <v>31812.06</v>
      </c>
      <c r="DF103" s="68">
        <v>59097.11</v>
      </c>
      <c r="DG103" s="68">
        <v>235746.44</v>
      </c>
      <c r="DH103" s="68">
        <v>70490.11</v>
      </c>
      <c r="DI103" s="69">
        <v>325888.15999999997</v>
      </c>
      <c r="DJ103" s="67">
        <v>34983.1</v>
      </c>
      <c r="DK103" s="68">
        <v>67273.649999999994</v>
      </c>
      <c r="DL103" s="68">
        <v>74051.19</v>
      </c>
      <c r="DM103" s="68">
        <v>56652.23</v>
      </c>
      <c r="DN103" s="68">
        <v>91162.79</v>
      </c>
      <c r="DO103" s="68">
        <v>89550.95</v>
      </c>
      <c r="DP103" s="68">
        <v>54448.45</v>
      </c>
      <c r="DQ103" s="68">
        <v>31940.94</v>
      </c>
      <c r="DR103" s="68">
        <v>59699.93</v>
      </c>
      <c r="DS103" s="68">
        <v>229752.16</v>
      </c>
      <c r="DT103" s="68">
        <v>72187.350000000006</v>
      </c>
      <c r="DU103" s="69">
        <v>261240.26</v>
      </c>
      <c r="DV103" s="61">
        <v>77621.73</v>
      </c>
      <c r="DW103" s="61">
        <v>83327.360000000001</v>
      </c>
      <c r="DX103" s="61">
        <v>191716.78</v>
      </c>
      <c r="DY103" s="61">
        <v>177688.48</v>
      </c>
      <c r="DZ103" s="79">
        <v>144527.78</v>
      </c>
      <c r="EB103" s="79"/>
      <c r="EC103" s="79"/>
      <c r="ED103" s="79"/>
      <c r="EE103" s="79"/>
      <c r="EF103" s="79"/>
      <c r="EG103" s="79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  <c r="IK103" s="62"/>
      <c r="IL103" s="62"/>
      <c r="IM103" s="62"/>
      <c r="IN103" s="62"/>
      <c r="IO103" s="62"/>
      <c r="IP103" s="62"/>
      <c r="IQ103" s="62"/>
      <c r="IR103" s="62"/>
      <c r="IS103" s="62"/>
      <c r="IT103" s="62"/>
      <c r="IU103" s="62"/>
      <c r="IV103" s="62"/>
      <c r="IW103" s="62"/>
      <c r="IX103" s="62"/>
      <c r="IY103" s="62"/>
      <c r="IZ103" s="62"/>
      <c r="JA103" s="62"/>
      <c r="JB103" s="62"/>
      <c r="JC103" s="62"/>
      <c r="JD103" s="62"/>
      <c r="JE103" s="62"/>
      <c r="JF103" s="62"/>
      <c r="JG103" s="62"/>
      <c r="JH103" s="62"/>
      <c r="JI103" s="62"/>
      <c r="JJ103" s="62"/>
      <c r="JK103" s="62"/>
      <c r="JL103" s="62"/>
      <c r="JM103" s="62"/>
      <c r="JN103" s="62"/>
      <c r="JO103" s="62"/>
      <c r="JP103" s="62"/>
      <c r="JQ103" s="62"/>
      <c r="JR103" s="62"/>
      <c r="JS103" s="62"/>
      <c r="JT103" s="62"/>
      <c r="JU103" s="62"/>
      <c r="JV103" s="62"/>
      <c r="JW103" s="62"/>
      <c r="JX103" s="62"/>
      <c r="JY103" s="62"/>
      <c r="JZ103" s="62"/>
      <c r="KA103" s="62"/>
      <c r="KB103" s="62"/>
      <c r="KC103" s="62"/>
      <c r="KD103" s="62"/>
      <c r="KE103" s="62"/>
      <c r="KF103" s="62"/>
      <c r="KG103" s="62"/>
      <c r="KH103" s="62"/>
      <c r="KI103" s="62"/>
      <c r="KJ103" s="62"/>
      <c r="KK103" s="62"/>
      <c r="KL103" s="62"/>
      <c r="KM103" s="62"/>
      <c r="KN103" s="62"/>
      <c r="KO103" s="62"/>
      <c r="KP103" s="62"/>
      <c r="KQ103" s="62"/>
      <c r="KR103" s="62"/>
      <c r="KS103" s="62"/>
      <c r="KT103" s="62"/>
      <c r="KU103" s="62"/>
      <c r="KV103" s="62"/>
      <c r="KW103" s="62"/>
      <c r="KX103" s="62"/>
      <c r="KY103" s="62"/>
      <c r="KZ103" s="62"/>
      <c r="LA103" s="62"/>
      <c r="LB103" s="62"/>
      <c r="LC103" s="62"/>
      <c r="LD103" s="62"/>
      <c r="LE103" s="62"/>
      <c r="LF103" s="62"/>
      <c r="LG103" s="62"/>
      <c r="LH103" s="62"/>
      <c r="LI103" s="62"/>
    </row>
    <row r="104" spans="2:321">
      <c r="D104" s="59">
        <v>4193</v>
      </c>
      <c r="E104" s="60" t="s">
        <v>415</v>
      </c>
      <c r="F104" s="67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9"/>
      <c r="R104" s="67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67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9"/>
      <c r="AP104" s="67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9"/>
      <c r="BB104" s="67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9"/>
      <c r="BN104" s="67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9"/>
      <c r="BZ104" s="67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7">
        <v>4443.01</v>
      </c>
      <c r="CM104" s="68">
        <v>98765.86</v>
      </c>
      <c r="CN104" s="68">
        <v>1554970.08</v>
      </c>
      <c r="CO104" s="68">
        <v>355446.48</v>
      </c>
      <c r="CP104" s="68">
        <v>257809.18</v>
      </c>
      <c r="CQ104" s="68">
        <v>326013.09999999998</v>
      </c>
      <c r="CR104" s="68">
        <v>359870.15</v>
      </c>
      <c r="CS104" s="68">
        <v>199890.55</v>
      </c>
      <c r="CT104" s="68">
        <v>271107.99</v>
      </c>
      <c r="CU104" s="68">
        <v>359503.48</v>
      </c>
      <c r="CV104" s="68">
        <v>289512.46000000002</v>
      </c>
      <c r="CW104" s="69">
        <v>1227813.5</v>
      </c>
      <c r="CX104" s="67">
        <v>150551.96</v>
      </c>
      <c r="CY104" s="68">
        <v>298723.44</v>
      </c>
      <c r="CZ104" s="68">
        <v>356976.34</v>
      </c>
      <c r="DA104" s="68">
        <v>304281.88</v>
      </c>
      <c r="DB104" s="68">
        <v>318087.78999999998</v>
      </c>
      <c r="DC104" s="68">
        <v>340827.7</v>
      </c>
      <c r="DD104" s="68">
        <v>1787711.55</v>
      </c>
      <c r="DE104" s="68">
        <v>180232.48</v>
      </c>
      <c r="DF104" s="68">
        <v>756544.74</v>
      </c>
      <c r="DG104" s="68">
        <v>476262.09</v>
      </c>
      <c r="DH104" s="68">
        <v>185307.02</v>
      </c>
      <c r="DI104" s="69">
        <v>928980.86</v>
      </c>
      <c r="DJ104" s="67">
        <v>149746.10999999999</v>
      </c>
      <c r="DK104" s="68">
        <v>133119.69</v>
      </c>
      <c r="DL104" s="68">
        <v>521459.84</v>
      </c>
      <c r="DM104" s="68">
        <v>300202.21999999997</v>
      </c>
      <c r="DN104" s="68">
        <v>314799.65000000002</v>
      </c>
      <c r="DO104" s="68">
        <v>290482.26</v>
      </c>
      <c r="DP104" s="68">
        <v>1527301.29</v>
      </c>
      <c r="DQ104" s="68">
        <v>500282.08</v>
      </c>
      <c r="DR104" s="68">
        <v>756320.94</v>
      </c>
      <c r="DS104" s="68">
        <v>466485.89</v>
      </c>
      <c r="DT104" s="68">
        <v>160536.93</v>
      </c>
      <c r="DU104" s="69">
        <v>3053208.93</v>
      </c>
      <c r="DV104" s="61">
        <v>203464.93</v>
      </c>
      <c r="DW104" s="61">
        <v>1439056.74</v>
      </c>
      <c r="DX104" s="61">
        <v>624594.6</v>
      </c>
      <c r="DY104" s="61">
        <v>158360.21</v>
      </c>
      <c r="DZ104" s="79">
        <v>449020</v>
      </c>
      <c r="EB104" s="79"/>
      <c r="EC104" s="79"/>
      <c r="ED104" s="79"/>
      <c r="EE104" s="79"/>
      <c r="EF104" s="79"/>
      <c r="EG104" s="79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2"/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62"/>
      <c r="HX104" s="62"/>
      <c r="HY104" s="62"/>
      <c r="HZ104" s="62"/>
      <c r="IA104" s="62"/>
      <c r="IB104" s="62"/>
      <c r="IC104" s="62"/>
      <c r="ID104" s="62"/>
      <c r="IE104" s="62"/>
      <c r="IF104" s="62"/>
      <c r="IG104" s="62"/>
      <c r="IH104" s="62"/>
      <c r="II104" s="62"/>
      <c r="IJ104" s="62"/>
      <c r="IK104" s="62"/>
      <c r="IL104" s="62"/>
      <c r="IM104" s="62"/>
      <c r="IN104" s="62"/>
      <c r="IO104" s="62"/>
      <c r="IP104" s="62"/>
      <c r="IQ104" s="62"/>
      <c r="IR104" s="62"/>
      <c r="IS104" s="62"/>
      <c r="IT104" s="62"/>
      <c r="IU104" s="62"/>
      <c r="IV104" s="62"/>
      <c r="IW104" s="62"/>
      <c r="IX104" s="62"/>
      <c r="IY104" s="62"/>
      <c r="IZ104" s="62"/>
      <c r="JA104" s="62"/>
      <c r="JB104" s="62"/>
      <c r="JC104" s="62"/>
      <c r="JD104" s="62"/>
      <c r="JE104" s="62"/>
      <c r="JF104" s="62"/>
      <c r="JG104" s="62"/>
      <c r="JH104" s="62"/>
      <c r="JI104" s="62"/>
      <c r="JJ104" s="62"/>
      <c r="JK104" s="62"/>
      <c r="JL104" s="62"/>
      <c r="JM104" s="62"/>
      <c r="JN104" s="62"/>
      <c r="JO104" s="62"/>
      <c r="JP104" s="62"/>
      <c r="JQ104" s="62"/>
      <c r="JR104" s="62"/>
      <c r="JS104" s="62"/>
      <c r="JT104" s="62"/>
      <c r="JU104" s="62"/>
      <c r="JV104" s="62"/>
      <c r="JW104" s="62"/>
      <c r="JX104" s="62"/>
      <c r="JY104" s="62"/>
      <c r="JZ104" s="62"/>
      <c r="KA104" s="62"/>
      <c r="KB104" s="62"/>
      <c r="KC104" s="62"/>
      <c r="KD104" s="62"/>
      <c r="KE104" s="62"/>
      <c r="KF104" s="62"/>
      <c r="KG104" s="62"/>
      <c r="KH104" s="62"/>
      <c r="KI104" s="62"/>
      <c r="KJ104" s="62"/>
      <c r="KK104" s="62"/>
      <c r="KL104" s="62"/>
      <c r="KM104" s="62"/>
      <c r="KN104" s="62"/>
      <c r="KO104" s="62"/>
      <c r="KP104" s="62"/>
      <c r="KQ104" s="62"/>
      <c r="KR104" s="62"/>
      <c r="KS104" s="62"/>
      <c r="KT104" s="62"/>
      <c r="KU104" s="62"/>
      <c r="KV104" s="62"/>
      <c r="KW104" s="62"/>
      <c r="KX104" s="62"/>
      <c r="KY104" s="62"/>
      <c r="KZ104" s="62"/>
      <c r="LA104" s="62"/>
      <c r="LB104" s="62"/>
      <c r="LC104" s="62"/>
      <c r="LD104" s="62"/>
      <c r="LE104" s="62"/>
      <c r="LF104" s="62"/>
      <c r="LG104" s="62"/>
      <c r="LH104" s="62"/>
      <c r="LI104" s="62"/>
    </row>
    <row r="105" spans="2:321">
      <c r="D105" s="59">
        <v>4194</v>
      </c>
      <c r="E105" s="60" t="s">
        <v>416</v>
      </c>
      <c r="F105" s="67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9"/>
      <c r="R105" s="67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67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9"/>
      <c r="AP105" s="67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9"/>
      <c r="BB105" s="67"/>
      <c r="BC105" s="68"/>
      <c r="BD105" s="68"/>
      <c r="BE105" s="68"/>
      <c r="BF105" s="68"/>
      <c r="BG105" s="68"/>
      <c r="BH105" s="68"/>
      <c r="BI105" s="68"/>
      <c r="BJ105" s="68"/>
      <c r="BK105" s="68"/>
      <c r="BL105" s="68"/>
      <c r="BM105" s="69"/>
      <c r="BN105" s="67"/>
      <c r="BO105" s="68"/>
      <c r="BP105" s="68"/>
      <c r="BQ105" s="68"/>
      <c r="BR105" s="68"/>
      <c r="BS105" s="68"/>
      <c r="BT105" s="68"/>
      <c r="BU105" s="68"/>
      <c r="BV105" s="68"/>
      <c r="BW105" s="68"/>
      <c r="BX105" s="68"/>
      <c r="BY105" s="69"/>
      <c r="BZ105" s="67"/>
      <c r="CA105" s="68"/>
      <c r="CB105" s="68"/>
      <c r="CC105" s="68"/>
      <c r="CD105" s="68"/>
      <c r="CE105" s="68"/>
      <c r="CF105" s="68"/>
      <c r="CG105" s="68"/>
      <c r="CH105" s="68"/>
      <c r="CI105" s="68"/>
      <c r="CJ105" s="68"/>
      <c r="CK105" s="68"/>
      <c r="CL105" s="67">
        <v>55668.160000000003</v>
      </c>
      <c r="CM105" s="68">
        <v>159148.54</v>
      </c>
      <c r="CN105" s="68">
        <v>161753.49</v>
      </c>
      <c r="CO105" s="68">
        <v>194593.05</v>
      </c>
      <c r="CP105" s="68">
        <v>137781.41</v>
      </c>
      <c r="CQ105" s="68">
        <v>86734.34</v>
      </c>
      <c r="CR105" s="68">
        <v>239288.32000000001</v>
      </c>
      <c r="CS105" s="68">
        <v>119577.67</v>
      </c>
      <c r="CT105" s="68">
        <v>166619</v>
      </c>
      <c r="CU105" s="68">
        <v>120909.64</v>
      </c>
      <c r="CV105" s="68">
        <v>167749.57999999999</v>
      </c>
      <c r="CW105" s="69">
        <v>381532.72</v>
      </c>
      <c r="CX105" s="67">
        <v>139234.59</v>
      </c>
      <c r="CY105" s="68">
        <v>250403.33</v>
      </c>
      <c r="CZ105" s="68">
        <v>158547.73000000001</v>
      </c>
      <c r="DA105" s="68">
        <v>200070.2</v>
      </c>
      <c r="DB105" s="68">
        <v>157191.29</v>
      </c>
      <c r="DC105" s="68">
        <v>174599.52</v>
      </c>
      <c r="DD105" s="68">
        <v>184719.31</v>
      </c>
      <c r="DE105" s="68">
        <v>119763.3</v>
      </c>
      <c r="DF105" s="68">
        <v>174958.41</v>
      </c>
      <c r="DG105" s="68">
        <v>129616.6</v>
      </c>
      <c r="DH105" s="68">
        <v>227846.95</v>
      </c>
      <c r="DI105" s="69">
        <v>482141.739999999</v>
      </c>
      <c r="DJ105" s="67">
        <v>137351.25</v>
      </c>
      <c r="DK105" s="68">
        <v>248888.58</v>
      </c>
      <c r="DL105" s="68">
        <v>161205.56</v>
      </c>
      <c r="DM105" s="68">
        <v>192877.92</v>
      </c>
      <c r="DN105" s="68">
        <v>159923.21</v>
      </c>
      <c r="DO105" s="68">
        <v>170581.39</v>
      </c>
      <c r="DP105" s="68">
        <v>134513.07</v>
      </c>
      <c r="DQ105" s="68">
        <v>166065.71</v>
      </c>
      <c r="DR105" s="68">
        <v>174239.58</v>
      </c>
      <c r="DS105" s="68">
        <v>134370.64000000001</v>
      </c>
      <c r="DT105" s="68">
        <v>201331.20000000001</v>
      </c>
      <c r="DU105" s="69">
        <v>321625.21000000002</v>
      </c>
      <c r="DV105" s="61">
        <v>104059.22</v>
      </c>
      <c r="DW105" s="61">
        <v>127121.38</v>
      </c>
      <c r="DX105" s="61">
        <v>254800.4</v>
      </c>
      <c r="DY105" s="61">
        <v>137632.94</v>
      </c>
      <c r="DZ105" s="79">
        <v>221373.95</v>
      </c>
      <c r="EB105" s="79"/>
      <c r="EC105" s="79"/>
      <c r="ED105" s="79"/>
      <c r="EE105" s="79"/>
      <c r="EF105" s="79"/>
      <c r="EG105" s="79"/>
      <c r="EH105" s="62"/>
      <c r="EI105" s="62"/>
      <c r="EJ105" s="62"/>
      <c r="EK105" s="62"/>
      <c r="EL105" s="62"/>
      <c r="EM105" s="62"/>
      <c r="EN105" s="62"/>
      <c r="EO105" s="62"/>
      <c r="EP105" s="62"/>
      <c r="EQ105" s="62"/>
      <c r="ER105" s="62"/>
      <c r="ES105" s="62"/>
      <c r="ET105" s="62"/>
      <c r="EU105" s="62"/>
      <c r="EV105" s="62"/>
      <c r="EW105" s="62"/>
      <c r="EX105" s="62"/>
      <c r="EY105" s="62"/>
      <c r="EZ105" s="62"/>
      <c r="FA105" s="62"/>
      <c r="FB105" s="62"/>
      <c r="FC105" s="62"/>
      <c r="FD105" s="62"/>
      <c r="FE105" s="62"/>
      <c r="FF105" s="62"/>
      <c r="FG105" s="62"/>
      <c r="FH105" s="62"/>
      <c r="FI105" s="62"/>
      <c r="FJ105" s="62"/>
      <c r="FK105" s="62"/>
      <c r="FL105" s="62"/>
      <c r="FM105" s="62"/>
      <c r="FN105" s="62"/>
      <c r="FO105" s="62"/>
      <c r="FP105" s="62"/>
      <c r="FQ105" s="62"/>
      <c r="FR105" s="62"/>
      <c r="FS105" s="62"/>
      <c r="FT105" s="62"/>
      <c r="FU105" s="62"/>
      <c r="FV105" s="62"/>
      <c r="FW105" s="62"/>
      <c r="FX105" s="62"/>
      <c r="FY105" s="62"/>
      <c r="FZ105" s="62"/>
      <c r="GA105" s="62"/>
      <c r="GB105" s="62"/>
      <c r="GC105" s="62"/>
      <c r="GD105" s="62"/>
      <c r="GF105" s="62"/>
      <c r="GG105" s="62"/>
      <c r="GH105" s="62"/>
      <c r="GI105" s="62"/>
      <c r="GJ105" s="62"/>
      <c r="GK105" s="62"/>
      <c r="GL105" s="62"/>
      <c r="GM105" s="62"/>
      <c r="GN105" s="62"/>
      <c r="GO105" s="62"/>
      <c r="GP105" s="62"/>
      <c r="GQ105" s="62"/>
      <c r="GR105" s="62"/>
      <c r="GS105" s="62"/>
      <c r="GT105" s="62"/>
      <c r="GU105" s="62"/>
      <c r="GV105" s="62"/>
      <c r="GW105" s="62"/>
      <c r="GX105" s="62"/>
      <c r="GY105" s="62"/>
      <c r="GZ105" s="62"/>
      <c r="HA105" s="62"/>
      <c r="HB105" s="62"/>
      <c r="HC105" s="62"/>
      <c r="HD105" s="62"/>
      <c r="HE105" s="62"/>
      <c r="HF105" s="62"/>
      <c r="HG105" s="62"/>
      <c r="HH105" s="62"/>
      <c r="HI105" s="62"/>
      <c r="HJ105" s="62"/>
      <c r="HK105" s="62"/>
      <c r="HL105" s="62"/>
      <c r="HM105" s="62"/>
      <c r="HN105" s="62"/>
      <c r="HO105" s="62"/>
      <c r="HP105" s="62"/>
      <c r="HQ105" s="62"/>
      <c r="HR105" s="62"/>
      <c r="HS105" s="62"/>
      <c r="HT105" s="62"/>
      <c r="HU105" s="62"/>
      <c r="HV105" s="62"/>
      <c r="HW105" s="62"/>
      <c r="HX105" s="62"/>
      <c r="HY105" s="62"/>
      <c r="HZ105" s="62"/>
      <c r="IA105" s="62"/>
      <c r="IB105" s="62"/>
      <c r="IC105" s="62"/>
      <c r="ID105" s="62"/>
      <c r="IE105" s="62"/>
      <c r="IF105" s="62"/>
      <c r="IG105" s="62"/>
      <c r="IH105" s="62"/>
      <c r="II105" s="62"/>
      <c r="IJ105" s="62"/>
      <c r="IK105" s="62"/>
      <c r="IL105" s="62"/>
      <c r="IM105" s="62"/>
      <c r="IN105" s="62"/>
      <c r="IO105" s="62"/>
      <c r="IP105" s="62"/>
      <c r="IQ105" s="62"/>
      <c r="IR105" s="62"/>
      <c r="IS105" s="62"/>
      <c r="IT105" s="62"/>
      <c r="IU105" s="62"/>
      <c r="IV105" s="62"/>
      <c r="IW105" s="62"/>
      <c r="IX105" s="62"/>
      <c r="IY105" s="62"/>
      <c r="IZ105" s="62"/>
      <c r="JA105" s="62"/>
      <c r="JB105" s="62"/>
      <c r="JC105" s="62"/>
      <c r="JD105" s="62"/>
      <c r="JE105" s="62"/>
      <c r="JF105" s="62"/>
      <c r="JG105" s="62"/>
      <c r="JH105" s="62"/>
      <c r="JI105" s="62"/>
      <c r="JJ105" s="62"/>
      <c r="JK105" s="62"/>
      <c r="JL105" s="62"/>
      <c r="JM105" s="62"/>
      <c r="JN105" s="62"/>
      <c r="JO105" s="62"/>
      <c r="JP105" s="62"/>
      <c r="JQ105" s="62"/>
      <c r="JR105" s="62"/>
      <c r="JS105" s="62"/>
      <c r="JT105" s="62"/>
      <c r="JU105" s="62"/>
      <c r="JV105" s="62"/>
      <c r="JW105" s="62"/>
      <c r="JX105" s="62"/>
      <c r="JY105" s="62"/>
      <c r="JZ105" s="62"/>
      <c r="KA105" s="62"/>
      <c r="KB105" s="62"/>
      <c r="KC105" s="62"/>
      <c r="KD105" s="62"/>
      <c r="KE105" s="62"/>
      <c r="KF105" s="62"/>
      <c r="KG105" s="62"/>
      <c r="KH105" s="62"/>
      <c r="KI105" s="62"/>
      <c r="KJ105" s="62"/>
      <c r="KK105" s="62"/>
      <c r="KL105" s="62"/>
      <c r="KM105" s="62"/>
      <c r="KN105" s="62"/>
      <c r="KO105" s="62"/>
      <c r="KP105" s="62"/>
      <c r="KQ105" s="62"/>
      <c r="KR105" s="62"/>
      <c r="KS105" s="62"/>
      <c r="KT105" s="62"/>
      <c r="KU105" s="62"/>
      <c r="KV105" s="62"/>
      <c r="KW105" s="62"/>
      <c r="KX105" s="62"/>
      <c r="KY105" s="62"/>
      <c r="KZ105" s="62"/>
      <c r="LA105" s="62"/>
      <c r="LB105" s="62"/>
      <c r="LC105" s="62"/>
      <c r="LD105" s="62"/>
      <c r="LE105" s="62"/>
      <c r="LF105" s="62"/>
      <c r="LG105" s="62"/>
      <c r="LH105" s="62"/>
      <c r="LI105" s="62"/>
    </row>
    <row r="106" spans="2:321" ht="45">
      <c r="D106" s="59">
        <v>4195</v>
      </c>
      <c r="E106" s="60" t="s">
        <v>417</v>
      </c>
      <c r="F106" s="67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9"/>
      <c r="R106" s="67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67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9"/>
      <c r="AP106" s="67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9"/>
      <c r="BB106" s="67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9"/>
      <c r="BN106" s="67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9"/>
      <c r="BZ106" s="67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7">
        <v>93141</v>
      </c>
      <c r="CM106" s="68">
        <v>100405</v>
      </c>
      <c r="CN106" s="68">
        <v>354830.72</v>
      </c>
      <c r="CO106" s="68">
        <v>93040.97</v>
      </c>
      <c r="CP106" s="68">
        <v>370969.75</v>
      </c>
      <c r="CQ106" s="68">
        <v>197877.4</v>
      </c>
      <c r="CR106" s="68">
        <v>128569.82</v>
      </c>
      <c r="CS106" s="68">
        <v>60149.8</v>
      </c>
      <c r="CT106" s="68">
        <v>128134.2</v>
      </c>
      <c r="CU106" s="68">
        <v>105791.52</v>
      </c>
      <c r="CV106" s="68">
        <v>63015.28</v>
      </c>
      <c r="CW106" s="69">
        <v>421589.13</v>
      </c>
      <c r="CX106" s="67">
        <v>18094.45</v>
      </c>
      <c r="CY106" s="68">
        <v>781093.97</v>
      </c>
      <c r="CZ106" s="68">
        <v>243754.39</v>
      </c>
      <c r="DA106" s="68">
        <v>263878.26</v>
      </c>
      <c r="DB106" s="68">
        <v>307914.58</v>
      </c>
      <c r="DC106" s="68">
        <v>876484.87</v>
      </c>
      <c r="DD106" s="68">
        <v>82955.009999999995</v>
      </c>
      <c r="DE106" s="68">
        <v>38274.800000000003</v>
      </c>
      <c r="DF106" s="68">
        <v>77971.78</v>
      </c>
      <c r="DG106" s="68">
        <v>163015.42000000001</v>
      </c>
      <c r="DH106" s="68">
        <v>167234.65</v>
      </c>
      <c r="DI106" s="69">
        <v>603732.94999999995</v>
      </c>
      <c r="DJ106" s="67">
        <v>18094.45</v>
      </c>
      <c r="DK106" s="68">
        <v>185989.63</v>
      </c>
      <c r="DL106" s="68">
        <v>830736.33</v>
      </c>
      <c r="DM106" s="68">
        <v>211719.16</v>
      </c>
      <c r="DN106" s="68">
        <v>368196.08</v>
      </c>
      <c r="DO106" s="68">
        <v>139821.4</v>
      </c>
      <c r="DP106" s="68">
        <v>792016.00000000105</v>
      </c>
      <c r="DQ106" s="68">
        <v>64773.39</v>
      </c>
      <c r="DR106" s="68">
        <v>79115.67</v>
      </c>
      <c r="DS106" s="68">
        <v>163015.42000000001</v>
      </c>
      <c r="DT106" s="68">
        <v>108837.84</v>
      </c>
      <c r="DU106" s="69">
        <v>464894.3</v>
      </c>
      <c r="DV106" s="61">
        <v>46481.02</v>
      </c>
      <c r="DW106" s="61">
        <v>663197.18999999994</v>
      </c>
      <c r="DX106" s="61">
        <v>559198.16</v>
      </c>
      <c r="DY106" s="61">
        <v>324292.07</v>
      </c>
      <c r="DZ106" s="79">
        <v>499860.9</v>
      </c>
      <c r="EB106" s="79"/>
      <c r="EC106" s="79"/>
      <c r="ED106" s="79"/>
      <c r="EE106" s="79"/>
      <c r="EF106" s="79"/>
      <c r="EG106" s="79"/>
      <c r="EH106" s="62"/>
      <c r="EI106" s="62"/>
      <c r="EJ106" s="62"/>
      <c r="EK106" s="62"/>
      <c r="EL106" s="62"/>
      <c r="EM106" s="62"/>
      <c r="EN106" s="62"/>
      <c r="EO106" s="62"/>
      <c r="EP106" s="62"/>
      <c r="EQ106" s="62"/>
      <c r="ER106" s="62"/>
      <c r="ES106" s="62"/>
      <c r="ET106" s="62"/>
      <c r="EU106" s="62"/>
      <c r="EV106" s="62"/>
      <c r="EW106" s="62"/>
      <c r="EX106" s="62"/>
      <c r="EY106" s="62"/>
      <c r="EZ106" s="62"/>
      <c r="FA106" s="62"/>
      <c r="FB106" s="62"/>
      <c r="FC106" s="62"/>
      <c r="FD106" s="62"/>
      <c r="FE106" s="62"/>
      <c r="FF106" s="62"/>
      <c r="FG106" s="62"/>
      <c r="FH106" s="62"/>
      <c r="FI106" s="62"/>
      <c r="FJ106" s="62"/>
      <c r="FK106" s="62"/>
      <c r="FL106" s="62"/>
      <c r="FM106" s="62"/>
      <c r="FN106" s="62"/>
      <c r="FO106" s="62"/>
      <c r="FP106" s="62"/>
      <c r="FQ106" s="62"/>
      <c r="FR106" s="62"/>
      <c r="FS106" s="62"/>
      <c r="FT106" s="62"/>
      <c r="FU106" s="62"/>
      <c r="FV106" s="62"/>
      <c r="FW106" s="62"/>
      <c r="FX106" s="62"/>
      <c r="FY106" s="62"/>
      <c r="FZ106" s="62"/>
      <c r="GA106" s="62"/>
      <c r="GB106" s="62"/>
      <c r="GC106" s="62"/>
      <c r="GD106" s="62"/>
      <c r="GF106" s="62"/>
      <c r="GG106" s="62"/>
      <c r="GH106" s="62"/>
      <c r="GI106" s="62"/>
      <c r="GJ106" s="62"/>
      <c r="GK106" s="62"/>
      <c r="GL106" s="62"/>
      <c r="GM106" s="62"/>
      <c r="GN106" s="62"/>
      <c r="GO106" s="62"/>
      <c r="GP106" s="62"/>
      <c r="GQ106" s="62"/>
      <c r="GR106" s="62"/>
      <c r="GS106" s="62"/>
      <c r="GT106" s="62"/>
      <c r="GU106" s="62"/>
      <c r="GV106" s="62"/>
      <c r="GW106" s="62"/>
      <c r="GX106" s="62"/>
      <c r="GY106" s="62"/>
      <c r="GZ106" s="62"/>
      <c r="HA106" s="62"/>
      <c r="HB106" s="62"/>
      <c r="HC106" s="62"/>
      <c r="HD106" s="62"/>
      <c r="HE106" s="62"/>
      <c r="HF106" s="62"/>
      <c r="HG106" s="62"/>
      <c r="HH106" s="62"/>
      <c r="HI106" s="62"/>
      <c r="HJ106" s="62"/>
      <c r="HK106" s="62"/>
      <c r="HL106" s="62"/>
      <c r="HM106" s="62"/>
      <c r="HN106" s="62"/>
      <c r="HO106" s="62"/>
      <c r="HP106" s="62"/>
      <c r="HQ106" s="62"/>
      <c r="HR106" s="62"/>
      <c r="HS106" s="62"/>
      <c r="HT106" s="62"/>
      <c r="HU106" s="62"/>
      <c r="HV106" s="62"/>
      <c r="HW106" s="62"/>
      <c r="HX106" s="62"/>
      <c r="HY106" s="62"/>
      <c r="HZ106" s="62"/>
      <c r="IA106" s="62"/>
      <c r="IB106" s="62"/>
      <c r="IC106" s="62"/>
      <c r="ID106" s="62"/>
      <c r="IE106" s="62"/>
      <c r="IF106" s="62"/>
      <c r="IG106" s="62"/>
      <c r="IH106" s="62"/>
      <c r="II106" s="62"/>
      <c r="IJ106" s="62"/>
      <c r="IK106" s="62"/>
      <c r="IL106" s="62"/>
      <c r="IM106" s="62"/>
      <c r="IN106" s="62"/>
      <c r="IO106" s="62"/>
      <c r="IP106" s="62"/>
      <c r="IQ106" s="62"/>
      <c r="IR106" s="62"/>
      <c r="IS106" s="62"/>
      <c r="IT106" s="62"/>
      <c r="IU106" s="62"/>
      <c r="IV106" s="62"/>
      <c r="IW106" s="62"/>
      <c r="IX106" s="62"/>
      <c r="IY106" s="62"/>
      <c r="IZ106" s="62"/>
      <c r="JA106" s="62"/>
      <c r="JB106" s="62"/>
      <c r="JC106" s="62"/>
      <c r="JD106" s="62"/>
      <c r="JE106" s="62"/>
      <c r="JF106" s="62"/>
      <c r="JG106" s="62"/>
      <c r="JH106" s="62"/>
      <c r="JI106" s="62"/>
      <c r="JJ106" s="62"/>
      <c r="JK106" s="62"/>
      <c r="JL106" s="62"/>
      <c r="JM106" s="62"/>
      <c r="JN106" s="62"/>
      <c r="JO106" s="62"/>
      <c r="JP106" s="62"/>
      <c r="JQ106" s="62"/>
      <c r="JR106" s="62"/>
      <c r="JS106" s="62"/>
      <c r="JT106" s="62"/>
      <c r="JU106" s="62"/>
      <c r="JV106" s="62"/>
      <c r="JW106" s="62"/>
      <c r="JX106" s="62"/>
      <c r="JY106" s="62"/>
      <c r="JZ106" s="62"/>
      <c r="KA106" s="62"/>
      <c r="KB106" s="62"/>
      <c r="KC106" s="62"/>
      <c r="KD106" s="62"/>
      <c r="KE106" s="62"/>
      <c r="KF106" s="62"/>
      <c r="KG106" s="62"/>
      <c r="KH106" s="62"/>
      <c r="KI106" s="62"/>
      <c r="KJ106" s="62"/>
      <c r="KK106" s="62"/>
      <c r="KL106" s="62"/>
      <c r="KM106" s="62"/>
      <c r="KN106" s="62"/>
      <c r="KO106" s="62"/>
      <c r="KP106" s="62"/>
      <c r="KQ106" s="62"/>
      <c r="KR106" s="62"/>
      <c r="KS106" s="62"/>
      <c r="KT106" s="62"/>
      <c r="KU106" s="62"/>
      <c r="KV106" s="62"/>
      <c r="KW106" s="62"/>
      <c r="KX106" s="62"/>
      <c r="KY106" s="62"/>
      <c r="KZ106" s="62"/>
      <c r="LA106" s="62"/>
      <c r="LB106" s="62"/>
      <c r="LC106" s="62"/>
      <c r="LD106" s="62"/>
      <c r="LE106" s="62"/>
      <c r="LF106" s="62"/>
      <c r="LG106" s="62"/>
      <c r="LH106" s="62"/>
      <c r="LI106" s="62"/>
    </row>
    <row r="107" spans="2:321">
      <c r="D107" s="59">
        <v>4196</v>
      </c>
      <c r="E107" s="60" t="s">
        <v>418</v>
      </c>
      <c r="F107" s="67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9"/>
      <c r="R107" s="67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67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9"/>
      <c r="AP107" s="67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9"/>
      <c r="BB107" s="67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9"/>
      <c r="BN107" s="67"/>
      <c r="BO107" s="68"/>
      <c r="BP107" s="68"/>
      <c r="BQ107" s="68"/>
      <c r="BR107" s="68"/>
      <c r="BS107" s="68"/>
      <c r="BT107" s="68"/>
      <c r="BU107" s="68"/>
      <c r="BV107" s="68"/>
      <c r="BW107" s="68"/>
      <c r="BX107" s="68"/>
      <c r="BY107" s="69"/>
      <c r="BZ107" s="67"/>
      <c r="CA107" s="68"/>
      <c r="CB107" s="68"/>
      <c r="CC107" s="68"/>
      <c r="CD107" s="68"/>
      <c r="CE107" s="68"/>
      <c r="CF107" s="68"/>
      <c r="CG107" s="68"/>
      <c r="CH107" s="68"/>
      <c r="CI107" s="68"/>
      <c r="CJ107" s="68"/>
      <c r="CK107" s="68"/>
      <c r="CL107" s="67">
        <v>16855.89</v>
      </c>
      <c r="CM107" s="68">
        <v>488417.16</v>
      </c>
      <c r="CN107" s="68">
        <v>270649.38</v>
      </c>
      <c r="CO107" s="68">
        <v>232355.6</v>
      </c>
      <c r="CP107" s="68">
        <v>486860.77000000101</v>
      </c>
      <c r="CQ107" s="68">
        <v>195989.45</v>
      </c>
      <c r="CR107" s="68">
        <v>127166.01</v>
      </c>
      <c r="CS107" s="68">
        <v>510335.65</v>
      </c>
      <c r="CT107" s="68">
        <v>294412.88</v>
      </c>
      <c r="CU107" s="68">
        <v>306769.03999999998</v>
      </c>
      <c r="CV107" s="68">
        <v>85744.7</v>
      </c>
      <c r="CW107" s="69">
        <v>459162.55</v>
      </c>
      <c r="CX107" s="67">
        <v>82404.14</v>
      </c>
      <c r="CY107" s="68">
        <v>514367.6</v>
      </c>
      <c r="CZ107" s="68">
        <v>205539.01</v>
      </c>
      <c r="DA107" s="68">
        <v>494562</v>
      </c>
      <c r="DB107" s="68">
        <v>205525.66</v>
      </c>
      <c r="DC107" s="68">
        <v>255324.06</v>
      </c>
      <c r="DD107" s="68">
        <v>399004.36</v>
      </c>
      <c r="DE107" s="68">
        <v>166337.51</v>
      </c>
      <c r="DF107" s="68">
        <v>363644.64</v>
      </c>
      <c r="DG107" s="68">
        <v>325797.89</v>
      </c>
      <c r="DH107" s="68">
        <v>433189.63</v>
      </c>
      <c r="DI107" s="69">
        <v>920103.55000000098</v>
      </c>
      <c r="DJ107" s="67">
        <v>80605.89</v>
      </c>
      <c r="DK107" s="68">
        <v>366165.37</v>
      </c>
      <c r="DL107" s="68">
        <v>277701.42</v>
      </c>
      <c r="DM107" s="68">
        <v>490653.97</v>
      </c>
      <c r="DN107" s="68">
        <v>198213.58</v>
      </c>
      <c r="DO107" s="68">
        <v>208544.98</v>
      </c>
      <c r="DP107" s="68">
        <v>235383.75</v>
      </c>
      <c r="DQ107" s="68">
        <v>373719.19</v>
      </c>
      <c r="DR107" s="68">
        <v>351863.64</v>
      </c>
      <c r="DS107" s="68">
        <v>339805.99</v>
      </c>
      <c r="DT107" s="68">
        <v>432965.8</v>
      </c>
      <c r="DU107" s="69">
        <v>534986.68000000005</v>
      </c>
      <c r="DV107" s="61">
        <v>27282.98</v>
      </c>
      <c r="DW107" s="61">
        <v>209127.42</v>
      </c>
      <c r="DX107" s="61">
        <v>440465.11</v>
      </c>
      <c r="DY107" s="61">
        <v>391949.36</v>
      </c>
      <c r="DZ107" s="79">
        <v>223309.31</v>
      </c>
      <c r="EB107" s="79"/>
      <c r="EC107" s="79"/>
      <c r="ED107" s="79"/>
      <c r="EE107" s="79"/>
      <c r="EF107" s="79"/>
      <c r="EG107" s="79"/>
      <c r="EH107" s="62"/>
      <c r="EI107" s="62"/>
      <c r="EJ107" s="62"/>
      <c r="EK107" s="62"/>
      <c r="EL107" s="62"/>
      <c r="EM107" s="62"/>
      <c r="EN107" s="62"/>
      <c r="EO107" s="62"/>
      <c r="EP107" s="62"/>
      <c r="EQ107" s="62"/>
      <c r="ER107" s="62"/>
      <c r="ES107" s="62"/>
      <c r="ET107" s="62"/>
      <c r="EU107" s="62"/>
      <c r="EV107" s="62"/>
      <c r="EW107" s="62"/>
      <c r="EX107" s="62"/>
      <c r="EY107" s="62"/>
      <c r="EZ107" s="62"/>
      <c r="FA107" s="62"/>
      <c r="FB107" s="62"/>
      <c r="FC107" s="62"/>
      <c r="FD107" s="62"/>
      <c r="FE107" s="62"/>
      <c r="FF107" s="62"/>
      <c r="FG107" s="62"/>
      <c r="FH107" s="62"/>
      <c r="FI107" s="62"/>
      <c r="FJ107" s="62"/>
      <c r="FK107" s="62"/>
      <c r="FL107" s="62"/>
      <c r="FM107" s="62"/>
      <c r="FN107" s="62"/>
      <c r="FO107" s="62"/>
      <c r="FP107" s="62"/>
      <c r="FQ107" s="62"/>
      <c r="FR107" s="62"/>
      <c r="FS107" s="62"/>
      <c r="FT107" s="62"/>
      <c r="FU107" s="62"/>
      <c r="FV107" s="62"/>
      <c r="FW107" s="62"/>
      <c r="FX107" s="62"/>
      <c r="FY107" s="62"/>
      <c r="FZ107" s="62"/>
      <c r="GA107" s="62"/>
      <c r="GB107" s="62"/>
      <c r="GC107" s="62"/>
      <c r="GD107" s="62"/>
      <c r="GF107" s="62"/>
      <c r="GG107" s="62"/>
      <c r="GH107" s="62"/>
      <c r="GI107" s="62"/>
      <c r="GJ107" s="62"/>
      <c r="GK107" s="62"/>
      <c r="GL107" s="62"/>
      <c r="GM107" s="62"/>
      <c r="GN107" s="62"/>
      <c r="GO107" s="62"/>
      <c r="GP107" s="62"/>
      <c r="GQ107" s="62"/>
      <c r="GR107" s="62"/>
      <c r="GS107" s="62"/>
      <c r="GT107" s="62"/>
      <c r="GU107" s="62"/>
      <c r="GV107" s="62"/>
      <c r="GW107" s="62"/>
      <c r="GX107" s="62"/>
      <c r="GY107" s="62"/>
      <c r="GZ107" s="62"/>
      <c r="HA107" s="62"/>
      <c r="HB107" s="62"/>
      <c r="HC107" s="62"/>
      <c r="HD107" s="62"/>
      <c r="HE107" s="62"/>
      <c r="HF107" s="62"/>
      <c r="HG107" s="62"/>
      <c r="HH107" s="62"/>
      <c r="HI107" s="62"/>
      <c r="HJ107" s="62"/>
      <c r="HK107" s="62"/>
      <c r="HL107" s="62"/>
      <c r="HM107" s="62"/>
      <c r="HN107" s="62"/>
      <c r="HO107" s="62"/>
      <c r="HP107" s="62"/>
      <c r="HQ107" s="62"/>
      <c r="HR107" s="62"/>
      <c r="HS107" s="62"/>
      <c r="HT107" s="62"/>
      <c r="HU107" s="62"/>
      <c r="HV107" s="62"/>
      <c r="HW107" s="62"/>
      <c r="HX107" s="62"/>
      <c r="HY107" s="62"/>
      <c r="HZ107" s="62"/>
      <c r="IA107" s="62"/>
      <c r="IB107" s="62"/>
      <c r="IC107" s="62"/>
      <c r="ID107" s="62"/>
      <c r="IE107" s="62"/>
      <c r="IF107" s="62"/>
      <c r="IG107" s="62"/>
      <c r="IH107" s="62"/>
      <c r="II107" s="62"/>
      <c r="IJ107" s="62"/>
      <c r="IK107" s="62"/>
      <c r="IL107" s="62"/>
      <c r="IM107" s="62"/>
      <c r="IN107" s="62"/>
      <c r="IO107" s="62"/>
      <c r="IP107" s="62"/>
      <c r="IQ107" s="62"/>
      <c r="IR107" s="62"/>
      <c r="IS107" s="62"/>
      <c r="IT107" s="62"/>
      <c r="IU107" s="62"/>
      <c r="IV107" s="62"/>
      <c r="IW107" s="62"/>
      <c r="IX107" s="62"/>
      <c r="IY107" s="62"/>
      <c r="IZ107" s="62"/>
      <c r="JA107" s="62"/>
      <c r="JB107" s="62"/>
      <c r="JC107" s="62"/>
      <c r="JD107" s="62"/>
      <c r="JE107" s="62"/>
      <c r="JF107" s="62"/>
      <c r="JG107" s="62"/>
      <c r="JH107" s="62"/>
      <c r="JI107" s="62"/>
      <c r="JJ107" s="62"/>
      <c r="JK107" s="62"/>
      <c r="JL107" s="62"/>
      <c r="JM107" s="62"/>
      <c r="JN107" s="62"/>
      <c r="JO107" s="62"/>
      <c r="JP107" s="62"/>
      <c r="JQ107" s="62"/>
      <c r="JR107" s="62"/>
      <c r="JS107" s="62"/>
      <c r="JT107" s="62"/>
      <c r="JU107" s="62"/>
      <c r="JV107" s="62"/>
      <c r="JW107" s="62"/>
      <c r="JX107" s="62"/>
      <c r="JY107" s="62"/>
      <c r="JZ107" s="62"/>
      <c r="KA107" s="62"/>
      <c r="KB107" s="62"/>
      <c r="KC107" s="62"/>
      <c r="KD107" s="62"/>
      <c r="KE107" s="62"/>
      <c r="KF107" s="62"/>
      <c r="KG107" s="62"/>
      <c r="KH107" s="62"/>
      <c r="KI107" s="62"/>
      <c r="KJ107" s="62"/>
      <c r="KK107" s="62"/>
      <c r="KL107" s="62"/>
      <c r="KM107" s="62"/>
      <c r="KN107" s="62"/>
      <c r="KO107" s="62"/>
      <c r="KP107" s="62"/>
      <c r="KQ107" s="62"/>
      <c r="KR107" s="62"/>
      <c r="KS107" s="62"/>
      <c r="KT107" s="62"/>
      <c r="KU107" s="62"/>
      <c r="KV107" s="62"/>
      <c r="KW107" s="62"/>
      <c r="KX107" s="62"/>
      <c r="KY107" s="62"/>
      <c r="KZ107" s="62"/>
      <c r="LA107" s="62"/>
      <c r="LB107" s="62"/>
      <c r="LC107" s="62"/>
      <c r="LD107" s="62"/>
      <c r="LE107" s="62"/>
      <c r="LF107" s="62"/>
      <c r="LG107" s="62"/>
      <c r="LH107" s="62"/>
      <c r="LI107" s="62"/>
    </row>
    <row r="108" spans="2:321">
      <c r="D108" s="59">
        <v>4197</v>
      </c>
      <c r="E108" s="60" t="s">
        <v>419</v>
      </c>
      <c r="F108" s="67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9"/>
      <c r="R108" s="67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67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9"/>
      <c r="AP108" s="67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9"/>
      <c r="BB108" s="67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9"/>
      <c r="BN108" s="67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9"/>
      <c r="BZ108" s="67"/>
      <c r="CA108" s="68"/>
      <c r="CB108" s="68"/>
      <c r="CC108" s="68"/>
      <c r="CD108" s="68"/>
      <c r="CE108" s="68"/>
      <c r="CF108" s="68"/>
      <c r="CG108" s="68"/>
      <c r="CH108" s="68"/>
      <c r="CI108" s="68"/>
      <c r="CJ108" s="68"/>
      <c r="CK108" s="68"/>
      <c r="CL108" s="67">
        <v>33.340000000000003</v>
      </c>
      <c r="CM108" s="68">
        <v>33.340000000000003</v>
      </c>
      <c r="CN108" s="68">
        <v>33.340000000000003</v>
      </c>
      <c r="CO108" s="68">
        <v>33.340000000000003</v>
      </c>
      <c r="CP108" s="68">
        <v>33.340000000000003</v>
      </c>
      <c r="CQ108" s="68">
        <v>33.340000000000003</v>
      </c>
      <c r="CR108" s="68">
        <v>0</v>
      </c>
      <c r="CS108" s="68">
        <v>33.340000000000003</v>
      </c>
      <c r="CT108" s="68">
        <v>16.670000000000002</v>
      </c>
      <c r="CU108" s="68">
        <v>0</v>
      </c>
      <c r="CV108" s="68">
        <v>16.670000000000002</v>
      </c>
      <c r="CW108" s="69">
        <v>0</v>
      </c>
      <c r="CX108" s="67">
        <v>41.67</v>
      </c>
      <c r="CY108" s="68">
        <v>291.67</v>
      </c>
      <c r="CZ108" s="68">
        <v>161.66999999999999</v>
      </c>
      <c r="DA108" s="68">
        <v>66.67</v>
      </c>
      <c r="DB108" s="68">
        <v>66.67</v>
      </c>
      <c r="DC108" s="68">
        <v>291.67</v>
      </c>
      <c r="DD108" s="68">
        <v>41.67</v>
      </c>
      <c r="DE108" s="68">
        <v>41.67</v>
      </c>
      <c r="DF108" s="68">
        <v>41.67</v>
      </c>
      <c r="DG108" s="68">
        <v>41.67</v>
      </c>
      <c r="DH108" s="68">
        <v>41.67</v>
      </c>
      <c r="DI108" s="69">
        <v>319.88</v>
      </c>
      <c r="DJ108" s="67">
        <v>41.67</v>
      </c>
      <c r="DK108" s="68">
        <v>291.67</v>
      </c>
      <c r="DL108" s="68">
        <v>161.66999999999999</v>
      </c>
      <c r="DM108" s="68">
        <v>66.67</v>
      </c>
      <c r="DN108" s="68">
        <v>66.67</v>
      </c>
      <c r="DO108" s="68">
        <v>291.67</v>
      </c>
      <c r="DP108" s="68">
        <v>41.67</v>
      </c>
      <c r="DQ108" s="68">
        <v>41.67</v>
      </c>
      <c r="DR108" s="68">
        <v>41.67</v>
      </c>
      <c r="DS108" s="68">
        <v>41.67</v>
      </c>
      <c r="DT108" s="68">
        <v>41.67</v>
      </c>
      <c r="DU108" s="69">
        <v>41.63</v>
      </c>
      <c r="DV108" s="61">
        <v>41.67</v>
      </c>
      <c r="DW108" s="61">
        <v>41.67</v>
      </c>
      <c r="DX108" s="61">
        <v>41.67</v>
      </c>
      <c r="DY108" s="61">
        <v>41.67</v>
      </c>
      <c r="DZ108" s="79">
        <v>941.67</v>
      </c>
      <c r="EB108" s="79"/>
      <c r="EC108" s="79"/>
      <c r="ED108" s="79"/>
      <c r="EE108" s="79"/>
      <c r="EF108" s="79"/>
      <c r="EG108" s="79"/>
      <c r="EH108" s="62"/>
      <c r="EI108" s="62"/>
      <c r="EJ108" s="62"/>
      <c r="EK108" s="62"/>
      <c r="EL108" s="62"/>
      <c r="EM108" s="62"/>
      <c r="EN108" s="62"/>
      <c r="EO108" s="62"/>
      <c r="EP108" s="62"/>
      <c r="EQ108" s="62"/>
      <c r="ER108" s="62"/>
      <c r="ES108" s="62"/>
      <c r="ET108" s="62"/>
      <c r="EU108" s="62"/>
      <c r="EV108" s="62"/>
      <c r="EW108" s="62"/>
      <c r="EX108" s="62"/>
      <c r="EY108" s="62"/>
      <c r="EZ108" s="62"/>
      <c r="FA108" s="62"/>
      <c r="FB108" s="62"/>
      <c r="FC108" s="62"/>
      <c r="FD108" s="62"/>
      <c r="FE108" s="62"/>
      <c r="FF108" s="62"/>
      <c r="FG108" s="62"/>
      <c r="FH108" s="62"/>
      <c r="FI108" s="62"/>
      <c r="FJ108" s="62"/>
      <c r="FK108" s="62"/>
      <c r="FL108" s="62"/>
      <c r="FM108" s="62"/>
      <c r="FN108" s="62"/>
      <c r="FO108" s="62"/>
      <c r="FP108" s="62"/>
      <c r="FQ108" s="62"/>
      <c r="FR108" s="62"/>
      <c r="FS108" s="62"/>
      <c r="FT108" s="62"/>
      <c r="FU108" s="62"/>
      <c r="FV108" s="62"/>
      <c r="FW108" s="62"/>
      <c r="FX108" s="62"/>
      <c r="FY108" s="62"/>
      <c r="FZ108" s="62"/>
      <c r="GA108" s="62"/>
      <c r="GB108" s="62"/>
      <c r="GC108" s="62"/>
      <c r="GD108" s="62"/>
      <c r="GF108" s="62"/>
      <c r="GG108" s="62"/>
      <c r="GH108" s="62"/>
      <c r="GI108" s="62"/>
      <c r="GJ108" s="62"/>
      <c r="GK108" s="62"/>
      <c r="GL108" s="62"/>
      <c r="GM108" s="62"/>
      <c r="GN108" s="62"/>
      <c r="GO108" s="62"/>
      <c r="GP108" s="62"/>
      <c r="GQ108" s="62"/>
      <c r="GR108" s="62"/>
      <c r="GS108" s="62"/>
      <c r="GT108" s="62"/>
      <c r="GU108" s="62"/>
      <c r="GV108" s="62"/>
      <c r="GW108" s="62"/>
      <c r="GX108" s="62"/>
      <c r="GY108" s="62"/>
      <c r="GZ108" s="62"/>
      <c r="HA108" s="62"/>
      <c r="HB108" s="62"/>
      <c r="HC108" s="62"/>
      <c r="HD108" s="62"/>
      <c r="HE108" s="62"/>
      <c r="HF108" s="62"/>
      <c r="HG108" s="62"/>
      <c r="HH108" s="62"/>
      <c r="HI108" s="62"/>
      <c r="HJ108" s="62"/>
      <c r="HK108" s="62"/>
      <c r="HL108" s="62"/>
      <c r="HM108" s="62"/>
      <c r="HN108" s="62"/>
      <c r="HO108" s="62"/>
      <c r="HP108" s="62"/>
      <c r="HQ108" s="62"/>
      <c r="HR108" s="62"/>
      <c r="HS108" s="62"/>
      <c r="HT108" s="62"/>
      <c r="HU108" s="62"/>
      <c r="HV108" s="62"/>
      <c r="HW108" s="62"/>
      <c r="HX108" s="62"/>
      <c r="HY108" s="62"/>
      <c r="HZ108" s="62"/>
      <c r="IA108" s="62"/>
      <c r="IB108" s="62"/>
      <c r="IC108" s="62"/>
      <c r="ID108" s="62"/>
      <c r="IE108" s="62"/>
      <c r="IF108" s="62"/>
      <c r="IG108" s="62"/>
      <c r="IH108" s="62"/>
      <c r="II108" s="62"/>
      <c r="IJ108" s="62"/>
      <c r="IK108" s="62"/>
      <c r="IL108" s="62"/>
      <c r="IM108" s="62"/>
      <c r="IN108" s="62"/>
      <c r="IO108" s="62"/>
      <c r="IP108" s="62"/>
      <c r="IQ108" s="62"/>
      <c r="IR108" s="62"/>
      <c r="IS108" s="62"/>
      <c r="IT108" s="62"/>
      <c r="IU108" s="62"/>
      <c r="IV108" s="62"/>
      <c r="IW108" s="62"/>
      <c r="IX108" s="62"/>
      <c r="IY108" s="62"/>
      <c r="IZ108" s="62"/>
      <c r="JA108" s="62"/>
      <c r="JB108" s="62"/>
      <c r="JC108" s="62"/>
      <c r="JD108" s="62"/>
      <c r="JE108" s="62"/>
      <c r="JF108" s="62"/>
      <c r="JG108" s="62"/>
      <c r="JH108" s="62"/>
      <c r="JI108" s="62"/>
      <c r="JJ108" s="62"/>
      <c r="JK108" s="62"/>
      <c r="JL108" s="62"/>
      <c r="JM108" s="62"/>
      <c r="JN108" s="62"/>
      <c r="JO108" s="62"/>
      <c r="JP108" s="62"/>
      <c r="JQ108" s="62"/>
      <c r="JR108" s="62"/>
      <c r="JS108" s="62"/>
      <c r="JT108" s="62"/>
      <c r="JU108" s="62"/>
      <c r="JV108" s="62"/>
      <c r="JW108" s="62"/>
      <c r="JX108" s="62"/>
      <c r="JY108" s="62"/>
      <c r="JZ108" s="62"/>
      <c r="KA108" s="62"/>
      <c r="KB108" s="62"/>
      <c r="KC108" s="62"/>
      <c r="KD108" s="62"/>
      <c r="KE108" s="62"/>
      <c r="KF108" s="62"/>
      <c r="KG108" s="62"/>
      <c r="KH108" s="62"/>
      <c r="KI108" s="62"/>
      <c r="KJ108" s="62"/>
      <c r="KK108" s="62"/>
      <c r="KL108" s="62"/>
      <c r="KM108" s="62"/>
      <c r="KN108" s="62"/>
      <c r="KO108" s="62"/>
      <c r="KP108" s="62"/>
      <c r="KQ108" s="62"/>
      <c r="KR108" s="62"/>
      <c r="KS108" s="62"/>
      <c r="KT108" s="62"/>
      <c r="KU108" s="62"/>
      <c r="KV108" s="62"/>
      <c r="KW108" s="62"/>
      <c r="KX108" s="62"/>
      <c r="KY108" s="62"/>
      <c r="KZ108" s="62"/>
      <c r="LA108" s="62"/>
      <c r="LB108" s="62"/>
      <c r="LC108" s="62"/>
      <c r="LD108" s="62"/>
      <c r="LE108" s="62"/>
      <c r="LF108" s="62"/>
      <c r="LG108" s="62"/>
      <c r="LH108" s="62"/>
      <c r="LI108" s="62"/>
    </row>
    <row r="109" spans="2:321">
      <c r="D109" s="59">
        <v>4198</v>
      </c>
      <c r="E109" s="60" t="s">
        <v>140</v>
      </c>
      <c r="F109" s="67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9"/>
      <c r="R109" s="67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67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9"/>
      <c r="AP109" s="67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9"/>
      <c r="BB109" s="67"/>
      <c r="BC109" s="68"/>
      <c r="BD109" s="68"/>
      <c r="BE109" s="68"/>
      <c r="BF109" s="68"/>
      <c r="BG109" s="68"/>
      <c r="BH109" s="68"/>
      <c r="BI109" s="68"/>
      <c r="BJ109" s="68"/>
      <c r="BK109" s="68"/>
      <c r="BL109" s="68"/>
      <c r="BM109" s="69"/>
      <c r="BN109" s="67"/>
      <c r="BO109" s="68"/>
      <c r="BP109" s="68"/>
      <c r="BQ109" s="68"/>
      <c r="BR109" s="68"/>
      <c r="BS109" s="68"/>
      <c r="BT109" s="68"/>
      <c r="BU109" s="68"/>
      <c r="BV109" s="68"/>
      <c r="BW109" s="68"/>
      <c r="BX109" s="68"/>
      <c r="BY109" s="69"/>
      <c r="BZ109" s="67"/>
      <c r="CA109" s="68"/>
      <c r="CB109" s="68"/>
      <c r="CC109" s="68"/>
      <c r="CD109" s="68"/>
      <c r="CE109" s="68"/>
      <c r="CF109" s="68"/>
      <c r="CG109" s="68"/>
      <c r="CH109" s="68"/>
      <c r="CI109" s="68"/>
      <c r="CJ109" s="68"/>
      <c r="CK109" s="68"/>
      <c r="CL109" s="67">
        <v>283.26</v>
      </c>
      <c r="CM109" s="68">
        <v>288.33</v>
      </c>
      <c r="CN109" s="68">
        <v>313.27</v>
      </c>
      <c r="CO109" s="68">
        <v>343.33</v>
      </c>
      <c r="CP109" s="68">
        <v>280</v>
      </c>
      <c r="CQ109" s="68">
        <v>313.33999999999997</v>
      </c>
      <c r="CR109" s="68">
        <v>285</v>
      </c>
      <c r="CS109" s="68">
        <v>353.33</v>
      </c>
      <c r="CT109" s="68">
        <v>280</v>
      </c>
      <c r="CU109" s="68">
        <v>291</v>
      </c>
      <c r="CV109" s="68">
        <v>830</v>
      </c>
      <c r="CW109" s="69">
        <v>1054.77</v>
      </c>
      <c r="CX109" s="67">
        <v>325.01</v>
      </c>
      <c r="CY109" s="68">
        <v>1449.4</v>
      </c>
      <c r="CZ109" s="68">
        <v>801.17</v>
      </c>
      <c r="DA109" s="68">
        <v>802.67</v>
      </c>
      <c r="DB109" s="68">
        <v>525.79999999999995</v>
      </c>
      <c r="DC109" s="68">
        <v>921.28</v>
      </c>
      <c r="DD109" s="68">
        <v>968.16</v>
      </c>
      <c r="DE109" s="68">
        <v>1235.76</v>
      </c>
      <c r="DF109" s="68">
        <v>1464.94</v>
      </c>
      <c r="DG109" s="68">
        <v>1103.46</v>
      </c>
      <c r="DH109" s="68">
        <v>876.77</v>
      </c>
      <c r="DI109" s="69">
        <v>2647.24</v>
      </c>
      <c r="DJ109" s="67">
        <v>325.01</v>
      </c>
      <c r="DK109" s="68">
        <v>1419.4</v>
      </c>
      <c r="DL109" s="68">
        <v>831.17</v>
      </c>
      <c r="DM109" s="68">
        <v>802.67</v>
      </c>
      <c r="DN109" s="68">
        <v>525.79999999999995</v>
      </c>
      <c r="DO109" s="68">
        <v>921.28</v>
      </c>
      <c r="DP109" s="68">
        <v>798.71</v>
      </c>
      <c r="DQ109" s="68">
        <v>1405.21</v>
      </c>
      <c r="DR109" s="68">
        <v>1454.94</v>
      </c>
      <c r="DS109" s="68">
        <v>1113.46</v>
      </c>
      <c r="DT109" s="68">
        <v>876.77</v>
      </c>
      <c r="DU109" s="69">
        <v>3010.44</v>
      </c>
      <c r="DV109" s="61">
        <v>245.01</v>
      </c>
      <c r="DW109" s="61">
        <v>954.09</v>
      </c>
      <c r="DX109" s="61">
        <v>1024.1500000000001</v>
      </c>
      <c r="DY109" s="61">
        <v>656.58</v>
      </c>
      <c r="DZ109" s="79">
        <v>1660.12</v>
      </c>
      <c r="EB109" s="79"/>
      <c r="EC109" s="79"/>
      <c r="ED109" s="79"/>
      <c r="EE109" s="79"/>
      <c r="EF109" s="79"/>
      <c r="EG109" s="79"/>
      <c r="EH109" s="62"/>
      <c r="EI109" s="62"/>
      <c r="EJ109" s="62"/>
      <c r="EK109" s="62"/>
      <c r="EL109" s="62"/>
      <c r="EM109" s="62"/>
      <c r="EN109" s="62"/>
      <c r="EO109" s="62"/>
      <c r="EP109" s="62"/>
      <c r="EQ109" s="62"/>
      <c r="ER109" s="62"/>
      <c r="ES109" s="62"/>
      <c r="ET109" s="62"/>
      <c r="EU109" s="62"/>
      <c r="EV109" s="62"/>
      <c r="EW109" s="62"/>
      <c r="EX109" s="62"/>
      <c r="EY109" s="62"/>
      <c r="EZ109" s="62"/>
      <c r="FA109" s="62"/>
      <c r="FB109" s="62"/>
      <c r="FC109" s="62"/>
      <c r="FD109" s="62"/>
      <c r="FE109" s="62"/>
      <c r="FF109" s="62"/>
      <c r="FG109" s="62"/>
      <c r="FH109" s="62"/>
      <c r="FI109" s="62"/>
      <c r="FJ109" s="62"/>
      <c r="FK109" s="62"/>
      <c r="FL109" s="62"/>
      <c r="FM109" s="62"/>
      <c r="FN109" s="62"/>
      <c r="FO109" s="62"/>
      <c r="FP109" s="62"/>
      <c r="FQ109" s="62"/>
      <c r="FR109" s="62"/>
      <c r="FS109" s="62"/>
      <c r="FT109" s="62"/>
      <c r="FU109" s="62"/>
      <c r="FV109" s="62"/>
      <c r="FW109" s="62"/>
      <c r="FX109" s="62"/>
      <c r="FY109" s="62"/>
      <c r="FZ109" s="62"/>
      <c r="GA109" s="62"/>
      <c r="GB109" s="62"/>
      <c r="GC109" s="62"/>
      <c r="GD109" s="62"/>
      <c r="GF109" s="62"/>
      <c r="GG109" s="62"/>
      <c r="GH109" s="62"/>
      <c r="GI109" s="62"/>
      <c r="GJ109" s="62"/>
      <c r="GK109" s="62"/>
      <c r="GL109" s="62"/>
      <c r="GM109" s="62"/>
      <c r="GN109" s="62"/>
      <c r="GO109" s="62"/>
      <c r="GP109" s="62"/>
      <c r="GQ109" s="62"/>
      <c r="GR109" s="62"/>
      <c r="GS109" s="62"/>
      <c r="GT109" s="62"/>
      <c r="GU109" s="62"/>
      <c r="GV109" s="62"/>
      <c r="GW109" s="62"/>
      <c r="GX109" s="62"/>
      <c r="GY109" s="62"/>
      <c r="GZ109" s="62"/>
      <c r="HA109" s="62"/>
      <c r="HB109" s="62"/>
      <c r="HC109" s="62"/>
      <c r="HD109" s="62"/>
      <c r="HE109" s="62"/>
      <c r="HF109" s="62"/>
      <c r="HG109" s="62"/>
      <c r="HH109" s="62"/>
      <c r="HI109" s="62"/>
      <c r="HJ109" s="62"/>
      <c r="HK109" s="62"/>
      <c r="HL109" s="62"/>
      <c r="HM109" s="62"/>
      <c r="HN109" s="62"/>
      <c r="HO109" s="62"/>
      <c r="HP109" s="62"/>
      <c r="HQ109" s="62"/>
      <c r="HR109" s="62"/>
      <c r="HS109" s="62"/>
      <c r="HT109" s="62"/>
      <c r="HU109" s="62"/>
      <c r="HV109" s="62"/>
      <c r="HW109" s="62"/>
      <c r="HX109" s="62"/>
      <c r="HY109" s="62"/>
      <c r="HZ109" s="62"/>
      <c r="IA109" s="62"/>
      <c r="IB109" s="62"/>
      <c r="IC109" s="62"/>
      <c r="ID109" s="62"/>
      <c r="IE109" s="62"/>
      <c r="IF109" s="62"/>
      <c r="IG109" s="62"/>
      <c r="IH109" s="62"/>
      <c r="II109" s="62"/>
      <c r="IJ109" s="62"/>
      <c r="IK109" s="62"/>
      <c r="IL109" s="62"/>
      <c r="IM109" s="62"/>
      <c r="IN109" s="62"/>
      <c r="IO109" s="62"/>
      <c r="IP109" s="62"/>
      <c r="IQ109" s="62"/>
      <c r="IR109" s="62"/>
      <c r="IS109" s="62"/>
      <c r="IT109" s="62"/>
      <c r="IU109" s="62"/>
      <c r="IV109" s="62"/>
      <c r="IW109" s="62"/>
      <c r="IX109" s="62"/>
      <c r="IY109" s="62"/>
      <c r="IZ109" s="62"/>
      <c r="JA109" s="62"/>
      <c r="JB109" s="62"/>
      <c r="JC109" s="62"/>
      <c r="JD109" s="62"/>
      <c r="JE109" s="62"/>
      <c r="JF109" s="62"/>
      <c r="JG109" s="62"/>
      <c r="JH109" s="62"/>
      <c r="JI109" s="62"/>
      <c r="JJ109" s="62"/>
      <c r="JK109" s="62"/>
      <c r="JL109" s="62"/>
      <c r="JM109" s="62"/>
      <c r="JN109" s="62"/>
      <c r="JO109" s="62"/>
      <c r="JP109" s="62"/>
      <c r="JQ109" s="62"/>
      <c r="JR109" s="62"/>
      <c r="JS109" s="62"/>
      <c r="JT109" s="62"/>
      <c r="JU109" s="62"/>
      <c r="JV109" s="62"/>
      <c r="JW109" s="62"/>
      <c r="JX109" s="62"/>
      <c r="JY109" s="62"/>
      <c r="JZ109" s="62"/>
      <c r="KA109" s="62"/>
      <c r="KB109" s="62"/>
      <c r="KC109" s="62"/>
      <c r="KD109" s="62"/>
      <c r="KE109" s="62"/>
      <c r="KF109" s="62"/>
      <c r="KG109" s="62"/>
      <c r="KH109" s="62"/>
      <c r="KI109" s="62"/>
      <c r="KJ109" s="62"/>
      <c r="KK109" s="62"/>
      <c r="KL109" s="62"/>
      <c r="KM109" s="62"/>
      <c r="KN109" s="62"/>
      <c r="KO109" s="62"/>
      <c r="KP109" s="62"/>
      <c r="KQ109" s="62"/>
      <c r="KR109" s="62"/>
      <c r="KS109" s="62"/>
      <c r="KT109" s="62"/>
      <c r="KU109" s="62"/>
      <c r="KV109" s="62"/>
      <c r="KW109" s="62"/>
      <c r="KX109" s="62"/>
      <c r="KY109" s="62"/>
      <c r="KZ109" s="62"/>
      <c r="LA109" s="62"/>
      <c r="LB109" s="62"/>
      <c r="LC109" s="62"/>
      <c r="LD109" s="62"/>
      <c r="LE109" s="62"/>
      <c r="LF109" s="62"/>
      <c r="LG109" s="62"/>
      <c r="LH109" s="62"/>
      <c r="LI109" s="62"/>
    </row>
    <row r="110" spans="2:321">
      <c r="D110" s="59">
        <v>4199</v>
      </c>
      <c r="E110" s="60" t="s">
        <v>420</v>
      </c>
      <c r="F110" s="67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9"/>
      <c r="R110" s="67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67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9"/>
      <c r="AP110" s="67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9"/>
      <c r="BB110" s="67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9"/>
      <c r="BN110" s="67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9"/>
      <c r="BZ110" s="67"/>
      <c r="CA110" s="68"/>
      <c r="CB110" s="68"/>
      <c r="CC110" s="68"/>
      <c r="CD110" s="68"/>
      <c r="CE110" s="68"/>
      <c r="CF110" s="68"/>
      <c r="CG110" s="68"/>
      <c r="CH110" s="68"/>
      <c r="CI110" s="68"/>
      <c r="CJ110" s="68"/>
      <c r="CK110" s="68"/>
      <c r="CL110" s="67">
        <v>124892.6</v>
      </c>
      <c r="CM110" s="68">
        <v>62482.52</v>
      </c>
      <c r="CN110" s="68">
        <v>194087.13</v>
      </c>
      <c r="CO110" s="68">
        <v>317008.53999999998</v>
      </c>
      <c r="CP110" s="68">
        <v>173934.79</v>
      </c>
      <c r="CQ110" s="68">
        <v>213618.19</v>
      </c>
      <c r="CR110" s="68">
        <v>232011.26</v>
      </c>
      <c r="CS110" s="68">
        <v>185769.53</v>
      </c>
      <c r="CT110" s="68">
        <v>151372.72</v>
      </c>
      <c r="CU110" s="68">
        <v>249954.81</v>
      </c>
      <c r="CV110" s="68">
        <v>248600.22</v>
      </c>
      <c r="CW110" s="69">
        <v>644770.16</v>
      </c>
      <c r="CX110" s="67">
        <v>107004.89</v>
      </c>
      <c r="CY110" s="68">
        <v>202626.26</v>
      </c>
      <c r="CZ110" s="68">
        <v>308901.21000000002</v>
      </c>
      <c r="DA110" s="68">
        <v>189125.13</v>
      </c>
      <c r="DB110" s="68">
        <v>1270565.8500000001</v>
      </c>
      <c r="DC110" s="68">
        <v>436538.33</v>
      </c>
      <c r="DD110" s="68">
        <v>205305.01</v>
      </c>
      <c r="DE110" s="68">
        <v>67993.62</v>
      </c>
      <c r="DF110" s="68">
        <v>899034.2</v>
      </c>
      <c r="DG110" s="68">
        <v>233376.06</v>
      </c>
      <c r="DH110" s="68">
        <v>322361</v>
      </c>
      <c r="DI110" s="69">
        <v>489220.76</v>
      </c>
      <c r="DJ110" s="67">
        <v>87878.97</v>
      </c>
      <c r="DK110" s="68">
        <v>170909.61</v>
      </c>
      <c r="DL110" s="68">
        <v>323034.65999999997</v>
      </c>
      <c r="DM110" s="68">
        <v>173808.62</v>
      </c>
      <c r="DN110" s="68">
        <v>1244577.6299999999</v>
      </c>
      <c r="DO110" s="68">
        <v>166282.88</v>
      </c>
      <c r="DP110" s="68">
        <v>167618.01</v>
      </c>
      <c r="DQ110" s="68">
        <v>97119.08</v>
      </c>
      <c r="DR110" s="68">
        <v>223127.72</v>
      </c>
      <c r="DS110" s="68">
        <v>155060.84</v>
      </c>
      <c r="DT110" s="68">
        <v>150031.35999999999</v>
      </c>
      <c r="DU110" s="69">
        <v>547611.07999999903</v>
      </c>
      <c r="DV110" s="61">
        <v>307636.45</v>
      </c>
      <c r="DW110" s="61">
        <v>214675.75</v>
      </c>
      <c r="DX110" s="61">
        <v>142270.47</v>
      </c>
      <c r="DY110" s="61">
        <v>197509.73</v>
      </c>
      <c r="DZ110" s="79">
        <v>688408.35</v>
      </c>
      <c r="EB110" s="79"/>
      <c r="EC110" s="79"/>
      <c r="ED110" s="79"/>
      <c r="EE110" s="79"/>
      <c r="EF110" s="79"/>
      <c r="EG110" s="79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2"/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62"/>
      <c r="HX110" s="62"/>
      <c r="HY110" s="62"/>
      <c r="HZ110" s="62"/>
      <c r="IA110" s="62"/>
      <c r="IB110" s="62"/>
      <c r="IC110" s="62"/>
      <c r="ID110" s="62"/>
      <c r="IE110" s="62"/>
      <c r="IF110" s="62"/>
      <c r="IG110" s="62"/>
      <c r="IH110" s="62"/>
      <c r="II110" s="62"/>
      <c r="IJ110" s="62"/>
      <c r="IK110" s="62"/>
      <c r="IL110" s="62"/>
      <c r="IM110" s="62"/>
      <c r="IN110" s="62"/>
      <c r="IO110" s="62"/>
      <c r="IP110" s="62"/>
      <c r="IQ110" s="62"/>
      <c r="IR110" s="62"/>
      <c r="IS110" s="62"/>
      <c r="IT110" s="62"/>
      <c r="IU110" s="62"/>
      <c r="IV110" s="62"/>
      <c r="IW110" s="62"/>
      <c r="IX110" s="62"/>
      <c r="IY110" s="62"/>
      <c r="IZ110" s="62"/>
      <c r="JA110" s="62"/>
      <c r="JB110" s="62"/>
      <c r="JC110" s="62"/>
      <c r="JD110" s="62"/>
      <c r="JE110" s="62"/>
      <c r="JF110" s="62"/>
      <c r="JG110" s="62"/>
      <c r="JH110" s="62"/>
      <c r="JI110" s="62"/>
      <c r="JJ110" s="62"/>
      <c r="JK110" s="62"/>
      <c r="JL110" s="62"/>
      <c r="JM110" s="62"/>
      <c r="JN110" s="62"/>
      <c r="JO110" s="62"/>
      <c r="JP110" s="62"/>
      <c r="JQ110" s="62"/>
      <c r="JR110" s="62"/>
      <c r="JS110" s="62"/>
      <c r="JT110" s="62"/>
      <c r="JU110" s="62"/>
      <c r="JV110" s="62"/>
      <c r="JW110" s="62"/>
      <c r="JX110" s="62"/>
      <c r="JY110" s="62"/>
      <c r="JZ110" s="62"/>
      <c r="KA110" s="62"/>
      <c r="KB110" s="62"/>
      <c r="KC110" s="62"/>
      <c r="KD110" s="62"/>
      <c r="KE110" s="62"/>
      <c r="KF110" s="62"/>
      <c r="KG110" s="62"/>
      <c r="KH110" s="62"/>
      <c r="KI110" s="62"/>
      <c r="KJ110" s="62"/>
      <c r="KK110" s="62"/>
      <c r="KL110" s="62"/>
      <c r="KM110" s="62"/>
      <c r="KN110" s="62"/>
      <c r="KO110" s="62"/>
      <c r="KP110" s="62"/>
      <c r="KQ110" s="62"/>
      <c r="KR110" s="62"/>
      <c r="KS110" s="62"/>
      <c r="KT110" s="62"/>
      <c r="KU110" s="62"/>
      <c r="KV110" s="62"/>
      <c r="KW110" s="62"/>
      <c r="KX110" s="62"/>
      <c r="KY110" s="62"/>
      <c r="KZ110" s="62"/>
      <c r="LA110" s="62"/>
      <c r="LB110" s="62"/>
      <c r="LC110" s="62"/>
      <c r="LD110" s="62"/>
      <c r="LE110" s="62"/>
      <c r="LF110" s="62"/>
      <c r="LG110" s="62"/>
      <c r="LH110" s="62"/>
      <c r="LI110" s="62"/>
    </row>
    <row r="111" spans="2:321">
      <c r="B111" s="59">
        <v>42</v>
      </c>
      <c r="C111" s="59" t="s">
        <v>6</v>
      </c>
      <c r="E111" s="60" t="s">
        <v>156</v>
      </c>
      <c r="F111" s="67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9"/>
      <c r="R111" s="67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67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9"/>
      <c r="AP111" s="67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9"/>
      <c r="BB111" s="67"/>
      <c r="BC111" s="68"/>
      <c r="BD111" s="68"/>
      <c r="BE111" s="68"/>
      <c r="BF111" s="68"/>
      <c r="BG111" s="68"/>
      <c r="BH111" s="68"/>
      <c r="BI111" s="68"/>
      <c r="BJ111" s="68"/>
      <c r="BK111" s="68"/>
      <c r="BL111" s="68"/>
      <c r="BM111" s="69"/>
      <c r="BN111" s="67"/>
      <c r="BO111" s="68"/>
      <c r="BP111" s="68"/>
      <c r="BQ111" s="68"/>
      <c r="BR111" s="68"/>
      <c r="BS111" s="68"/>
      <c r="BT111" s="68"/>
      <c r="BU111" s="68"/>
      <c r="BV111" s="68"/>
      <c r="BW111" s="68"/>
      <c r="BX111" s="68"/>
      <c r="BY111" s="69"/>
      <c r="BZ111" s="67"/>
      <c r="CA111" s="68"/>
      <c r="CB111" s="68"/>
      <c r="CC111" s="68"/>
      <c r="CD111" s="68"/>
      <c r="CE111" s="68"/>
      <c r="CF111" s="68"/>
      <c r="CG111" s="68"/>
      <c r="CH111" s="68"/>
      <c r="CI111" s="68"/>
      <c r="CJ111" s="68"/>
      <c r="CK111" s="68"/>
      <c r="CL111" s="67">
        <v>38151243.68</v>
      </c>
      <c r="CM111" s="68">
        <v>42304307.5</v>
      </c>
      <c r="CN111" s="68">
        <v>40495852.530000001</v>
      </c>
      <c r="CO111" s="68">
        <v>40445889.590000004</v>
      </c>
      <c r="CP111" s="68">
        <v>39916624.780000001</v>
      </c>
      <c r="CQ111" s="68">
        <v>39873840.350000001</v>
      </c>
      <c r="CR111" s="68">
        <v>39783817.740000002</v>
      </c>
      <c r="CS111" s="68">
        <v>39183217.880000003</v>
      </c>
      <c r="CT111" s="68">
        <v>40139584.43</v>
      </c>
      <c r="CU111" s="68">
        <v>39790180.210000001</v>
      </c>
      <c r="CV111" s="68">
        <v>39831268.439999998</v>
      </c>
      <c r="CW111" s="69">
        <v>43051593.350000001</v>
      </c>
      <c r="CX111" s="67">
        <v>39555878.579999998</v>
      </c>
      <c r="CY111" s="68">
        <v>41425187.060000002</v>
      </c>
      <c r="CZ111" s="68">
        <v>41909906.140000001</v>
      </c>
      <c r="DA111" s="68">
        <v>40423629.729999997</v>
      </c>
      <c r="DB111" s="68">
        <v>40506895.869999997</v>
      </c>
      <c r="DC111" s="68">
        <v>40386120.240000002</v>
      </c>
      <c r="DD111" s="68">
        <v>42646776.509999998</v>
      </c>
      <c r="DE111" s="68">
        <v>41817476.329999998</v>
      </c>
      <c r="DF111" s="68">
        <v>39292859.509999998</v>
      </c>
      <c r="DG111" s="68">
        <v>40455528.219999999</v>
      </c>
      <c r="DH111" s="68">
        <v>40886054.280000001</v>
      </c>
      <c r="DI111" s="69">
        <v>42841697.649999999</v>
      </c>
      <c r="DJ111" s="67">
        <v>39786085.869999997</v>
      </c>
      <c r="DK111" s="68">
        <v>40069751.659999996</v>
      </c>
      <c r="DL111" s="68">
        <v>40864096.719999999</v>
      </c>
      <c r="DM111" s="68">
        <v>40502347.82</v>
      </c>
      <c r="DN111" s="68">
        <v>40971406.990000002</v>
      </c>
      <c r="DO111" s="68">
        <v>40988719.57</v>
      </c>
      <c r="DP111" s="68">
        <v>40367487.210000001</v>
      </c>
      <c r="DQ111" s="68">
        <v>39162482.689999998</v>
      </c>
      <c r="DR111" s="68">
        <v>41715778.810000002</v>
      </c>
      <c r="DS111" s="68">
        <v>40336270.130000003</v>
      </c>
      <c r="DT111" s="68">
        <v>40385800.149999999</v>
      </c>
      <c r="DU111" s="69">
        <v>41891632.479999997</v>
      </c>
      <c r="DV111" s="61">
        <v>4897395.42</v>
      </c>
      <c r="DW111" s="61">
        <v>7010560.6399999997</v>
      </c>
      <c r="DX111" s="61">
        <v>8484481.6899999995</v>
      </c>
      <c r="DY111" s="61">
        <v>11157410.01</v>
      </c>
      <c r="DZ111" s="79">
        <v>46657581.579999998</v>
      </c>
      <c r="EA111" s="79">
        <v>44973024.009999998</v>
      </c>
      <c r="EB111" s="79">
        <v>43345397.439999998</v>
      </c>
      <c r="EC111" s="84">
        <v>46665166.369999997</v>
      </c>
      <c r="ED111" s="79"/>
      <c r="EE111" s="79"/>
      <c r="EF111" s="79"/>
      <c r="EG111" s="79"/>
      <c r="ET111" s="62">
        <v>42244817.57</v>
      </c>
      <c r="EU111" s="62">
        <v>45525440.090000004</v>
      </c>
      <c r="EV111" s="62">
        <v>45200709.079999998</v>
      </c>
      <c r="EW111" s="62">
        <v>43012361.310000002</v>
      </c>
      <c r="EX111" s="62">
        <v>43668965.609999999</v>
      </c>
      <c r="EY111" s="62"/>
      <c r="EZ111" s="62"/>
      <c r="FA111" s="62">
        <v>47052428.659999996</v>
      </c>
      <c r="FB111" s="62"/>
      <c r="FC111" s="62"/>
      <c r="FD111" s="62"/>
      <c r="FE111" s="62"/>
      <c r="FF111" s="62"/>
      <c r="FG111" s="62"/>
      <c r="FH111" s="62"/>
      <c r="FI111" s="62"/>
      <c r="FJ111" s="62"/>
      <c r="FK111" s="62"/>
      <c r="FL111" s="62"/>
      <c r="FM111" s="62"/>
      <c r="FN111" s="62"/>
      <c r="FO111" s="62"/>
      <c r="FP111" s="62"/>
      <c r="FQ111" s="62"/>
      <c r="FR111" s="62"/>
      <c r="FS111" s="62"/>
      <c r="FT111" s="62"/>
      <c r="FU111" s="62"/>
      <c r="FV111" s="62"/>
      <c r="FW111" s="62"/>
      <c r="FX111" s="62"/>
      <c r="FY111" s="62"/>
      <c r="FZ111" s="62"/>
      <c r="GA111" s="62"/>
      <c r="GB111" s="62"/>
      <c r="GC111" s="62"/>
      <c r="GD111" s="62"/>
      <c r="GF111" s="62"/>
      <c r="GG111" s="62"/>
      <c r="GH111" s="62"/>
      <c r="GI111" s="62"/>
      <c r="GJ111" s="62"/>
      <c r="GK111" s="62"/>
      <c r="GL111" s="62"/>
      <c r="GM111" s="62"/>
      <c r="GN111" s="62"/>
      <c r="GO111" s="62"/>
      <c r="GP111" s="62"/>
      <c r="GQ111" s="62"/>
      <c r="GR111" s="62"/>
      <c r="GS111" s="62"/>
      <c r="GT111" s="62"/>
      <c r="GU111" s="62"/>
      <c r="GV111" s="62"/>
      <c r="GW111" s="62"/>
      <c r="GX111" s="62"/>
      <c r="GY111" s="62"/>
      <c r="GZ111" s="62"/>
      <c r="HA111" s="62"/>
      <c r="HB111" s="62"/>
      <c r="HC111" s="62"/>
      <c r="HD111" s="62"/>
      <c r="HE111" s="62"/>
      <c r="HF111" s="62"/>
      <c r="HG111" s="62"/>
      <c r="HH111" s="62"/>
      <c r="HI111" s="62"/>
      <c r="HJ111" s="62"/>
      <c r="HK111" s="62"/>
      <c r="HL111" s="62"/>
      <c r="HM111" s="62"/>
      <c r="HN111" s="62"/>
      <c r="HO111" s="62"/>
      <c r="HP111" s="62"/>
      <c r="HQ111" s="62"/>
      <c r="HR111" s="62"/>
      <c r="HS111" s="62"/>
      <c r="HT111" s="62"/>
      <c r="HU111" s="62"/>
      <c r="HV111" s="62"/>
      <c r="HW111" s="62"/>
      <c r="HX111" s="62"/>
      <c r="HY111" s="62"/>
      <c r="HZ111" s="62"/>
      <c r="IA111" s="62"/>
      <c r="IB111" s="62"/>
      <c r="IC111" s="62"/>
      <c r="ID111" s="62"/>
      <c r="IE111" s="62"/>
      <c r="IF111" s="62"/>
      <c r="IG111" s="62"/>
      <c r="IH111" s="62"/>
      <c r="II111" s="62"/>
      <c r="IJ111" s="62"/>
      <c r="IK111" s="62"/>
      <c r="IL111" s="62"/>
      <c r="IM111" s="62"/>
      <c r="IN111" s="62"/>
      <c r="IO111" s="62"/>
      <c r="IP111" s="62"/>
      <c r="IQ111" s="62"/>
      <c r="IR111" s="62"/>
      <c r="IS111" s="62"/>
      <c r="IT111" s="62"/>
      <c r="IU111" s="62"/>
      <c r="IV111" s="62"/>
      <c r="IW111" s="62"/>
      <c r="IX111" s="62"/>
      <c r="IY111" s="62"/>
      <c r="IZ111" s="62"/>
      <c r="JA111" s="62"/>
      <c r="JB111" s="62"/>
      <c r="JC111" s="62"/>
      <c r="JD111" s="62"/>
      <c r="JE111" s="62"/>
      <c r="JF111" s="62"/>
      <c r="JG111" s="62"/>
      <c r="JH111" s="62"/>
      <c r="JI111" s="62"/>
      <c r="JJ111" s="62"/>
      <c r="JK111" s="62"/>
      <c r="JL111" s="62"/>
      <c r="JM111" s="62"/>
      <c r="JN111" s="62"/>
      <c r="JO111" s="62"/>
      <c r="JP111" s="62"/>
      <c r="JQ111" s="62"/>
      <c r="JR111" s="62"/>
      <c r="JS111" s="62"/>
      <c r="JT111" s="62"/>
      <c r="JU111" s="62"/>
      <c r="JV111" s="62"/>
      <c r="JW111" s="62"/>
      <c r="JX111" s="62"/>
      <c r="JY111" s="62"/>
      <c r="JZ111" s="62"/>
      <c r="KA111" s="62"/>
      <c r="KB111" s="62"/>
      <c r="KC111" s="62"/>
      <c r="KD111" s="62"/>
      <c r="KE111" s="62"/>
      <c r="KF111" s="62"/>
      <c r="KG111" s="62"/>
      <c r="KH111" s="62"/>
      <c r="KI111" s="62"/>
      <c r="KJ111" s="62"/>
      <c r="KK111" s="62"/>
      <c r="KL111" s="62"/>
      <c r="KM111" s="62"/>
      <c r="KN111" s="62"/>
      <c r="KO111" s="62"/>
      <c r="KP111" s="62"/>
      <c r="KQ111" s="62"/>
      <c r="KR111" s="62"/>
      <c r="KS111" s="62"/>
      <c r="KT111" s="62"/>
      <c r="KU111" s="62"/>
      <c r="KV111" s="62"/>
      <c r="KW111" s="62"/>
      <c r="KX111" s="62"/>
      <c r="KY111" s="62"/>
      <c r="KZ111" s="62"/>
      <c r="LA111" s="62"/>
      <c r="LB111" s="62"/>
      <c r="LC111" s="62"/>
      <c r="LD111" s="62"/>
      <c r="LE111" s="62"/>
      <c r="LF111" s="62"/>
      <c r="LG111" s="62"/>
      <c r="LH111" s="62"/>
      <c r="LI111" s="62"/>
    </row>
    <row r="112" spans="2:321">
      <c r="C112" s="59">
        <v>421</v>
      </c>
      <c r="D112" s="59">
        <v>421</v>
      </c>
      <c r="E112" s="60" t="s">
        <v>157</v>
      </c>
      <c r="F112" s="67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9"/>
      <c r="R112" s="67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67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9"/>
      <c r="AP112" s="67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9"/>
      <c r="BB112" s="67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9"/>
      <c r="BN112" s="67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9"/>
      <c r="BZ112" s="67"/>
      <c r="CA112" s="68"/>
      <c r="CB112" s="68"/>
      <c r="CC112" s="68"/>
      <c r="CD112" s="68"/>
      <c r="CE112" s="68"/>
      <c r="CF112" s="68"/>
      <c r="CG112" s="68"/>
      <c r="CH112" s="68"/>
      <c r="CI112" s="68"/>
      <c r="CJ112" s="68"/>
      <c r="CK112" s="68"/>
      <c r="CL112" s="67">
        <v>5249177.49</v>
      </c>
      <c r="CM112" s="68">
        <v>6265311.1100000003</v>
      </c>
      <c r="CN112" s="68">
        <v>5548846.8200000003</v>
      </c>
      <c r="CO112" s="68">
        <v>5564842.5499999998</v>
      </c>
      <c r="CP112" s="68">
        <v>5426012.3200000003</v>
      </c>
      <c r="CQ112" s="68">
        <v>5414506.1200000001</v>
      </c>
      <c r="CR112" s="68">
        <v>5377364.7999999998</v>
      </c>
      <c r="CS112" s="68">
        <v>4628282.3600000003</v>
      </c>
      <c r="CT112" s="68">
        <v>4825112.1500000004</v>
      </c>
      <c r="CU112" s="68">
        <v>4994196.57</v>
      </c>
      <c r="CV112" s="68">
        <v>5164469.13</v>
      </c>
      <c r="CW112" s="69">
        <v>5578422.5700000003</v>
      </c>
      <c r="CX112" s="67">
        <v>5197554.9000000004</v>
      </c>
      <c r="CY112" s="68">
        <v>5250468.46</v>
      </c>
      <c r="CZ112" s="68">
        <v>4943694.84</v>
      </c>
      <c r="DA112" s="68">
        <v>5048089.1399999997</v>
      </c>
      <c r="DB112" s="68">
        <v>4807265.88</v>
      </c>
      <c r="DC112" s="68">
        <v>5282073.4000000004</v>
      </c>
      <c r="DD112" s="68">
        <v>5431940.5700000003</v>
      </c>
      <c r="DE112" s="68">
        <v>5056103.28</v>
      </c>
      <c r="DF112" s="68">
        <v>5029618.1500000004</v>
      </c>
      <c r="DG112" s="68">
        <v>5059119.72</v>
      </c>
      <c r="DH112" s="68">
        <v>5502927.5499999998</v>
      </c>
      <c r="DI112" s="69">
        <v>5256058.13</v>
      </c>
      <c r="DJ112" s="67">
        <v>4939929.87</v>
      </c>
      <c r="DK112" s="68">
        <v>5097441.17</v>
      </c>
      <c r="DL112" s="68">
        <v>5071055.13</v>
      </c>
      <c r="DM112" s="68">
        <v>5139689.5999999996</v>
      </c>
      <c r="DN112" s="68">
        <v>4851223.5199999996</v>
      </c>
      <c r="DO112" s="68">
        <v>4951711.88</v>
      </c>
      <c r="DP112" s="68">
        <v>5250320.33</v>
      </c>
      <c r="DQ112" s="68">
        <v>4825685.17</v>
      </c>
      <c r="DR112" s="68">
        <v>5003935.66</v>
      </c>
      <c r="DS112" s="68">
        <v>5224803.1100000003</v>
      </c>
      <c r="DT112" s="68">
        <v>5200634.1900000004</v>
      </c>
      <c r="DU112" s="69">
        <v>5279675.0199999996</v>
      </c>
      <c r="DV112" s="61">
        <v>4897395.42</v>
      </c>
      <c r="DW112" s="83">
        <v>7010560.6399999997</v>
      </c>
      <c r="DX112" s="83">
        <v>8484546.0899999999</v>
      </c>
      <c r="DY112" s="61">
        <v>11160120.609999999</v>
      </c>
      <c r="DZ112" s="79">
        <v>10449997.48</v>
      </c>
      <c r="EA112" s="79">
        <v>10351891.91</v>
      </c>
      <c r="EB112" s="79">
        <v>9941071.3499999996</v>
      </c>
      <c r="EC112" s="84">
        <v>10056749.59</v>
      </c>
      <c r="ED112" s="79">
        <v>10240003.99</v>
      </c>
      <c r="EE112" s="79">
        <v>10288758.039999999</v>
      </c>
      <c r="EF112" s="79">
        <v>10547477.470000001</v>
      </c>
      <c r="EG112" s="79">
        <v>10629131.130000001</v>
      </c>
      <c r="EH112" s="62">
        <v>10235148.66</v>
      </c>
      <c r="EI112" s="62">
        <v>10418756.810000001</v>
      </c>
      <c r="EJ112" s="62">
        <v>9027967.8599999994</v>
      </c>
      <c r="EK112" s="62">
        <v>9060292.8100000005</v>
      </c>
      <c r="EL112" s="62">
        <v>9323783.9399999995</v>
      </c>
      <c r="EM112" s="62">
        <v>9371948.4000000004</v>
      </c>
      <c r="EN112" s="62">
        <v>9055138.0800000001</v>
      </c>
      <c r="EO112" s="62">
        <v>5035876.3099999996</v>
      </c>
      <c r="EP112" s="62">
        <v>6564978.3200000003</v>
      </c>
      <c r="EQ112" s="62">
        <v>7602969.7000000002</v>
      </c>
      <c r="ER112" s="62">
        <v>6324073.25</v>
      </c>
      <c r="ES112" s="62">
        <v>6683946.5800000001</v>
      </c>
      <c r="ET112" s="62">
        <v>6003212.1200000001</v>
      </c>
      <c r="EU112" s="62">
        <v>7135869.1500000004</v>
      </c>
      <c r="EV112" s="62">
        <v>6207886.6699999999</v>
      </c>
      <c r="EW112" s="62">
        <v>6327448.5300000003</v>
      </c>
      <c r="EX112" s="62">
        <v>6153473.4699999997</v>
      </c>
      <c r="EY112" s="62">
        <v>6326119.0300000003</v>
      </c>
      <c r="EZ112" s="62">
        <v>6430553.0499999998</v>
      </c>
      <c r="FA112" s="62">
        <v>6218395.7000000002</v>
      </c>
      <c r="FB112" s="62">
        <v>6862261.6200000001</v>
      </c>
      <c r="FC112" s="62">
        <v>7143348.9900000002</v>
      </c>
      <c r="FD112" s="62">
        <v>7029331</v>
      </c>
      <c r="FE112" s="62">
        <v>10456885.15</v>
      </c>
      <c r="FF112" s="62">
        <v>5984394.8399999999</v>
      </c>
      <c r="FG112" s="62">
        <v>6928715.1699999999</v>
      </c>
      <c r="FH112" s="62">
        <v>6534675.6500000004</v>
      </c>
      <c r="FI112" s="62">
        <v>6641554.0999999996</v>
      </c>
      <c r="FJ112" s="62">
        <v>6429375.4699999997</v>
      </c>
      <c r="FK112" s="62">
        <v>6536921.0899999999</v>
      </c>
      <c r="FL112" s="1">
        <v>6753142.7800000003</v>
      </c>
      <c r="FM112" s="62">
        <v>6916329.6100000003</v>
      </c>
      <c r="FN112" s="62">
        <v>6430517.1200000001</v>
      </c>
      <c r="FO112" s="62">
        <v>6933312.3200000003</v>
      </c>
      <c r="FP112" s="62">
        <v>6920586.0499999998</v>
      </c>
      <c r="FQ112" s="62">
        <v>6847594.7000000002</v>
      </c>
      <c r="FR112" s="62">
        <v>6448137.3300000001</v>
      </c>
      <c r="FS112" s="62">
        <v>7174722.5199999996</v>
      </c>
      <c r="FT112" s="62">
        <v>6752335.3300000001</v>
      </c>
      <c r="FU112" s="62">
        <v>6378584.3399999999</v>
      </c>
      <c r="FV112" s="62">
        <v>5976072.2199999997</v>
      </c>
      <c r="FW112" s="62">
        <v>6185136.4800000004</v>
      </c>
      <c r="FX112" s="62">
        <v>6808115.7000000002</v>
      </c>
      <c r="FY112" s="62">
        <v>7119326.7800000003</v>
      </c>
      <c r="FZ112" s="62">
        <v>6754872.6500000004</v>
      </c>
      <c r="GA112" s="62">
        <v>7095987.1799999997</v>
      </c>
      <c r="GB112" s="62">
        <v>7147001.1699999999</v>
      </c>
      <c r="GC112" s="62">
        <v>6638995.8600000003</v>
      </c>
      <c r="GD112" s="62"/>
      <c r="GF112" s="62"/>
      <c r="GG112" s="62"/>
      <c r="GH112" s="62"/>
      <c r="GI112" s="62"/>
      <c r="GJ112" s="62"/>
      <c r="GK112" s="62"/>
      <c r="GL112" s="62"/>
      <c r="GM112" s="62"/>
      <c r="GN112" s="62"/>
      <c r="GO112" s="62"/>
      <c r="GP112" s="62"/>
      <c r="GQ112" s="62"/>
      <c r="GR112" s="62"/>
      <c r="GS112" s="62"/>
      <c r="GT112" s="62"/>
      <c r="GU112" s="62"/>
      <c r="GV112" s="62"/>
      <c r="GW112" s="62"/>
      <c r="GX112" s="62"/>
      <c r="GY112" s="62"/>
      <c r="GZ112" s="62"/>
      <c r="HA112" s="62"/>
      <c r="HB112" s="62"/>
      <c r="HC112" s="62"/>
      <c r="HD112" s="62"/>
      <c r="HE112" s="62"/>
      <c r="HF112" s="62"/>
      <c r="HG112" s="62"/>
      <c r="HH112" s="62"/>
      <c r="HI112" s="62"/>
      <c r="HJ112" s="62"/>
      <c r="HK112" s="62"/>
      <c r="HL112" s="62"/>
      <c r="HM112" s="62"/>
      <c r="HN112" s="62"/>
      <c r="HO112" s="62"/>
      <c r="HP112" s="62"/>
      <c r="HQ112" s="62"/>
      <c r="HR112" s="62"/>
      <c r="HS112" s="62"/>
      <c r="HT112" s="62"/>
      <c r="HU112" s="62"/>
      <c r="HV112" s="62"/>
      <c r="HW112" s="62"/>
      <c r="HX112" s="62"/>
      <c r="HY112" s="62"/>
      <c r="HZ112" s="62"/>
      <c r="IA112" s="62"/>
      <c r="IB112" s="62"/>
      <c r="IC112" s="62"/>
      <c r="ID112" s="62"/>
      <c r="IE112" s="62"/>
      <c r="IF112" s="62"/>
      <c r="IG112" s="62"/>
      <c r="IH112" s="62"/>
      <c r="II112" s="62"/>
      <c r="IJ112" s="62"/>
      <c r="IK112" s="62"/>
      <c r="IL112" s="62"/>
      <c r="IM112" s="62"/>
      <c r="IN112" s="62"/>
      <c r="IO112" s="62"/>
      <c r="IP112" s="62"/>
      <c r="IQ112" s="62"/>
      <c r="IR112" s="62"/>
      <c r="IS112" s="62"/>
      <c r="IT112" s="62"/>
      <c r="IU112" s="62"/>
      <c r="IV112" s="62"/>
      <c r="IW112" s="62"/>
      <c r="IX112" s="62"/>
      <c r="IY112" s="62"/>
      <c r="IZ112" s="62"/>
      <c r="JA112" s="62"/>
      <c r="JB112" s="62"/>
      <c r="JC112" s="62"/>
      <c r="JD112" s="62"/>
      <c r="JE112" s="62"/>
      <c r="JF112" s="62"/>
      <c r="JG112" s="62"/>
      <c r="JH112" s="62"/>
      <c r="JI112" s="62"/>
      <c r="JJ112" s="62"/>
      <c r="JK112" s="62"/>
      <c r="JL112" s="62"/>
      <c r="JM112" s="62"/>
      <c r="JN112" s="62"/>
      <c r="JO112" s="62"/>
      <c r="JP112" s="62"/>
      <c r="JQ112" s="62"/>
      <c r="JR112" s="62"/>
      <c r="JS112" s="62"/>
      <c r="JT112" s="62"/>
      <c r="JU112" s="62"/>
      <c r="JV112" s="62"/>
      <c r="JW112" s="62"/>
      <c r="JX112" s="62"/>
      <c r="JY112" s="62"/>
      <c r="JZ112" s="62"/>
      <c r="KA112" s="62"/>
      <c r="KB112" s="62"/>
      <c r="KC112" s="62"/>
      <c r="KD112" s="62"/>
      <c r="KE112" s="62"/>
      <c r="KF112" s="62"/>
      <c r="KG112" s="62"/>
      <c r="KH112" s="62"/>
      <c r="KI112" s="62"/>
      <c r="KJ112" s="62"/>
      <c r="KK112" s="62"/>
      <c r="KL112" s="62"/>
      <c r="KM112" s="62"/>
      <c r="KN112" s="62"/>
      <c r="KO112" s="62"/>
      <c r="KP112" s="62"/>
      <c r="KQ112" s="62"/>
      <c r="KR112" s="62"/>
      <c r="KS112" s="62"/>
      <c r="KT112" s="62"/>
      <c r="KU112" s="62"/>
      <c r="KV112" s="62"/>
      <c r="KW112" s="62"/>
      <c r="KX112" s="62"/>
      <c r="KY112" s="62"/>
      <c r="KZ112" s="62"/>
      <c r="LA112" s="62"/>
      <c r="LB112" s="62"/>
      <c r="LC112" s="62"/>
      <c r="LD112" s="62"/>
      <c r="LE112" s="62"/>
      <c r="LF112" s="62"/>
      <c r="LG112" s="62"/>
      <c r="LH112" s="62"/>
      <c r="LI112" s="62"/>
    </row>
    <row r="113" spans="3:321">
      <c r="C113" s="59" t="s">
        <v>6</v>
      </c>
      <c r="D113" s="59">
        <v>4211</v>
      </c>
      <c r="E113" s="60" t="s">
        <v>421</v>
      </c>
      <c r="F113" s="67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9"/>
      <c r="R113" s="67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67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9"/>
      <c r="AP113" s="67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9"/>
      <c r="BB113" s="67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9"/>
      <c r="BN113" s="67"/>
      <c r="BO113" s="68"/>
      <c r="BP113" s="68"/>
      <c r="BQ113" s="68"/>
      <c r="BR113" s="68"/>
      <c r="BS113" s="68"/>
      <c r="BT113" s="68"/>
      <c r="BU113" s="68"/>
      <c r="BV113" s="68"/>
      <c r="BW113" s="68"/>
      <c r="BX113" s="68"/>
      <c r="BY113" s="69"/>
      <c r="BZ113" s="67"/>
      <c r="CA113" s="68"/>
      <c r="CB113" s="68"/>
      <c r="CC113" s="68"/>
      <c r="CD113" s="68"/>
      <c r="CE113" s="68"/>
      <c r="CF113" s="68"/>
      <c r="CG113" s="68"/>
      <c r="CH113" s="68"/>
      <c r="CI113" s="68"/>
      <c r="CJ113" s="68"/>
      <c r="CK113" s="68"/>
      <c r="CL113" s="67">
        <v>421036.79999999999</v>
      </c>
      <c r="CM113" s="68">
        <v>423451.3</v>
      </c>
      <c r="CN113" s="68">
        <v>424949.2</v>
      </c>
      <c r="CO113" s="68">
        <v>429126.5</v>
      </c>
      <c r="CP113" s="68">
        <v>429421.7</v>
      </c>
      <c r="CQ113" s="68">
        <v>433409.4</v>
      </c>
      <c r="CR113" s="68">
        <v>436273.29</v>
      </c>
      <c r="CS113" s="68">
        <v>431628.4</v>
      </c>
      <c r="CT113" s="68">
        <v>412319.2</v>
      </c>
      <c r="CU113" s="68">
        <v>471037.3</v>
      </c>
      <c r="CV113" s="68">
        <v>386243.45</v>
      </c>
      <c r="CW113" s="69">
        <v>385481.55</v>
      </c>
      <c r="CX113" s="67">
        <v>383766.05</v>
      </c>
      <c r="CY113" s="68">
        <v>386780.15</v>
      </c>
      <c r="CZ113" s="68">
        <v>393105.9</v>
      </c>
      <c r="DA113" s="68">
        <v>396123.3</v>
      </c>
      <c r="DB113" s="68">
        <v>397521</v>
      </c>
      <c r="DC113" s="68">
        <v>543431.30000000005</v>
      </c>
      <c r="DD113" s="68">
        <v>513495.1</v>
      </c>
      <c r="DE113" s="68">
        <v>400406.3</v>
      </c>
      <c r="DF113" s="68">
        <v>401150.5</v>
      </c>
      <c r="DG113" s="68">
        <v>381804.3</v>
      </c>
      <c r="DH113" s="68">
        <v>372275</v>
      </c>
      <c r="DI113" s="69">
        <v>367326.1</v>
      </c>
      <c r="DJ113" s="67">
        <v>355730.6</v>
      </c>
      <c r="DK113" s="68">
        <v>356341.33</v>
      </c>
      <c r="DL113" s="68">
        <v>363821.57</v>
      </c>
      <c r="DM113" s="68">
        <v>370220.55</v>
      </c>
      <c r="DN113" s="68">
        <v>362285.06</v>
      </c>
      <c r="DO113" s="68">
        <v>353819.59</v>
      </c>
      <c r="DP113" s="68">
        <v>350668.23</v>
      </c>
      <c r="DQ113" s="68">
        <v>345178.28</v>
      </c>
      <c r="DR113" s="68">
        <v>324346.09999999998</v>
      </c>
      <c r="DS113" s="68">
        <v>435416.45</v>
      </c>
      <c r="DT113" s="68">
        <v>380176.39</v>
      </c>
      <c r="DU113" s="69">
        <v>336461.96</v>
      </c>
      <c r="DV113" s="61">
        <v>334448.07</v>
      </c>
      <c r="DW113" s="61">
        <v>329345.76</v>
      </c>
      <c r="DX113" s="61">
        <v>313888.21999999997</v>
      </c>
      <c r="DY113" s="61">
        <v>282440.55</v>
      </c>
      <c r="DZ113" s="79">
        <v>265875.75</v>
      </c>
      <c r="EB113" s="79"/>
      <c r="EC113" s="79"/>
      <c r="ED113" s="79"/>
      <c r="EE113" s="79"/>
      <c r="EF113" s="79"/>
      <c r="EG113" s="79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2"/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2"/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2"/>
      <c r="FX113" s="62"/>
      <c r="FY113" s="62"/>
      <c r="FZ113" s="62"/>
      <c r="GA113" s="62"/>
      <c r="GB113" s="62"/>
      <c r="GC113" s="62"/>
      <c r="GD113" s="62"/>
      <c r="GF113" s="62"/>
      <c r="GG113" s="62"/>
      <c r="GH113" s="62"/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2"/>
      <c r="HI113" s="62"/>
      <c r="HJ113" s="62"/>
      <c r="HK113" s="62"/>
      <c r="HL113" s="62"/>
      <c r="HM113" s="62"/>
      <c r="HN113" s="62"/>
      <c r="HO113" s="62"/>
      <c r="HP113" s="62"/>
      <c r="HQ113" s="62"/>
      <c r="HR113" s="62"/>
      <c r="HS113" s="62"/>
      <c r="HT113" s="62"/>
      <c r="HU113" s="62"/>
      <c r="HV113" s="62"/>
      <c r="HW113" s="62"/>
      <c r="HX113" s="62"/>
      <c r="HY113" s="62"/>
      <c r="HZ113" s="62"/>
      <c r="IA113" s="62"/>
      <c r="IB113" s="62"/>
      <c r="IC113" s="62"/>
      <c r="ID113" s="62"/>
      <c r="IE113" s="62"/>
      <c r="IF113" s="62"/>
      <c r="IG113" s="62"/>
      <c r="IH113" s="62"/>
      <c r="II113" s="62"/>
      <c r="IJ113" s="62"/>
      <c r="IK113" s="62"/>
      <c r="IL113" s="62"/>
      <c r="IM113" s="62"/>
      <c r="IN113" s="62"/>
      <c r="IO113" s="62"/>
      <c r="IP113" s="62"/>
      <c r="IQ113" s="62"/>
      <c r="IR113" s="62"/>
      <c r="IS113" s="62"/>
      <c r="IT113" s="62"/>
      <c r="IU113" s="62"/>
      <c r="IV113" s="62"/>
      <c r="IW113" s="62"/>
      <c r="IX113" s="62"/>
      <c r="IY113" s="62"/>
      <c r="IZ113" s="62"/>
      <c r="JA113" s="62"/>
      <c r="JB113" s="62"/>
      <c r="JC113" s="62"/>
      <c r="JD113" s="62"/>
      <c r="JE113" s="62"/>
      <c r="JF113" s="62"/>
      <c r="JG113" s="62"/>
      <c r="JH113" s="62"/>
      <c r="JI113" s="62"/>
      <c r="JJ113" s="62"/>
      <c r="JK113" s="62"/>
      <c r="JL113" s="62"/>
      <c r="JM113" s="62"/>
      <c r="JN113" s="62"/>
      <c r="JO113" s="62"/>
      <c r="JP113" s="62"/>
      <c r="JQ113" s="62"/>
      <c r="JR113" s="62"/>
      <c r="JS113" s="62"/>
      <c r="JT113" s="62"/>
      <c r="JU113" s="62"/>
      <c r="JV113" s="62"/>
      <c r="JW113" s="62"/>
      <c r="JX113" s="62"/>
      <c r="JY113" s="62"/>
      <c r="JZ113" s="62"/>
      <c r="KA113" s="62"/>
      <c r="KB113" s="62"/>
      <c r="KC113" s="62"/>
      <c r="KD113" s="62"/>
      <c r="KE113" s="62"/>
      <c r="KF113" s="62"/>
      <c r="KG113" s="62"/>
      <c r="KH113" s="62"/>
      <c r="KI113" s="62"/>
      <c r="KJ113" s="62"/>
      <c r="KK113" s="62"/>
      <c r="KL113" s="62"/>
      <c r="KM113" s="62"/>
      <c r="KN113" s="62"/>
      <c r="KO113" s="62"/>
      <c r="KP113" s="62"/>
      <c r="KQ113" s="62"/>
      <c r="KR113" s="62"/>
      <c r="KS113" s="62"/>
      <c r="KT113" s="62"/>
      <c r="KU113" s="62"/>
      <c r="KV113" s="62"/>
      <c r="KW113" s="62"/>
      <c r="KX113" s="62"/>
      <c r="KY113" s="62"/>
      <c r="KZ113" s="62"/>
      <c r="LA113" s="62"/>
      <c r="LB113" s="62"/>
      <c r="LC113" s="62"/>
      <c r="LD113" s="62"/>
      <c r="LE113" s="62"/>
      <c r="LF113" s="62"/>
      <c r="LG113" s="62"/>
      <c r="LH113" s="62"/>
      <c r="LI113" s="62"/>
    </row>
    <row r="114" spans="3:321">
      <c r="D114" s="59">
        <v>4212</v>
      </c>
      <c r="E114" s="60" t="s">
        <v>422</v>
      </c>
      <c r="F114" s="67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9"/>
      <c r="R114" s="67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67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9"/>
      <c r="AP114" s="67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9"/>
      <c r="BB114" s="67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9"/>
      <c r="BN114" s="67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9"/>
      <c r="BZ114" s="67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7">
        <v>692492.44</v>
      </c>
      <c r="CM114" s="68">
        <v>697591.64</v>
      </c>
      <c r="CN114" s="68">
        <v>683432.43</v>
      </c>
      <c r="CO114" s="68">
        <v>671299.94</v>
      </c>
      <c r="CP114" s="68">
        <v>699382.33</v>
      </c>
      <c r="CQ114" s="68">
        <v>823199.12</v>
      </c>
      <c r="CR114" s="68">
        <v>736957.15</v>
      </c>
      <c r="CS114" s="68">
        <v>677551.94</v>
      </c>
      <c r="CT114" s="68">
        <v>674250.38</v>
      </c>
      <c r="CU114" s="68">
        <v>755981.07</v>
      </c>
      <c r="CV114" s="68">
        <v>657639.29</v>
      </c>
      <c r="CW114" s="69">
        <v>751583.81</v>
      </c>
      <c r="CX114" s="67">
        <v>743680.58</v>
      </c>
      <c r="CY114" s="68">
        <v>856282.84</v>
      </c>
      <c r="CZ114" s="68">
        <v>644229.39</v>
      </c>
      <c r="DA114" s="68">
        <v>647331.77</v>
      </c>
      <c r="DB114" s="68">
        <v>645086.06999999995</v>
      </c>
      <c r="DC114" s="68">
        <v>791696.9</v>
      </c>
      <c r="DD114" s="68">
        <v>739346.29</v>
      </c>
      <c r="DE114" s="68">
        <v>636311.63</v>
      </c>
      <c r="DF114" s="68">
        <v>626833.76</v>
      </c>
      <c r="DG114" s="68">
        <v>622446.93000000005</v>
      </c>
      <c r="DH114" s="68">
        <v>612445.31000000006</v>
      </c>
      <c r="DI114" s="69">
        <v>612737</v>
      </c>
      <c r="DJ114" s="67">
        <v>691220.46</v>
      </c>
      <c r="DK114" s="68">
        <v>818206.59</v>
      </c>
      <c r="DL114" s="68">
        <v>644022.49</v>
      </c>
      <c r="DM114" s="68">
        <v>729198.6</v>
      </c>
      <c r="DN114" s="68">
        <v>591422.56000000006</v>
      </c>
      <c r="DO114" s="68">
        <v>586897.75</v>
      </c>
      <c r="DP114" s="68">
        <v>581982.98</v>
      </c>
      <c r="DQ114" s="68">
        <v>586430.07999999996</v>
      </c>
      <c r="DR114" s="68">
        <v>581917.17000000004</v>
      </c>
      <c r="DS114" s="68">
        <v>678352.48</v>
      </c>
      <c r="DT114" s="68">
        <v>577047.26</v>
      </c>
      <c r="DU114" s="69">
        <v>718676.93</v>
      </c>
      <c r="DV114" s="61">
        <v>564429.37</v>
      </c>
      <c r="DW114" s="61">
        <v>657072.82999999996</v>
      </c>
      <c r="DX114" s="61">
        <v>620609.93999999994</v>
      </c>
      <c r="DY114" s="61">
        <v>561443.18000000005</v>
      </c>
      <c r="DZ114" s="79">
        <v>551710.06999999995</v>
      </c>
      <c r="EB114" s="79"/>
      <c r="EC114" s="79"/>
      <c r="ED114" s="79"/>
      <c r="EE114" s="79"/>
      <c r="EF114" s="79"/>
      <c r="EG114" s="79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70"/>
      <c r="EU114" s="70"/>
      <c r="EV114" s="70"/>
      <c r="EW114" s="70"/>
      <c r="EX114" s="70"/>
      <c r="EY114" s="70"/>
      <c r="EZ114" s="70"/>
      <c r="FA114" s="70"/>
      <c r="FB114" s="70"/>
      <c r="FC114" s="70"/>
      <c r="FD114" s="62"/>
      <c r="FE114" s="62"/>
      <c r="FF114" s="62"/>
      <c r="FG114" s="62"/>
      <c r="FH114" s="62"/>
      <c r="FI114" s="62"/>
      <c r="FJ114" s="62"/>
      <c r="FK114" s="62"/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2"/>
      <c r="FX114" s="62"/>
      <c r="FY114" s="62"/>
      <c r="FZ114" s="62"/>
      <c r="GA114" s="62"/>
      <c r="GB114" s="62"/>
      <c r="GC114" s="62"/>
      <c r="GD114" s="62"/>
      <c r="GF114" s="62"/>
      <c r="GG114" s="62"/>
      <c r="GH114" s="62"/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  <c r="GW114" s="62"/>
      <c r="GX114" s="62"/>
      <c r="GY114" s="62"/>
      <c r="GZ114" s="62"/>
      <c r="HA114" s="62"/>
      <c r="HB114" s="62"/>
      <c r="HC114" s="62"/>
      <c r="HD114" s="62"/>
      <c r="HE114" s="62"/>
      <c r="HF114" s="62"/>
      <c r="HG114" s="62"/>
      <c r="HH114" s="62"/>
      <c r="HI114" s="62"/>
      <c r="HJ114" s="62"/>
      <c r="HK114" s="62"/>
      <c r="HL114" s="62"/>
      <c r="HM114" s="62"/>
      <c r="HN114" s="62"/>
      <c r="HO114" s="62"/>
      <c r="HP114" s="62"/>
      <c r="HQ114" s="62"/>
      <c r="HR114" s="62"/>
      <c r="HS114" s="62"/>
      <c r="HT114" s="62"/>
      <c r="HU114" s="62"/>
      <c r="HV114" s="62"/>
      <c r="HW114" s="62"/>
      <c r="HX114" s="62"/>
      <c r="HY114" s="62"/>
      <c r="HZ114" s="62"/>
      <c r="IA114" s="62"/>
      <c r="IB114" s="62"/>
      <c r="IC114" s="62"/>
      <c r="ID114" s="62"/>
      <c r="IE114" s="62"/>
      <c r="IF114" s="62"/>
      <c r="IG114" s="62"/>
      <c r="IH114" s="62"/>
      <c r="II114" s="62"/>
      <c r="IJ114" s="62"/>
      <c r="IK114" s="62"/>
      <c r="IL114" s="62"/>
      <c r="IM114" s="62"/>
      <c r="IN114" s="62"/>
      <c r="IO114" s="62"/>
      <c r="IP114" s="62"/>
      <c r="IQ114" s="62"/>
      <c r="IR114" s="62"/>
      <c r="IS114" s="62"/>
      <c r="IT114" s="62"/>
      <c r="IU114" s="62"/>
      <c r="IV114" s="62"/>
      <c r="IW114" s="62"/>
      <c r="IX114" s="62"/>
      <c r="IY114" s="62"/>
      <c r="IZ114" s="62"/>
      <c r="JA114" s="62"/>
      <c r="JB114" s="62"/>
      <c r="JC114" s="62"/>
      <c r="JD114" s="62"/>
      <c r="JE114" s="62"/>
      <c r="JF114" s="62"/>
      <c r="JG114" s="62"/>
      <c r="JH114" s="62"/>
      <c r="JI114" s="62"/>
      <c r="JJ114" s="62"/>
      <c r="JK114" s="62"/>
      <c r="JL114" s="62"/>
      <c r="JM114" s="62"/>
      <c r="JN114" s="62"/>
      <c r="JO114" s="62"/>
      <c r="JP114" s="62"/>
      <c r="JQ114" s="62"/>
      <c r="JR114" s="62"/>
      <c r="JS114" s="62"/>
      <c r="JT114" s="62"/>
      <c r="JU114" s="62"/>
      <c r="JV114" s="62"/>
      <c r="JW114" s="62"/>
      <c r="JX114" s="62"/>
      <c r="JY114" s="62"/>
      <c r="JZ114" s="62"/>
      <c r="KA114" s="62"/>
      <c r="KB114" s="62"/>
      <c r="KC114" s="62"/>
      <c r="KD114" s="62"/>
      <c r="KE114" s="62"/>
      <c r="KF114" s="62"/>
      <c r="KG114" s="62"/>
      <c r="KH114" s="62"/>
      <c r="KI114" s="62"/>
      <c r="KJ114" s="62"/>
      <c r="KK114" s="62"/>
      <c r="KL114" s="62"/>
      <c r="KM114" s="62"/>
      <c r="KN114" s="62"/>
      <c r="KO114" s="62"/>
      <c r="KP114" s="62"/>
      <c r="KQ114" s="62"/>
      <c r="KR114" s="62"/>
      <c r="KS114" s="62"/>
      <c r="KT114" s="62"/>
      <c r="KU114" s="62"/>
      <c r="KV114" s="62"/>
      <c r="KW114" s="62"/>
      <c r="KX114" s="62"/>
      <c r="KY114" s="62"/>
      <c r="KZ114" s="62"/>
      <c r="LA114" s="62"/>
      <c r="LB114" s="62"/>
      <c r="LC114" s="62"/>
      <c r="LD114" s="62"/>
      <c r="LE114" s="62"/>
      <c r="LF114" s="62"/>
      <c r="LG114" s="62"/>
      <c r="LH114" s="62"/>
      <c r="LI114" s="62"/>
    </row>
    <row r="115" spans="3:321" ht="30">
      <c r="D115" s="59">
        <v>4213</v>
      </c>
      <c r="E115" s="60" t="s">
        <v>423</v>
      </c>
      <c r="F115" s="67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9"/>
      <c r="R115" s="67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67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9"/>
      <c r="AP115" s="67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9"/>
      <c r="BB115" s="67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9"/>
      <c r="BN115" s="67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9"/>
      <c r="BZ115" s="67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7">
        <v>1460897.35</v>
      </c>
      <c r="CM115" s="68">
        <v>1482287.73</v>
      </c>
      <c r="CN115" s="68">
        <v>1502308</v>
      </c>
      <c r="CO115" s="68">
        <v>1507261.74</v>
      </c>
      <c r="CP115" s="68">
        <v>1517082.85</v>
      </c>
      <c r="CQ115" s="68">
        <v>1524181.16</v>
      </c>
      <c r="CR115" s="68">
        <v>1520509.77</v>
      </c>
      <c r="CS115" s="68">
        <v>1457909.3</v>
      </c>
      <c r="CT115" s="68">
        <v>1405165.45</v>
      </c>
      <c r="CU115" s="68">
        <v>1394713.68</v>
      </c>
      <c r="CV115" s="68">
        <v>1383388.04</v>
      </c>
      <c r="CW115" s="69">
        <v>1687837</v>
      </c>
      <c r="CX115" s="67">
        <v>1375790.24</v>
      </c>
      <c r="CY115" s="68">
        <v>1399434.59</v>
      </c>
      <c r="CZ115" s="68">
        <v>1439567.75</v>
      </c>
      <c r="DA115" s="68">
        <v>1474379.21</v>
      </c>
      <c r="DB115" s="68">
        <v>1455630.81</v>
      </c>
      <c r="DC115" s="68">
        <v>1477079.52</v>
      </c>
      <c r="DD115" s="68">
        <v>1448301.04</v>
      </c>
      <c r="DE115" s="68">
        <v>1565932.21</v>
      </c>
      <c r="DF115" s="68">
        <v>1417693.77</v>
      </c>
      <c r="DG115" s="68">
        <v>1450597.5</v>
      </c>
      <c r="DH115" s="68">
        <v>1370222.75</v>
      </c>
      <c r="DI115" s="69">
        <v>1337323.92</v>
      </c>
      <c r="DJ115" s="67">
        <v>1307049.48</v>
      </c>
      <c r="DK115" s="68">
        <v>1328394.29</v>
      </c>
      <c r="DL115" s="68">
        <v>1481080.23</v>
      </c>
      <c r="DM115" s="68">
        <v>1510728.15</v>
      </c>
      <c r="DN115" s="68">
        <v>1219098.94</v>
      </c>
      <c r="DO115" s="68">
        <v>1145000.6299999999</v>
      </c>
      <c r="DP115" s="68">
        <v>1168414.95</v>
      </c>
      <c r="DQ115" s="68">
        <v>1060525.06</v>
      </c>
      <c r="DR115" s="68">
        <v>1122304.45</v>
      </c>
      <c r="DS115" s="68">
        <v>1108062.3500000001</v>
      </c>
      <c r="DT115" s="68">
        <v>1103355.79</v>
      </c>
      <c r="DU115" s="69">
        <v>1111942.99</v>
      </c>
      <c r="DV115" s="61">
        <v>1111282.95</v>
      </c>
      <c r="DW115" s="61">
        <v>1096472.2</v>
      </c>
      <c r="DX115" s="61">
        <v>1014170.31</v>
      </c>
      <c r="DY115" s="61">
        <v>962641.86</v>
      </c>
      <c r="DZ115" s="79">
        <v>904514.68</v>
      </c>
      <c r="EB115" s="79"/>
      <c r="EC115" s="79"/>
      <c r="ED115" s="79"/>
      <c r="EE115" s="79"/>
      <c r="EF115" s="79"/>
      <c r="EG115" s="79"/>
      <c r="EH115" s="62"/>
      <c r="EI115" s="62"/>
      <c r="EJ115" s="62"/>
      <c r="EK115" s="62"/>
      <c r="EL115" s="62"/>
      <c r="EM115" s="62"/>
      <c r="EN115" s="62"/>
      <c r="EO115" s="62"/>
      <c r="EP115" s="62"/>
      <c r="EQ115" s="62"/>
      <c r="ER115" s="62"/>
      <c r="ES115" s="62"/>
      <c r="ET115" s="70"/>
      <c r="EU115" s="70"/>
      <c r="EV115" s="70"/>
      <c r="EW115" s="70"/>
      <c r="EX115" s="70"/>
      <c r="EY115" s="70"/>
      <c r="EZ115" s="70"/>
      <c r="FA115" s="70"/>
      <c r="FB115" s="70"/>
      <c r="FC115" s="70"/>
      <c r="FD115" s="62"/>
      <c r="FE115" s="62"/>
      <c r="FF115" s="62"/>
      <c r="FG115" s="62"/>
      <c r="FH115" s="62"/>
      <c r="FI115" s="62"/>
      <c r="FJ115" s="62"/>
      <c r="FK115" s="62"/>
      <c r="FL115" s="62"/>
      <c r="FM115" s="62"/>
      <c r="FN115" s="62"/>
      <c r="FO115" s="62"/>
      <c r="FP115" s="62"/>
      <c r="FQ115" s="62"/>
      <c r="FR115" s="62"/>
      <c r="FS115" s="62"/>
      <c r="FT115" s="62"/>
      <c r="FU115" s="62"/>
      <c r="FV115" s="62"/>
      <c r="FW115" s="62"/>
      <c r="FX115" s="62"/>
      <c r="FY115" s="62"/>
      <c r="FZ115" s="62"/>
      <c r="GA115" s="62"/>
      <c r="GB115" s="62"/>
      <c r="GC115" s="62"/>
      <c r="GD115" s="62"/>
      <c r="GF115" s="62"/>
      <c r="GG115" s="62"/>
      <c r="GH115" s="62"/>
      <c r="GI115" s="62"/>
      <c r="GJ115" s="62"/>
      <c r="GK115" s="62"/>
      <c r="GL115" s="62"/>
      <c r="GM115" s="62"/>
      <c r="GN115" s="62"/>
      <c r="GO115" s="62"/>
      <c r="GP115" s="62"/>
      <c r="GQ115" s="62"/>
      <c r="GR115" s="62"/>
      <c r="GS115" s="62"/>
      <c r="GT115" s="62"/>
      <c r="GU115" s="62"/>
      <c r="GV115" s="62"/>
      <c r="GW115" s="62"/>
      <c r="GX115" s="62"/>
      <c r="GY115" s="62"/>
      <c r="GZ115" s="62"/>
      <c r="HA115" s="62"/>
      <c r="HB115" s="62"/>
      <c r="HC115" s="62"/>
      <c r="HD115" s="62"/>
      <c r="HE115" s="62"/>
      <c r="HF115" s="62"/>
      <c r="HG115" s="62"/>
      <c r="HH115" s="62"/>
      <c r="HI115" s="62"/>
      <c r="HJ115" s="62"/>
      <c r="HK115" s="62"/>
      <c r="HL115" s="62"/>
      <c r="HM115" s="62"/>
      <c r="HN115" s="62"/>
      <c r="HO115" s="62"/>
      <c r="HP115" s="62"/>
      <c r="HQ115" s="62"/>
      <c r="HR115" s="62"/>
      <c r="HS115" s="62"/>
      <c r="HT115" s="62"/>
      <c r="HU115" s="62"/>
      <c r="HV115" s="62"/>
      <c r="HW115" s="62"/>
      <c r="HX115" s="62"/>
      <c r="HY115" s="62"/>
      <c r="HZ115" s="62"/>
      <c r="IA115" s="62"/>
      <c r="IB115" s="62"/>
      <c r="IC115" s="62"/>
      <c r="ID115" s="62"/>
      <c r="IE115" s="62"/>
      <c r="IF115" s="62"/>
      <c r="IG115" s="62"/>
      <c r="IH115" s="62"/>
      <c r="II115" s="62"/>
      <c r="IJ115" s="62"/>
      <c r="IK115" s="62"/>
      <c r="IL115" s="62"/>
      <c r="IM115" s="62"/>
      <c r="IN115" s="62"/>
      <c r="IO115" s="62"/>
      <c r="IP115" s="62"/>
      <c r="IQ115" s="62"/>
      <c r="IR115" s="62"/>
      <c r="IS115" s="62"/>
      <c r="IT115" s="62"/>
      <c r="IU115" s="62"/>
      <c r="IV115" s="62"/>
      <c r="IW115" s="62"/>
      <c r="IX115" s="62"/>
      <c r="IY115" s="62"/>
      <c r="IZ115" s="62"/>
      <c r="JA115" s="62"/>
      <c r="JB115" s="62"/>
      <c r="JC115" s="62"/>
      <c r="JD115" s="62"/>
      <c r="JE115" s="62"/>
      <c r="JF115" s="62"/>
      <c r="JG115" s="62"/>
      <c r="JH115" s="62"/>
      <c r="JI115" s="62"/>
      <c r="JJ115" s="62"/>
      <c r="JK115" s="62"/>
      <c r="JL115" s="62"/>
      <c r="JM115" s="62"/>
      <c r="JN115" s="62"/>
      <c r="JO115" s="62"/>
      <c r="JP115" s="62"/>
      <c r="JQ115" s="62"/>
      <c r="JR115" s="62"/>
      <c r="JS115" s="62"/>
      <c r="JT115" s="62"/>
      <c r="JU115" s="62"/>
      <c r="JV115" s="62"/>
      <c r="JW115" s="62"/>
      <c r="JX115" s="62"/>
      <c r="JY115" s="62"/>
      <c r="JZ115" s="62"/>
      <c r="KA115" s="62"/>
      <c r="KB115" s="62"/>
      <c r="KC115" s="62"/>
      <c r="KD115" s="62"/>
      <c r="KE115" s="62"/>
      <c r="KF115" s="62"/>
      <c r="KG115" s="62"/>
      <c r="KH115" s="62"/>
      <c r="KI115" s="62"/>
      <c r="KJ115" s="62"/>
      <c r="KK115" s="62"/>
      <c r="KL115" s="62"/>
      <c r="KM115" s="62"/>
      <c r="KN115" s="62"/>
      <c r="KO115" s="62"/>
      <c r="KP115" s="62"/>
      <c r="KQ115" s="62"/>
      <c r="KR115" s="62"/>
      <c r="KS115" s="62"/>
      <c r="KT115" s="62"/>
      <c r="KU115" s="62"/>
      <c r="KV115" s="62"/>
      <c r="KW115" s="62"/>
      <c r="KX115" s="62"/>
      <c r="KY115" s="62"/>
      <c r="KZ115" s="62"/>
      <c r="LA115" s="62"/>
      <c r="LB115" s="62"/>
      <c r="LC115" s="62"/>
      <c r="LD115" s="62"/>
      <c r="LE115" s="62"/>
      <c r="LF115" s="62"/>
      <c r="LG115" s="62"/>
      <c r="LH115" s="62"/>
      <c r="LI115" s="62"/>
    </row>
    <row r="116" spans="3:321">
      <c r="D116" s="59">
        <v>4214</v>
      </c>
      <c r="E116" s="60" t="s">
        <v>424</v>
      </c>
      <c r="F116" s="67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9"/>
      <c r="R116" s="67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67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9"/>
      <c r="AP116" s="67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9"/>
      <c r="BB116" s="67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9"/>
      <c r="BN116" s="67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9"/>
      <c r="BZ116" s="67"/>
      <c r="CA116" s="68"/>
      <c r="CB116" s="68"/>
      <c r="CC116" s="68"/>
      <c r="CD116" s="68"/>
      <c r="CE116" s="68"/>
      <c r="CF116" s="68"/>
      <c r="CG116" s="68"/>
      <c r="CH116" s="68"/>
      <c r="CI116" s="68"/>
      <c r="CJ116" s="68"/>
      <c r="CK116" s="68"/>
      <c r="CL116" s="67">
        <v>1624645.11</v>
      </c>
      <c r="CM116" s="68">
        <v>2597051.81</v>
      </c>
      <c r="CN116" s="68">
        <v>1900434.49</v>
      </c>
      <c r="CO116" s="68">
        <v>1932153.2</v>
      </c>
      <c r="CP116" s="68">
        <v>1674505.9</v>
      </c>
      <c r="CQ116" s="68">
        <v>1536013.97</v>
      </c>
      <c r="CR116" s="68">
        <v>1627459.28</v>
      </c>
      <c r="CS116" s="68">
        <v>991564.95</v>
      </c>
      <c r="CT116" s="68">
        <v>1146005.8799999999</v>
      </c>
      <c r="CU116" s="68">
        <v>1372886.68</v>
      </c>
      <c r="CV116" s="68">
        <v>1630539.33</v>
      </c>
      <c r="CW116" s="69">
        <v>1445222.44</v>
      </c>
      <c r="CX116" s="67">
        <v>1535360.82</v>
      </c>
      <c r="CY116" s="68">
        <v>1479802.31</v>
      </c>
      <c r="CZ116" s="68">
        <v>1365996.36</v>
      </c>
      <c r="DA116" s="68">
        <v>1445854.24</v>
      </c>
      <c r="DB116" s="68">
        <v>1240227.33</v>
      </c>
      <c r="DC116" s="68">
        <v>1363632.6</v>
      </c>
      <c r="DD116" s="68">
        <v>1500407.14</v>
      </c>
      <c r="DE116" s="68">
        <v>1239582.1599999999</v>
      </c>
      <c r="DF116" s="68">
        <v>1493192.38</v>
      </c>
      <c r="DG116" s="68">
        <v>1487275.48</v>
      </c>
      <c r="DH116" s="68">
        <v>2004934.39</v>
      </c>
      <c r="DI116" s="69">
        <v>1670147.64</v>
      </c>
      <c r="DJ116" s="67">
        <v>1305632.73</v>
      </c>
      <c r="DK116" s="68">
        <v>1410746.36</v>
      </c>
      <c r="DL116" s="68">
        <v>1423076.41</v>
      </c>
      <c r="DM116" s="68">
        <v>1368918.05</v>
      </c>
      <c r="DN116" s="68">
        <v>1426578.23</v>
      </c>
      <c r="DO116" s="68">
        <v>1538295.47</v>
      </c>
      <c r="DP116" s="68">
        <v>1606699.17</v>
      </c>
      <c r="DQ116" s="68">
        <v>1445734.21</v>
      </c>
      <c r="DR116" s="68">
        <v>1449683.05</v>
      </c>
      <c r="DS116" s="68">
        <v>1627060.74</v>
      </c>
      <c r="DT116" s="68">
        <v>1631564.83</v>
      </c>
      <c r="DU116" s="69">
        <v>1641422.16</v>
      </c>
      <c r="DV116" s="61">
        <v>1262803.25</v>
      </c>
      <c r="DW116" s="61">
        <v>1385142.79</v>
      </c>
      <c r="DX116" s="61">
        <v>1479298.87</v>
      </c>
      <c r="DY116" s="61">
        <v>1423347.08</v>
      </c>
      <c r="DZ116" s="79">
        <v>1138006.3899999999</v>
      </c>
      <c r="EB116" s="79"/>
      <c r="EC116" s="79"/>
      <c r="ED116" s="79"/>
      <c r="EE116" s="79"/>
      <c r="EF116" s="79"/>
      <c r="EG116" s="79"/>
      <c r="EH116" s="62"/>
      <c r="EI116" s="62"/>
      <c r="EJ116" s="62"/>
      <c r="EK116" s="62"/>
      <c r="EL116" s="62"/>
      <c r="EM116" s="62"/>
      <c r="EN116" s="62"/>
      <c r="EO116" s="62"/>
      <c r="EP116" s="62"/>
      <c r="EQ116" s="62"/>
      <c r="ER116" s="62"/>
      <c r="ES116" s="62"/>
      <c r="ET116" s="70"/>
      <c r="EU116" s="70"/>
      <c r="EV116" s="70"/>
      <c r="EW116" s="70"/>
      <c r="EX116" s="70"/>
      <c r="EY116" s="70"/>
      <c r="EZ116" s="70"/>
      <c r="FA116" s="70"/>
      <c r="FB116" s="70"/>
      <c r="FC116" s="70"/>
      <c r="FD116" s="62"/>
      <c r="FE116" s="62"/>
      <c r="FF116" s="62"/>
      <c r="FG116" s="62"/>
      <c r="FH116" s="62"/>
      <c r="FI116" s="62"/>
      <c r="FJ116" s="62"/>
      <c r="FK116" s="62"/>
      <c r="FL116" s="62"/>
      <c r="FM116" s="62"/>
      <c r="FN116" s="62"/>
      <c r="FO116" s="62"/>
      <c r="FP116" s="62"/>
      <c r="FQ116" s="62"/>
      <c r="FR116" s="62"/>
      <c r="FS116" s="62"/>
      <c r="FT116" s="62"/>
      <c r="FU116" s="62"/>
      <c r="FV116" s="62"/>
      <c r="FW116" s="62"/>
      <c r="FX116" s="62"/>
      <c r="FY116" s="62"/>
      <c r="FZ116" s="62"/>
      <c r="GA116" s="62"/>
      <c r="GB116" s="62"/>
      <c r="GC116" s="62"/>
      <c r="GD116" s="62"/>
      <c r="GF116" s="62"/>
      <c r="GG116" s="62"/>
      <c r="GH116" s="62"/>
      <c r="GI116" s="62"/>
      <c r="GJ116" s="62"/>
      <c r="GK116" s="62"/>
      <c r="GL116" s="62"/>
      <c r="GM116" s="62"/>
      <c r="GN116" s="62"/>
      <c r="GO116" s="62"/>
      <c r="GP116" s="62"/>
      <c r="GQ116" s="62"/>
      <c r="GR116" s="62"/>
      <c r="GS116" s="62"/>
      <c r="GT116" s="62"/>
      <c r="GU116" s="62"/>
      <c r="GV116" s="62"/>
      <c r="GW116" s="62"/>
      <c r="GX116" s="62"/>
      <c r="GY116" s="62"/>
      <c r="GZ116" s="62"/>
      <c r="HA116" s="62"/>
      <c r="HB116" s="62"/>
      <c r="HC116" s="62"/>
      <c r="HD116" s="62"/>
      <c r="HE116" s="62"/>
      <c r="HF116" s="62"/>
      <c r="HG116" s="62"/>
      <c r="HH116" s="62"/>
      <c r="HI116" s="62"/>
      <c r="HJ116" s="62"/>
      <c r="HK116" s="62"/>
      <c r="HL116" s="62"/>
      <c r="HM116" s="62"/>
      <c r="HN116" s="62"/>
      <c r="HO116" s="62"/>
      <c r="HP116" s="62"/>
      <c r="HQ116" s="62"/>
      <c r="HR116" s="62"/>
      <c r="HS116" s="62"/>
      <c r="HT116" s="62"/>
      <c r="HU116" s="62"/>
      <c r="HV116" s="62"/>
      <c r="HW116" s="62"/>
      <c r="HX116" s="62"/>
      <c r="HY116" s="62"/>
      <c r="HZ116" s="62"/>
      <c r="IA116" s="62"/>
      <c r="IB116" s="62"/>
      <c r="IC116" s="62"/>
      <c r="ID116" s="62"/>
      <c r="IE116" s="62"/>
      <c r="IF116" s="62"/>
      <c r="IG116" s="62"/>
      <c r="IH116" s="62"/>
      <c r="II116" s="62"/>
      <c r="IJ116" s="62"/>
      <c r="IK116" s="62"/>
      <c r="IL116" s="62"/>
      <c r="IM116" s="62"/>
      <c r="IN116" s="62"/>
      <c r="IO116" s="62"/>
      <c r="IP116" s="62"/>
      <c r="IQ116" s="62"/>
      <c r="IR116" s="62"/>
      <c r="IS116" s="62"/>
      <c r="IT116" s="62"/>
      <c r="IU116" s="62"/>
      <c r="IV116" s="62"/>
      <c r="IW116" s="62"/>
      <c r="IX116" s="62"/>
      <c r="IY116" s="62"/>
      <c r="IZ116" s="62"/>
      <c r="JA116" s="62"/>
      <c r="JB116" s="62"/>
      <c r="JC116" s="62"/>
      <c r="JD116" s="62"/>
      <c r="JE116" s="62"/>
      <c r="JF116" s="62"/>
      <c r="JG116" s="62"/>
      <c r="JH116" s="62"/>
      <c r="JI116" s="62"/>
      <c r="JJ116" s="62"/>
      <c r="JK116" s="62"/>
      <c r="JL116" s="62"/>
      <c r="JM116" s="62"/>
      <c r="JN116" s="62"/>
      <c r="JO116" s="62"/>
      <c r="JP116" s="62"/>
      <c r="JQ116" s="62"/>
      <c r="JR116" s="62"/>
      <c r="JS116" s="62"/>
      <c r="JT116" s="62"/>
      <c r="JU116" s="62"/>
      <c r="JV116" s="62"/>
      <c r="JW116" s="62"/>
      <c r="JX116" s="62"/>
      <c r="JY116" s="62"/>
      <c r="JZ116" s="62"/>
      <c r="KA116" s="62"/>
      <c r="KB116" s="62"/>
      <c r="KC116" s="62"/>
      <c r="KD116" s="62"/>
      <c r="KE116" s="62"/>
      <c r="KF116" s="62"/>
      <c r="KG116" s="62"/>
      <c r="KH116" s="62"/>
      <c r="KI116" s="62"/>
      <c r="KJ116" s="62"/>
      <c r="KK116" s="62"/>
      <c r="KL116" s="62"/>
      <c r="KM116" s="62"/>
      <c r="KN116" s="62"/>
      <c r="KO116" s="62"/>
      <c r="KP116" s="62"/>
      <c r="KQ116" s="62"/>
      <c r="KR116" s="62"/>
      <c r="KS116" s="62"/>
      <c r="KT116" s="62"/>
      <c r="KU116" s="62"/>
      <c r="KV116" s="62"/>
      <c r="KW116" s="62"/>
      <c r="KX116" s="62"/>
      <c r="KY116" s="62"/>
      <c r="KZ116" s="62"/>
      <c r="LA116" s="62"/>
      <c r="LB116" s="62"/>
      <c r="LC116" s="62"/>
      <c r="LD116" s="62"/>
      <c r="LE116" s="62"/>
      <c r="LF116" s="62"/>
      <c r="LG116" s="62"/>
      <c r="LH116" s="62"/>
      <c r="LI116" s="62"/>
    </row>
    <row r="117" spans="3:321">
      <c r="D117" s="59">
        <v>4215</v>
      </c>
      <c r="E117" s="60" t="s">
        <v>425</v>
      </c>
      <c r="F117" s="67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9"/>
      <c r="R117" s="67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67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9"/>
      <c r="AP117" s="67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9"/>
      <c r="BB117" s="67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9"/>
      <c r="BN117" s="67"/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9"/>
      <c r="BZ117" s="67"/>
      <c r="CA117" s="68"/>
      <c r="CB117" s="68"/>
      <c r="CC117" s="68"/>
      <c r="CD117" s="68"/>
      <c r="CE117" s="68"/>
      <c r="CF117" s="68"/>
      <c r="CG117" s="68"/>
      <c r="CH117" s="68"/>
      <c r="CI117" s="68"/>
      <c r="CJ117" s="68"/>
      <c r="CK117" s="68"/>
      <c r="CL117" s="67">
        <v>788595.4</v>
      </c>
      <c r="CM117" s="68">
        <v>761647.82</v>
      </c>
      <c r="CN117" s="68">
        <v>740067.1</v>
      </c>
      <c r="CO117" s="68">
        <v>731668.76</v>
      </c>
      <c r="CP117" s="68">
        <v>815005.66</v>
      </c>
      <c r="CQ117" s="68">
        <v>759056.2</v>
      </c>
      <c r="CR117" s="68">
        <v>722754.6</v>
      </c>
      <c r="CS117" s="68">
        <v>726737.9</v>
      </c>
      <c r="CT117" s="68">
        <v>728274</v>
      </c>
      <c r="CU117" s="68">
        <v>724583.7</v>
      </c>
      <c r="CV117" s="68">
        <v>743621</v>
      </c>
      <c r="CW117" s="69">
        <v>821496.31</v>
      </c>
      <c r="CX117" s="67">
        <v>861549.93</v>
      </c>
      <c r="CY117" s="68">
        <v>827031.98</v>
      </c>
      <c r="CZ117" s="68">
        <v>791606.25</v>
      </c>
      <c r="DA117" s="68">
        <v>755333.5</v>
      </c>
      <c r="DB117" s="68">
        <v>789715.93</v>
      </c>
      <c r="DC117" s="68">
        <v>761287</v>
      </c>
      <c r="DD117" s="68">
        <v>899737.84</v>
      </c>
      <c r="DE117" s="68">
        <v>873878.65</v>
      </c>
      <c r="DF117" s="68">
        <v>788679.51</v>
      </c>
      <c r="DG117" s="68">
        <v>786024.2</v>
      </c>
      <c r="DH117" s="68">
        <v>825537.5</v>
      </c>
      <c r="DI117" s="69">
        <v>980926.56</v>
      </c>
      <c r="DJ117" s="67">
        <v>988431.99</v>
      </c>
      <c r="DK117" s="68">
        <v>887514.5</v>
      </c>
      <c r="DL117" s="68">
        <v>884463.3</v>
      </c>
      <c r="DM117" s="68">
        <v>886951.09</v>
      </c>
      <c r="DN117" s="68">
        <v>951300.8</v>
      </c>
      <c r="DO117" s="68">
        <v>979736.44</v>
      </c>
      <c r="DP117" s="68">
        <v>1154713.53</v>
      </c>
      <c r="DQ117" s="68">
        <v>982933.07</v>
      </c>
      <c r="DR117" s="68">
        <v>1023250.99</v>
      </c>
      <c r="DS117" s="68">
        <v>1020312.44</v>
      </c>
      <c r="DT117" s="68">
        <v>1121064.75</v>
      </c>
      <c r="DU117" s="69">
        <v>1089837.74</v>
      </c>
      <c r="DV117" s="61">
        <v>1299678.51</v>
      </c>
      <c r="DW117" s="61">
        <v>1414898.38</v>
      </c>
      <c r="DX117" s="61">
        <v>1441171.44</v>
      </c>
      <c r="DY117" s="61">
        <v>1599231.26</v>
      </c>
      <c r="DZ117" s="79">
        <v>1643679.98</v>
      </c>
      <c r="EB117" s="79"/>
      <c r="EC117" s="79"/>
      <c r="ED117" s="79"/>
      <c r="EE117" s="79"/>
      <c r="EF117" s="79"/>
      <c r="EG117" s="79"/>
      <c r="EH117" s="62"/>
      <c r="EI117" s="62"/>
      <c r="EJ117" s="62"/>
      <c r="EK117" s="62"/>
      <c r="EL117" s="62"/>
      <c r="EM117" s="62"/>
      <c r="EN117" s="62"/>
      <c r="EO117" s="62"/>
      <c r="EP117" s="62"/>
      <c r="EQ117" s="62"/>
      <c r="ER117" s="62"/>
      <c r="ES117" s="62"/>
      <c r="ET117" s="70"/>
      <c r="EU117" s="70"/>
      <c r="EV117" s="70"/>
      <c r="EW117" s="70"/>
      <c r="EX117" s="70"/>
      <c r="EY117" s="70"/>
      <c r="EZ117" s="70"/>
      <c r="FA117" s="70"/>
      <c r="FB117" s="70"/>
      <c r="FC117" s="70"/>
      <c r="FD117" s="62"/>
      <c r="FE117" s="62"/>
      <c r="FF117" s="62"/>
      <c r="FG117" s="62"/>
      <c r="FH117" s="62"/>
      <c r="FI117" s="62"/>
      <c r="FJ117" s="62"/>
      <c r="FK117" s="62"/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2"/>
      <c r="FX117" s="62"/>
      <c r="FY117" s="62"/>
      <c r="FZ117" s="62"/>
      <c r="GA117" s="62"/>
      <c r="GB117" s="62"/>
      <c r="GC117" s="62"/>
      <c r="GD117" s="62"/>
      <c r="GF117" s="62"/>
      <c r="GG117" s="62"/>
      <c r="GH117" s="62"/>
      <c r="GI117" s="62"/>
      <c r="GJ117" s="62"/>
      <c r="GK117" s="62"/>
      <c r="GL117" s="62"/>
      <c r="GM117" s="62"/>
      <c r="GN117" s="62"/>
      <c r="GO117" s="62"/>
      <c r="GP117" s="62"/>
      <c r="GQ117" s="62"/>
      <c r="GR117" s="62"/>
      <c r="GS117" s="62"/>
      <c r="GT117" s="62"/>
      <c r="GU117" s="62"/>
      <c r="GV117" s="62"/>
      <c r="GW117" s="62"/>
      <c r="GX117" s="62"/>
      <c r="GY117" s="62"/>
      <c r="GZ117" s="62"/>
      <c r="HA117" s="62"/>
      <c r="HB117" s="62"/>
      <c r="HC117" s="62"/>
      <c r="HD117" s="62"/>
      <c r="HE117" s="62"/>
      <c r="HF117" s="62"/>
      <c r="HG117" s="62"/>
      <c r="HH117" s="62"/>
      <c r="HI117" s="62"/>
      <c r="HJ117" s="62"/>
      <c r="HK117" s="62"/>
      <c r="HL117" s="62"/>
      <c r="HM117" s="62"/>
      <c r="HN117" s="62"/>
      <c r="HO117" s="62"/>
      <c r="HP117" s="62"/>
      <c r="HQ117" s="62"/>
      <c r="HR117" s="62"/>
      <c r="HS117" s="62"/>
      <c r="HT117" s="62"/>
      <c r="HU117" s="62"/>
      <c r="HV117" s="62"/>
      <c r="HW117" s="62"/>
      <c r="HX117" s="62"/>
      <c r="HY117" s="62"/>
      <c r="HZ117" s="62"/>
      <c r="IA117" s="62"/>
      <c r="IB117" s="62"/>
      <c r="IC117" s="62"/>
      <c r="ID117" s="62"/>
      <c r="IE117" s="62"/>
      <c r="IF117" s="62"/>
      <c r="IG117" s="62"/>
      <c r="IH117" s="62"/>
      <c r="II117" s="62"/>
      <c r="IJ117" s="62"/>
      <c r="IK117" s="62"/>
      <c r="IL117" s="62"/>
      <c r="IM117" s="62"/>
      <c r="IN117" s="62"/>
      <c r="IO117" s="62"/>
      <c r="IP117" s="62"/>
      <c r="IQ117" s="62"/>
      <c r="IR117" s="62"/>
      <c r="IS117" s="62"/>
      <c r="IT117" s="62"/>
      <c r="IU117" s="62"/>
      <c r="IV117" s="62"/>
      <c r="IW117" s="62"/>
      <c r="IX117" s="62"/>
      <c r="IY117" s="62"/>
      <c r="IZ117" s="62"/>
      <c r="JA117" s="62"/>
      <c r="JB117" s="62"/>
      <c r="JC117" s="62"/>
      <c r="JD117" s="62"/>
      <c r="JE117" s="62"/>
      <c r="JF117" s="62"/>
      <c r="JG117" s="62"/>
      <c r="JH117" s="62"/>
      <c r="JI117" s="62"/>
      <c r="JJ117" s="62"/>
      <c r="JK117" s="62"/>
      <c r="JL117" s="62"/>
      <c r="JM117" s="62"/>
      <c r="JN117" s="62"/>
      <c r="JO117" s="62"/>
      <c r="JP117" s="62"/>
      <c r="JQ117" s="62"/>
      <c r="JR117" s="62"/>
      <c r="JS117" s="62"/>
      <c r="JT117" s="62"/>
      <c r="JU117" s="62"/>
      <c r="JV117" s="62"/>
      <c r="JW117" s="62"/>
      <c r="JX117" s="62"/>
      <c r="JY117" s="62"/>
      <c r="JZ117" s="62"/>
      <c r="KA117" s="62"/>
      <c r="KB117" s="62"/>
      <c r="KC117" s="62"/>
      <c r="KD117" s="62"/>
      <c r="KE117" s="62"/>
      <c r="KF117" s="62"/>
      <c r="KG117" s="62"/>
      <c r="KH117" s="62"/>
      <c r="KI117" s="62"/>
      <c r="KJ117" s="62"/>
      <c r="KK117" s="62"/>
      <c r="KL117" s="62"/>
      <c r="KM117" s="62"/>
      <c r="KN117" s="62"/>
      <c r="KO117" s="62"/>
      <c r="KP117" s="62"/>
      <c r="KQ117" s="62"/>
      <c r="KR117" s="62"/>
      <c r="KS117" s="62"/>
      <c r="KT117" s="62"/>
      <c r="KU117" s="62"/>
      <c r="KV117" s="62"/>
      <c r="KW117" s="62"/>
      <c r="KX117" s="62"/>
      <c r="KY117" s="62"/>
      <c r="KZ117" s="62"/>
      <c r="LA117" s="62"/>
      <c r="LB117" s="62"/>
      <c r="LC117" s="62"/>
      <c r="LD117" s="62"/>
      <c r="LE117" s="62"/>
      <c r="LF117" s="62"/>
      <c r="LG117" s="62"/>
      <c r="LH117" s="62"/>
      <c r="LI117" s="62"/>
    </row>
    <row r="118" spans="3:321" ht="30">
      <c r="D118" s="59">
        <v>4216</v>
      </c>
      <c r="E118" s="60" t="s">
        <v>426</v>
      </c>
      <c r="F118" s="67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9"/>
      <c r="R118" s="67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67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9"/>
      <c r="AP118" s="67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9"/>
      <c r="BB118" s="67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9"/>
      <c r="BN118" s="67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9"/>
      <c r="BZ118" s="67"/>
      <c r="CA118" s="68"/>
      <c r="CB118" s="68"/>
      <c r="CC118" s="68"/>
      <c r="CD118" s="68"/>
      <c r="CE118" s="68"/>
      <c r="CF118" s="68"/>
      <c r="CG118" s="68"/>
      <c r="CH118" s="68"/>
      <c r="CI118" s="68"/>
      <c r="CJ118" s="68"/>
      <c r="CK118" s="68"/>
      <c r="CL118" s="67">
        <v>12532</v>
      </c>
      <c r="CM118" s="68">
        <v>33971.879999999997</v>
      </c>
      <c r="CN118" s="68">
        <v>51880.84</v>
      </c>
      <c r="CO118" s="68">
        <v>18588.95</v>
      </c>
      <c r="CP118" s="68">
        <v>20197.3</v>
      </c>
      <c r="CQ118" s="68">
        <v>62174.6</v>
      </c>
      <c r="CR118" s="68">
        <v>68967.81</v>
      </c>
      <c r="CS118" s="68">
        <v>66627.28</v>
      </c>
      <c r="CT118" s="68">
        <v>188624.2</v>
      </c>
      <c r="CU118" s="68">
        <v>25674.48</v>
      </c>
      <c r="CV118" s="68">
        <v>17648.79</v>
      </c>
      <c r="CW118" s="69">
        <v>41767.22</v>
      </c>
      <c r="CX118" s="67">
        <v>40978.35</v>
      </c>
      <c r="CY118" s="68">
        <v>31691.62</v>
      </c>
      <c r="CZ118" s="68">
        <v>14642.58</v>
      </c>
      <c r="DA118" s="68">
        <v>33633.120000000003</v>
      </c>
      <c r="DB118" s="68">
        <v>16130.04</v>
      </c>
      <c r="DC118" s="68">
        <v>18769.849999999999</v>
      </c>
      <c r="DD118" s="68">
        <v>88447.09</v>
      </c>
      <c r="DE118" s="68">
        <v>101855.59</v>
      </c>
      <c r="DF118" s="68">
        <v>60002.9</v>
      </c>
      <c r="DG118" s="68">
        <v>81717.89</v>
      </c>
      <c r="DH118" s="68">
        <v>61778.16</v>
      </c>
      <c r="DI118" s="69">
        <v>22075.05</v>
      </c>
      <c r="DJ118" s="67">
        <v>43811.11</v>
      </c>
      <c r="DK118" s="68">
        <v>35142.22</v>
      </c>
      <c r="DL118" s="68">
        <v>13879.85</v>
      </c>
      <c r="DM118" s="68">
        <v>23074.18</v>
      </c>
      <c r="DN118" s="68">
        <v>19524.849999999999</v>
      </c>
      <c r="DO118" s="68">
        <v>30374.03</v>
      </c>
      <c r="DP118" s="68">
        <v>114079.9</v>
      </c>
      <c r="DQ118" s="68">
        <v>120386.34</v>
      </c>
      <c r="DR118" s="68">
        <v>179287.87</v>
      </c>
      <c r="DS118" s="68">
        <v>50427.02</v>
      </c>
      <c r="DT118" s="68">
        <v>74787.23</v>
      </c>
      <c r="DU118" s="69">
        <v>82061.39</v>
      </c>
      <c r="DV118" s="61">
        <v>31603.56</v>
      </c>
      <c r="DW118" s="61">
        <v>68793.59</v>
      </c>
      <c r="DX118" s="61">
        <v>26546.82</v>
      </c>
      <c r="DY118" s="61">
        <v>26862.21</v>
      </c>
      <c r="DZ118" s="79">
        <v>31636.59</v>
      </c>
      <c r="EB118" s="79"/>
      <c r="EC118" s="79"/>
      <c r="ED118" s="79"/>
      <c r="EE118" s="79"/>
      <c r="EF118" s="79"/>
      <c r="EG118" s="79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70"/>
      <c r="EU118" s="70"/>
      <c r="EV118" s="70"/>
      <c r="EW118" s="70"/>
      <c r="EX118" s="70"/>
      <c r="EY118" s="70"/>
      <c r="EZ118" s="70"/>
      <c r="FA118" s="70"/>
      <c r="FB118" s="70"/>
      <c r="FC118" s="70"/>
      <c r="FD118" s="62"/>
      <c r="FE118" s="62"/>
      <c r="FF118" s="62"/>
      <c r="FG118" s="62"/>
      <c r="FH118" s="62"/>
      <c r="FI118" s="62"/>
      <c r="FJ118" s="62"/>
      <c r="FK118" s="62"/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2"/>
      <c r="FX118" s="62"/>
      <c r="FY118" s="62"/>
      <c r="FZ118" s="62"/>
      <c r="GA118" s="62"/>
      <c r="GB118" s="62"/>
      <c r="GC118" s="62"/>
      <c r="GD118" s="62"/>
      <c r="GF118" s="62"/>
      <c r="GG118" s="62"/>
      <c r="GH118" s="62"/>
      <c r="GI118" s="62"/>
      <c r="GJ118" s="62"/>
      <c r="GK118" s="62"/>
      <c r="GL118" s="62"/>
      <c r="GM118" s="62"/>
      <c r="GN118" s="62"/>
      <c r="GO118" s="62"/>
      <c r="GP118" s="62"/>
      <c r="GQ118" s="62"/>
      <c r="GR118" s="62"/>
      <c r="GS118" s="62"/>
      <c r="GT118" s="62"/>
      <c r="GU118" s="62"/>
      <c r="GV118" s="62"/>
      <c r="GW118" s="62"/>
      <c r="GX118" s="62"/>
      <c r="GY118" s="62"/>
      <c r="GZ118" s="62"/>
      <c r="HA118" s="62"/>
      <c r="HB118" s="62"/>
      <c r="HC118" s="62"/>
      <c r="HD118" s="62"/>
      <c r="HE118" s="62"/>
      <c r="HF118" s="62"/>
      <c r="HG118" s="62"/>
      <c r="HH118" s="62"/>
      <c r="HI118" s="62"/>
      <c r="HJ118" s="62"/>
      <c r="HK118" s="62"/>
      <c r="HL118" s="62"/>
      <c r="HM118" s="62"/>
      <c r="HN118" s="62"/>
      <c r="HO118" s="62"/>
      <c r="HP118" s="62"/>
      <c r="HQ118" s="62"/>
      <c r="HR118" s="62"/>
      <c r="HS118" s="62"/>
      <c r="HT118" s="62"/>
      <c r="HU118" s="62"/>
      <c r="HV118" s="62"/>
      <c r="HW118" s="62"/>
      <c r="HX118" s="62"/>
      <c r="HY118" s="62"/>
      <c r="HZ118" s="62"/>
      <c r="IA118" s="62"/>
      <c r="IB118" s="62"/>
      <c r="IC118" s="62"/>
      <c r="ID118" s="62"/>
      <c r="IE118" s="62"/>
      <c r="IF118" s="62"/>
      <c r="IG118" s="62"/>
      <c r="IH118" s="62"/>
      <c r="II118" s="62"/>
      <c r="IJ118" s="62"/>
      <c r="IK118" s="62"/>
      <c r="IL118" s="62"/>
      <c r="IM118" s="62"/>
      <c r="IN118" s="62"/>
      <c r="IO118" s="62"/>
      <c r="IP118" s="62"/>
      <c r="IQ118" s="62"/>
      <c r="IR118" s="62"/>
      <c r="IS118" s="62"/>
      <c r="IT118" s="62"/>
      <c r="IU118" s="62"/>
      <c r="IV118" s="62"/>
      <c r="IW118" s="62"/>
      <c r="IX118" s="62"/>
      <c r="IY118" s="62"/>
      <c r="IZ118" s="62"/>
      <c r="JA118" s="62"/>
      <c r="JB118" s="62"/>
      <c r="JC118" s="62"/>
      <c r="JD118" s="62"/>
      <c r="JE118" s="62"/>
      <c r="JF118" s="62"/>
      <c r="JG118" s="62"/>
      <c r="JH118" s="62"/>
      <c r="JI118" s="62"/>
      <c r="JJ118" s="62"/>
      <c r="JK118" s="62"/>
      <c r="JL118" s="62"/>
      <c r="JM118" s="62"/>
      <c r="JN118" s="62"/>
      <c r="JO118" s="62"/>
      <c r="JP118" s="62"/>
      <c r="JQ118" s="62"/>
      <c r="JR118" s="62"/>
      <c r="JS118" s="62"/>
      <c r="JT118" s="62"/>
      <c r="JU118" s="62"/>
      <c r="JV118" s="62"/>
      <c r="JW118" s="62"/>
      <c r="JX118" s="62"/>
      <c r="JY118" s="62"/>
      <c r="JZ118" s="62"/>
      <c r="KA118" s="62"/>
      <c r="KB118" s="62"/>
      <c r="KC118" s="62"/>
      <c r="KD118" s="62"/>
      <c r="KE118" s="62"/>
      <c r="KF118" s="62"/>
      <c r="KG118" s="62"/>
      <c r="KH118" s="62"/>
      <c r="KI118" s="62"/>
      <c r="KJ118" s="62"/>
      <c r="KK118" s="62"/>
      <c r="KL118" s="62"/>
      <c r="KM118" s="62"/>
      <c r="KN118" s="62"/>
      <c r="KO118" s="62"/>
      <c r="KP118" s="62"/>
      <c r="KQ118" s="62"/>
      <c r="KR118" s="62"/>
      <c r="KS118" s="62"/>
      <c r="KT118" s="62"/>
      <c r="KU118" s="62"/>
      <c r="KV118" s="62"/>
      <c r="KW118" s="62"/>
      <c r="KX118" s="62"/>
      <c r="KY118" s="62"/>
      <c r="KZ118" s="62"/>
      <c r="LA118" s="62"/>
      <c r="LB118" s="62"/>
      <c r="LC118" s="62"/>
      <c r="LD118" s="62"/>
      <c r="LE118" s="62"/>
      <c r="LF118" s="62"/>
      <c r="LG118" s="62"/>
      <c r="LH118" s="62"/>
      <c r="LI118" s="62"/>
    </row>
    <row r="119" spans="3:321" ht="30">
      <c r="D119" s="59">
        <v>4217</v>
      </c>
      <c r="E119" s="60" t="s">
        <v>427</v>
      </c>
      <c r="F119" s="67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9"/>
      <c r="R119" s="67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67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9"/>
      <c r="AP119" s="67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9"/>
      <c r="BB119" s="67"/>
      <c r="BC119" s="68"/>
      <c r="BD119" s="68"/>
      <c r="BE119" s="68"/>
      <c r="BF119" s="68"/>
      <c r="BG119" s="68"/>
      <c r="BH119" s="68"/>
      <c r="BI119" s="68"/>
      <c r="BJ119" s="68"/>
      <c r="BK119" s="68"/>
      <c r="BL119" s="68"/>
      <c r="BM119" s="69"/>
      <c r="BN119" s="67"/>
      <c r="BO119" s="68"/>
      <c r="BP119" s="68"/>
      <c r="BQ119" s="68"/>
      <c r="BR119" s="68"/>
      <c r="BS119" s="68"/>
      <c r="BT119" s="68"/>
      <c r="BU119" s="68"/>
      <c r="BV119" s="68"/>
      <c r="BW119" s="68"/>
      <c r="BX119" s="68"/>
      <c r="BY119" s="69"/>
      <c r="BZ119" s="67"/>
      <c r="CA119" s="68"/>
      <c r="CB119" s="68"/>
      <c r="CC119" s="68"/>
      <c r="CD119" s="68"/>
      <c r="CE119" s="68"/>
      <c r="CF119" s="68"/>
      <c r="CG119" s="68"/>
      <c r="CH119" s="68"/>
      <c r="CI119" s="68"/>
      <c r="CJ119" s="68"/>
      <c r="CK119" s="68"/>
      <c r="CL119" s="67">
        <v>248978.39</v>
      </c>
      <c r="CM119" s="68">
        <v>269308.93</v>
      </c>
      <c r="CN119" s="68">
        <v>245774.76</v>
      </c>
      <c r="CO119" s="68">
        <v>274743.46000000002</v>
      </c>
      <c r="CP119" s="68">
        <v>270416.58</v>
      </c>
      <c r="CQ119" s="68">
        <v>276471.67</v>
      </c>
      <c r="CR119" s="68">
        <v>264442.90000000002</v>
      </c>
      <c r="CS119" s="68">
        <v>276262.59000000003</v>
      </c>
      <c r="CT119" s="68">
        <v>270473.03999999998</v>
      </c>
      <c r="CU119" s="68">
        <v>249319.66</v>
      </c>
      <c r="CV119" s="68">
        <v>345389.23</v>
      </c>
      <c r="CW119" s="69">
        <v>445034.23999999999</v>
      </c>
      <c r="CX119" s="67">
        <v>256428.93</v>
      </c>
      <c r="CY119" s="68">
        <v>269444.96999999997</v>
      </c>
      <c r="CZ119" s="68">
        <v>294546.61</v>
      </c>
      <c r="DA119" s="68">
        <v>295434</v>
      </c>
      <c r="DB119" s="68">
        <v>262954.7</v>
      </c>
      <c r="DC119" s="68">
        <v>326176.23</v>
      </c>
      <c r="DD119" s="68">
        <v>242206.07</v>
      </c>
      <c r="DE119" s="68">
        <v>238136.74</v>
      </c>
      <c r="DF119" s="68">
        <v>242065.33</v>
      </c>
      <c r="DG119" s="68">
        <v>249253.42</v>
      </c>
      <c r="DH119" s="68">
        <v>255734.44</v>
      </c>
      <c r="DI119" s="69">
        <v>265521.86</v>
      </c>
      <c r="DJ119" s="67">
        <v>248053.5</v>
      </c>
      <c r="DK119" s="68">
        <v>261095.88</v>
      </c>
      <c r="DL119" s="68">
        <v>260711.28</v>
      </c>
      <c r="DM119" s="68">
        <v>250598.98</v>
      </c>
      <c r="DN119" s="68">
        <v>281013.08</v>
      </c>
      <c r="DO119" s="68">
        <v>317587.96999999997</v>
      </c>
      <c r="DP119" s="68">
        <v>273761.57</v>
      </c>
      <c r="DQ119" s="68">
        <v>284498.13</v>
      </c>
      <c r="DR119" s="68">
        <v>323146.03000000003</v>
      </c>
      <c r="DS119" s="68">
        <v>305171.63</v>
      </c>
      <c r="DT119" s="68">
        <v>312637.94</v>
      </c>
      <c r="DU119" s="69">
        <v>299271.84999999998</v>
      </c>
      <c r="DV119" s="61">
        <v>293149.71000000002</v>
      </c>
      <c r="DW119" s="61">
        <v>377483.81</v>
      </c>
      <c r="DX119" s="61">
        <v>327950.01</v>
      </c>
      <c r="DY119" s="61">
        <v>371372.44</v>
      </c>
      <c r="DZ119" s="79">
        <v>289652.03999999998</v>
      </c>
      <c r="EB119" s="79"/>
      <c r="EC119" s="79"/>
      <c r="ED119" s="79"/>
      <c r="EE119" s="79"/>
      <c r="EF119" s="79"/>
      <c r="EG119" s="79"/>
      <c r="EH119" s="62"/>
      <c r="EI119" s="62"/>
      <c r="EJ119" s="62"/>
      <c r="EK119" s="62"/>
      <c r="EL119" s="62"/>
      <c r="EM119" s="62"/>
      <c r="EN119" s="62"/>
      <c r="EO119" s="62"/>
      <c r="EP119" s="62"/>
      <c r="EQ119" s="62"/>
      <c r="ER119" s="62"/>
      <c r="ES119" s="62"/>
      <c r="ET119" s="70"/>
      <c r="EU119" s="70"/>
      <c r="EV119" s="70"/>
      <c r="EW119" s="70"/>
      <c r="EX119" s="70"/>
      <c r="EY119" s="70"/>
      <c r="EZ119" s="70"/>
      <c r="FA119" s="70"/>
      <c r="FB119" s="70"/>
      <c r="FC119" s="70"/>
      <c r="FD119" s="62"/>
      <c r="FE119" s="62"/>
      <c r="FF119" s="62"/>
      <c r="FG119" s="62"/>
      <c r="FH119" s="62"/>
      <c r="FI119" s="62"/>
      <c r="FJ119" s="62"/>
      <c r="FK119" s="62"/>
      <c r="FL119" s="62"/>
      <c r="FM119" s="62"/>
      <c r="FN119" s="62"/>
      <c r="FO119" s="62"/>
      <c r="FP119" s="62"/>
      <c r="FQ119" s="62"/>
      <c r="FR119" s="62"/>
      <c r="FS119" s="62"/>
      <c r="FT119" s="62"/>
      <c r="FU119" s="62"/>
      <c r="FV119" s="62"/>
      <c r="FW119" s="62"/>
      <c r="FX119" s="62"/>
      <c r="FY119" s="62"/>
      <c r="FZ119" s="62"/>
      <c r="GA119" s="62"/>
      <c r="GB119" s="62"/>
      <c r="GC119" s="62"/>
      <c r="GD119" s="62"/>
      <c r="GF119" s="62"/>
      <c r="GG119" s="62"/>
      <c r="GH119" s="62"/>
      <c r="GI119" s="62"/>
      <c r="GJ119" s="62"/>
      <c r="GK119" s="62"/>
      <c r="GL119" s="62"/>
      <c r="GM119" s="62"/>
      <c r="GN119" s="62"/>
      <c r="GO119" s="62"/>
      <c r="GP119" s="62"/>
      <c r="GQ119" s="62"/>
      <c r="GR119" s="62"/>
      <c r="GS119" s="62"/>
      <c r="GT119" s="62"/>
      <c r="GU119" s="62"/>
      <c r="GV119" s="62"/>
      <c r="GW119" s="62"/>
      <c r="GX119" s="62"/>
      <c r="GY119" s="62"/>
      <c r="GZ119" s="62"/>
      <c r="HA119" s="62"/>
      <c r="HB119" s="62"/>
      <c r="HC119" s="62"/>
      <c r="HD119" s="62"/>
      <c r="HE119" s="62"/>
      <c r="HF119" s="62"/>
      <c r="HG119" s="62"/>
      <c r="HH119" s="62"/>
      <c r="HI119" s="62"/>
      <c r="HJ119" s="62"/>
      <c r="HK119" s="62"/>
      <c r="HL119" s="62"/>
      <c r="HM119" s="62"/>
      <c r="HN119" s="62"/>
      <c r="HO119" s="62"/>
      <c r="HP119" s="62"/>
      <c r="HQ119" s="62"/>
      <c r="HR119" s="62"/>
      <c r="HS119" s="62"/>
      <c r="HT119" s="62"/>
      <c r="HU119" s="62"/>
      <c r="HV119" s="62"/>
      <c r="HW119" s="62"/>
      <c r="HX119" s="62"/>
      <c r="HY119" s="62"/>
      <c r="HZ119" s="62"/>
      <c r="IA119" s="62"/>
      <c r="IB119" s="62"/>
      <c r="IC119" s="62"/>
      <c r="ID119" s="62"/>
      <c r="IE119" s="62"/>
      <c r="IF119" s="62"/>
      <c r="IG119" s="62"/>
      <c r="IH119" s="62"/>
      <c r="II119" s="62"/>
      <c r="IJ119" s="62"/>
      <c r="IK119" s="62"/>
      <c r="IL119" s="62"/>
      <c r="IM119" s="62"/>
      <c r="IN119" s="62"/>
      <c r="IO119" s="62"/>
      <c r="IP119" s="62"/>
      <c r="IQ119" s="62"/>
      <c r="IR119" s="62"/>
      <c r="IS119" s="62"/>
      <c r="IT119" s="62"/>
      <c r="IU119" s="62"/>
      <c r="IV119" s="62"/>
      <c r="IW119" s="62"/>
      <c r="IX119" s="62"/>
      <c r="IY119" s="62"/>
      <c r="IZ119" s="62"/>
      <c r="JA119" s="62"/>
      <c r="JB119" s="62"/>
      <c r="JC119" s="62"/>
      <c r="JD119" s="62"/>
      <c r="JE119" s="62"/>
      <c r="JF119" s="62"/>
      <c r="JG119" s="62"/>
      <c r="JH119" s="62"/>
      <c r="JI119" s="62"/>
      <c r="JJ119" s="62"/>
      <c r="JK119" s="62"/>
      <c r="JL119" s="62"/>
      <c r="JM119" s="62"/>
      <c r="JN119" s="62"/>
      <c r="JO119" s="62"/>
      <c r="JP119" s="62"/>
      <c r="JQ119" s="62"/>
      <c r="JR119" s="62"/>
      <c r="JS119" s="62"/>
      <c r="JT119" s="62"/>
      <c r="JU119" s="62"/>
      <c r="JV119" s="62"/>
      <c r="JW119" s="62"/>
      <c r="JX119" s="62"/>
      <c r="JY119" s="62"/>
      <c r="JZ119" s="62"/>
      <c r="KA119" s="62"/>
      <c r="KB119" s="62"/>
      <c r="KC119" s="62"/>
      <c r="KD119" s="62"/>
      <c r="KE119" s="62"/>
      <c r="KF119" s="62"/>
      <c r="KG119" s="62"/>
      <c r="KH119" s="62"/>
      <c r="KI119" s="62"/>
      <c r="KJ119" s="62"/>
      <c r="KK119" s="62"/>
      <c r="KL119" s="62"/>
      <c r="KM119" s="62"/>
      <c r="KN119" s="62"/>
      <c r="KO119" s="62"/>
      <c r="KP119" s="62"/>
      <c r="KQ119" s="62"/>
      <c r="KR119" s="62"/>
      <c r="KS119" s="62"/>
      <c r="KT119" s="62"/>
      <c r="KU119" s="62"/>
      <c r="KV119" s="62"/>
      <c r="KW119" s="62"/>
      <c r="KX119" s="62"/>
      <c r="KY119" s="62"/>
      <c r="KZ119" s="62"/>
      <c r="LA119" s="62"/>
      <c r="LB119" s="62"/>
      <c r="LC119" s="62"/>
      <c r="LD119" s="62"/>
      <c r="LE119" s="62"/>
      <c r="LF119" s="62"/>
      <c r="LG119" s="62"/>
      <c r="LH119" s="62"/>
      <c r="LI119" s="62"/>
    </row>
    <row r="120" spans="3:321">
      <c r="D120" s="59">
        <v>4218</v>
      </c>
      <c r="E120" s="60" t="s">
        <v>428</v>
      </c>
      <c r="F120" s="67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9"/>
      <c r="R120" s="67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67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9"/>
      <c r="AP120" s="67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9"/>
      <c r="BB120" s="67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9"/>
      <c r="BN120" s="67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9"/>
      <c r="BZ120" s="67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7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9"/>
      <c r="CX120" s="67"/>
      <c r="CY120" s="68"/>
      <c r="CZ120" s="68"/>
      <c r="DA120" s="68"/>
      <c r="DB120" s="68"/>
      <c r="DC120" s="68"/>
      <c r="DD120" s="68"/>
      <c r="DE120" s="68"/>
      <c r="DF120" s="68"/>
      <c r="DG120" s="68"/>
      <c r="DH120" s="68"/>
      <c r="DI120" s="69"/>
      <c r="DJ120" s="67"/>
      <c r="DK120" s="68"/>
      <c r="DL120" s="68"/>
      <c r="DM120" s="68"/>
      <c r="DN120" s="68"/>
      <c r="DO120" s="68"/>
      <c r="DP120" s="68"/>
      <c r="DQ120" s="68"/>
      <c r="DR120" s="68"/>
      <c r="DS120" s="68"/>
      <c r="DT120" s="68"/>
      <c r="DU120" s="69"/>
      <c r="DV120" s="61">
        <v>0</v>
      </c>
      <c r="DW120" s="61">
        <v>1681351.28</v>
      </c>
      <c r="DX120" s="61">
        <v>3260910.48</v>
      </c>
      <c r="DY120" s="61">
        <v>5932782.0300000003</v>
      </c>
      <c r="DZ120" s="79">
        <v>5624921.9800000004</v>
      </c>
      <c r="EB120" s="79"/>
      <c r="EC120" s="79"/>
      <c r="ED120" s="79"/>
      <c r="EE120" s="79"/>
      <c r="EF120" s="79"/>
      <c r="EG120" s="79"/>
      <c r="ET120" s="70"/>
      <c r="EU120" s="70"/>
      <c r="EV120" s="70"/>
      <c r="EW120" s="70"/>
      <c r="EX120" s="70"/>
      <c r="EY120" s="70"/>
      <c r="EZ120" s="70"/>
      <c r="FA120" s="70"/>
      <c r="FB120" s="70"/>
      <c r="FC120" s="70"/>
      <c r="FD120" s="62"/>
      <c r="FE120" s="62"/>
      <c r="FF120" s="62"/>
      <c r="FG120" s="62"/>
      <c r="FH120" s="62"/>
      <c r="FI120" s="62"/>
      <c r="FJ120" s="62"/>
      <c r="FK120" s="62"/>
      <c r="FL120" s="62"/>
      <c r="FM120" s="62"/>
      <c r="FN120" s="62"/>
      <c r="FO120" s="62"/>
      <c r="FP120" s="62"/>
      <c r="FQ120" s="62"/>
      <c r="FR120" s="62"/>
      <c r="FS120" s="62"/>
      <c r="FT120" s="62"/>
      <c r="FU120" s="62"/>
      <c r="FV120" s="62"/>
      <c r="FW120" s="62"/>
      <c r="FX120" s="62"/>
      <c r="FY120" s="62"/>
      <c r="FZ120" s="62"/>
      <c r="GA120" s="62"/>
      <c r="GB120" s="62"/>
      <c r="GC120" s="62"/>
      <c r="GD120" s="62"/>
      <c r="GF120" s="62"/>
      <c r="GG120" s="62"/>
      <c r="GH120" s="62"/>
      <c r="GI120" s="62"/>
      <c r="GJ120" s="62"/>
      <c r="GK120" s="62"/>
      <c r="GL120" s="62"/>
      <c r="GM120" s="62"/>
      <c r="GN120" s="62"/>
      <c r="GO120" s="62"/>
      <c r="GP120" s="62"/>
      <c r="GQ120" s="62"/>
      <c r="GR120" s="62"/>
      <c r="GS120" s="62"/>
      <c r="GT120" s="62"/>
      <c r="GU120" s="62"/>
      <c r="GV120" s="62"/>
      <c r="GW120" s="62"/>
      <c r="GX120" s="62"/>
      <c r="GY120" s="62"/>
      <c r="GZ120" s="62"/>
      <c r="HA120" s="62"/>
      <c r="HB120" s="62"/>
      <c r="HC120" s="62"/>
      <c r="HD120" s="62"/>
      <c r="HE120" s="62"/>
      <c r="HF120" s="62"/>
      <c r="HG120" s="62"/>
      <c r="HH120" s="62"/>
      <c r="HI120" s="62"/>
      <c r="HJ120" s="62"/>
      <c r="HK120" s="62"/>
      <c r="HL120" s="62"/>
      <c r="HM120" s="62"/>
      <c r="HN120" s="62"/>
      <c r="HO120" s="62"/>
      <c r="HP120" s="62"/>
      <c r="HQ120" s="62"/>
      <c r="HR120" s="62"/>
      <c r="HS120" s="62"/>
      <c r="HT120" s="62"/>
      <c r="HU120" s="62"/>
      <c r="HV120" s="62"/>
      <c r="HW120" s="62"/>
      <c r="HX120" s="62"/>
      <c r="HY120" s="62"/>
      <c r="HZ120" s="62"/>
      <c r="IA120" s="62"/>
      <c r="IB120" s="62"/>
      <c r="IC120" s="62"/>
      <c r="ID120" s="62"/>
      <c r="IE120" s="62"/>
      <c r="IF120" s="62"/>
      <c r="IG120" s="62"/>
      <c r="IH120" s="62"/>
      <c r="II120" s="62"/>
      <c r="IJ120" s="62"/>
      <c r="IK120" s="62"/>
      <c r="IL120" s="62"/>
      <c r="IM120" s="62"/>
      <c r="IN120" s="62"/>
      <c r="IO120" s="62"/>
      <c r="IP120" s="62"/>
      <c r="IQ120" s="62"/>
      <c r="IR120" s="62"/>
      <c r="IS120" s="62"/>
      <c r="IT120" s="62"/>
      <c r="IU120" s="62"/>
      <c r="IV120" s="62"/>
      <c r="IW120" s="62"/>
      <c r="IX120" s="62"/>
      <c r="IY120" s="62"/>
      <c r="IZ120" s="62"/>
      <c r="JA120" s="62"/>
      <c r="JB120" s="62"/>
      <c r="JC120" s="62"/>
      <c r="JD120" s="62"/>
      <c r="JE120" s="62"/>
      <c r="JF120" s="62"/>
      <c r="JG120" s="62"/>
      <c r="JH120" s="62"/>
      <c r="JI120" s="62"/>
      <c r="JJ120" s="62"/>
      <c r="JK120" s="62"/>
      <c r="JL120" s="62"/>
      <c r="JM120" s="62"/>
      <c r="JN120" s="62"/>
      <c r="JO120" s="62"/>
      <c r="JP120" s="62"/>
      <c r="JQ120" s="62"/>
      <c r="JR120" s="62"/>
      <c r="JS120" s="62"/>
      <c r="JT120" s="62"/>
      <c r="JU120" s="62"/>
      <c r="JV120" s="62"/>
      <c r="JW120" s="62"/>
      <c r="JX120" s="62"/>
      <c r="JY120" s="62"/>
      <c r="JZ120" s="62"/>
      <c r="KA120" s="62"/>
      <c r="KB120" s="62"/>
      <c r="KC120" s="62"/>
      <c r="KD120" s="62"/>
      <c r="KE120" s="62"/>
      <c r="KF120" s="62"/>
      <c r="KG120" s="62"/>
      <c r="KH120" s="62"/>
      <c r="KI120" s="62"/>
      <c r="KJ120" s="62"/>
      <c r="KK120" s="62"/>
      <c r="KL120" s="62"/>
      <c r="KM120" s="62"/>
      <c r="KN120" s="62"/>
      <c r="KO120" s="62"/>
      <c r="KP120" s="62"/>
      <c r="KQ120" s="62"/>
      <c r="KR120" s="62"/>
      <c r="KS120" s="62"/>
      <c r="KT120" s="62"/>
      <c r="KU120" s="62"/>
      <c r="KV120" s="62"/>
      <c r="KW120" s="62"/>
      <c r="KX120" s="62"/>
      <c r="KY120" s="62"/>
      <c r="KZ120" s="62"/>
      <c r="LA120" s="62"/>
      <c r="LB120" s="62"/>
      <c r="LC120" s="62"/>
      <c r="LD120" s="62"/>
      <c r="LE120" s="62"/>
      <c r="LF120" s="62"/>
      <c r="LG120" s="62"/>
      <c r="LH120" s="62"/>
      <c r="LI120" s="62"/>
    </row>
    <row r="121" spans="3:321">
      <c r="C121" s="59">
        <v>422</v>
      </c>
      <c r="D121" s="59">
        <v>422</v>
      </c>
      <c r="E121" s="60" t="s">
        <v>158</v>
      </c>
      <c r="F121" s="67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9"/>
      <c r="R121" s="67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67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9"/>
      <c r="AP121" s="67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9"/>
      <c r="BB121" s="67"/>
      <c r="BC121" s="68"/>
      <c r="BD121" s="68"/>
      <c r="BE121" s="68"/>
      <c r="BF121" s="68"/>
      <c r="BG121" s="68"/>
      <c r="BH121" s="68"/>
      <c r="BI121" s="68"/>
      <c r="BJ121" s="68"/>
      <c r="BK121" s="68"/>
      <c r="BL121" s="68"/>
      <c r="BM121" s="69"/>
      <c r="BN121" s="67"/>
      <c r="BO121" s="68"/>
      <c r="BP121" s="68"/>
      <c r="BQ121" s="68"/>
      <c r="BR121" s="68"/>
      <c r="BS121" s="68"/>
      <c r="BT121" s="68"/>
      <c r="BU121" s="68"/>
      <c r="BV121" s="68"/>
      <c r="BW121" s="68"/>
      <c r="BX121" s="68"/>
      <c r="BY121" s="69"/>
      <c r="BZ121" s="67"/>
      <c r="CA121" s="68"/>
      <c r="CB121" s="68"/>
      <c r="CC121" s="68"/>
      <c r="CD121" s="68"/>
      <c r="CE121" s="68"/>
      <c r="CF121" s="68"/>
      <c r="CG121" s="68"/>
      <c r="CH121" s="68"/>
      <c r="CI121" s="68"/>
      <c r="CJ121" s="68"/>
      <c r="CK121" s="68"/>
      <c r="CL121" s="67">
        <v>217499.03</v>
      </c>
      <c r="CM121" s="68">
        <v>1858188.85</v>
      </c>
      <c r="CN121" s="68">
        <v>1411205.34</v>
      </c>
      <c r="CO121" s="68">
        <v>929016.34</v>
      </c>
      <c r="CP121" s="68">
        <v>880474.57</v>
      </c>
      <c r="CQ121" s="68">
        <v>934224.6</v>
      </c>
      <c r="CR121" s="68">
        <v>746595.69</v>
      </c>
      <c r="CS121" s="68">
        <v>1119949.56</v>
      </c>
      <c r="CT121" s="68">
        <v>976049.15</v>
      </c>
      <c r="CU121" s="68">
        <v>1095627.26</v>
      </c>
      <c r="CV121" s="68">
        <v>977725.46</v>
      </c>
      <c r="CW121" s="69">
        <v>1939799.67</v>
      </c>
      <c r="CX121" s="67">
        <v>631049.97</v>
      </c>
      <c r="CY121" s="68">
        <v>2339008.5</v>
      </c>
      <c r="CZ121" s="68">
        <v>3379279.58</v>
      </c>
      <c r="DA121" s="68">
        <v>1009266.9</v>
      </c>
      <c r="DB121" s="68">
        <v>1685588.03</v>
      </c>
      <c r="DC121" s="68">
        <v>985386.38</v>
      </c>
      <c r="DD121" s="68">
        <v>3437238.89</v>
      </c>
      <c r="DE121" s="68">
        <v>2362835.4900000002</v>
      </c>
      <c r="DF121" s="68">
        <v>1222801.96</v>
      </c>
      <c r="DG121" s="68">
        <v>1235836.97</v>
      </c>
      <c r="DH121" s="68">
        <v>947096.49</v>
      </c>
      <c r="DI121" s="69">
        <v>3352388.24</v>
      </c>
      <c r="DJ121" s="67">
        <v>123264</v>
      </c>
      <c r="DK121" s="68">
        <v>1502573.79</v>
      </c>
      <c r="DL121" s="68">
        <v>1308387.6299999999</v>
      </c>
      <c r="DM121" s="68">
        <v>1469394.41</v>
      </c>
      <c r="DN121" s="68">
        <v>2049731.89</v>
      </c>
      <c r="DO121" s="68">
        <v>2688479.92</v>
      </c>
      <c r="DP121" s="68">
        <v>975222.94</v>
      </c>
      <c r="DQ121" s="68">
        <v>683868.67</v>
      </c>
      <c r="DR121" s="68">
        <v>2245233.77</v>
      </c>
      <c r="DS121" s="68">
        <v>787040.37</v>
      </c>
      <c r="DT121" s="68">
        <v>1015844.72</v>
      </c>
      <c r="DU121" s="69">
        <v>1806274.54</v>
      </c>
      <c r="DV121" s="61">
        <v>743628.18</v>
      </c>
      <c r="DW121" s="61">
        <v>3195817.4</v>
      </c>
      <c r="DX121" s="61">
        <v>2020678.78</v>
      </c>
      <c r="DY121" s="61">
        <v>1078405.83</v>
      </c>
      <c r="DZ121" s="79">
        <v>919763.99</v>
      </c>
      <c r="EA121" s="79">
        <v>907422.27</v>
      </c>
      <c r="EB121" s="79">
        <v>878256.23</v>
      </c>
      <c r="EC121" s="84">
        <v>1669285.94</v>
      </c>
      <c r="ED121" s="79">
        <v>4591654.0999999996</v>
      </c>
      <c r="EE121" s="79">
        <v>943438.5</v>
      </c>
      <c r="EF121" s="79">
        <v>972099.46</v>
      </c>
      <c r="EG121" s="79">
        <v>4647838.95</v>
      </c>
      <c r="EH121" s="62">
        <v>173100.67</v>
      </c>
      <c r="EI121" s="62">
        <v>1036027.42</v>
      </c>
      <c r="EJ121" s="62">
        <v>1054894.68</v>
      </c>
      <c r="EK121" s="62">
        <v>1150894.96</v>
      </c>
      <c r="EL121" s="62">
        <v>1082297.17</v>
      </c>
      <c r="EM121" s="62">
        <v>1038790.65</v>
      </c>
      <c r="EN121" s="62">
        <v>1069131.58</v>
      </c>
      <c r="EO121" s="62">
        <v>1024731.32</v>
      </c>
      <c r="EP121" s="62">
        <v>1115186.56</v>
      </c>
      <c r="EQ121" s="62">
        <v>1056401.0900000001</v>
      </c>
      <c r="ER121" s="62">
        <v>1118494.9099999999</v>
      </c>
      <c r="ES121" s="62">
        <v>2048499.78</v>
      </c>
      <c r="ET121" s="62">
        <v>110952</v>
      </c>
      <c r="EU121" s="62">
        <v>1323906.01</v>
      </c>
      <c r="EV121" s="62">
        <v>1098216.9099999999</v>
      </c>
      <c r="EW121" s="62">
        <v>945506.13</v>
      </c>
      <c r="EX121" s="62">
        <v>1061504.47</v>
      </c>
      <c r="EY121" s="62">
        <v>1474735.96</v>
      </c>
      <c r="EZ121" s="62">
        <v>980063.88</v>
      </c>
      <c r="FA121" s="62">
        <v>960558.89</v>
      </c>
      <c r="FB121" s="62">
        <v>1031337.39</v>
      </c>
      <c r="FC121" s="62">
        <v>1282662.6599999999</v>
      </c>
      <c r="FD121" s="62">
        <v>1131669.69</v>
      </c>
      <c r="FE121" s="62">
        <v>2795677.95</v>
      </c>
      <c r="FF121" s="62">
        <v>43800</v>
      </c>
      <c r="FG121" s="62">
        <v>1198874.72</v>
      </c>
      <c r="FH121" s="62">
        <v>1110784.77</v>
      </c>
      <c r="FI121" s="62">
        <v>1095242.3400000001</v>
      </c>
      <c r="FJ121" s="62">
        <v>1341095.6299999999</v>
      </c>
      <c r="FK121" s="62">
        <v>1381621.25</v>
      </c>
      <c r="FL121" s="1">
        <v>1512829.9</v>
      </c>
      <c r="FM121" s="62">
        <v>1577705.79</v>
      </c>
      <c r="FN121" s="62">
        <v>1701766.69</v>
      </c>
      <c r="FO121" s="62">
        <v>1710317.34</v>
      </c>
      <c r="FP121" s="62">
        <v>1521408.63</v>
      </c>
      <c r="FQ121" s="62">
        <v>6202705.0499999998</v>
      </c>
      <c r="FR121" s="62">
        <v>54255.6</v>
      </c>
      <c r="FS121" s="62">
        <v>1607182</v>
      </c>
      <c r="FT121" s="62">
        <v>1602703.45</v>
      </c>
      <c r="FU121" s="62">
        <v>1448885.74</v>
      </c>
      <c r="FV121" s="62">
        <v>1413828.93</v>
      </c>
      <c r="FW121" s="62">
        <v>1505135.2</v>
      </c>
      <c r="FX121" s="62">
        <v>1640040.42</v>
      </c>
      <c r="FY121" s="62">
        <v>1389249.83</v>
      </c>
      <c r="FZ121" s="62">
        <v>2024466.79</v>
      </c>
      <c r="GA121" s="62">
        <v>2312719.52</v>
      </c>
      <c r="GB121" s="62">
        <v>1642662.15</v>
      </c>
      <c r="GC121" s="62">
        <v>3457352.97</v>
      </c>
      <c r="GD121" s="62"/>
      <c r="GF121" s="62"/>
      <c r="GG121" s="62"/>
      <c r="GH121" s="62"/>
      <c r="GI121" s="62"/>
      <c r="GJ121" s="62"/>
      <c r="GK121" s="62"/>
      <c r="GL121" s="62"/>
      <c r="GM121" s="62"/>
      <c r="GN121" s="62"/>
      <c r="GO121" s="62"/>
      <c r="GP121" s="62"/>
      <c r="GQ121" s="62"/>
      <c r="GR121" s="62"/>
      <c r="GS121" s="62"/>
      <c r="GT121" s="62"/>
      <c r="GU121" s="62"/>
      <c r="GV121" s="62"/>
      <c r="GW121" s="62"/>
      <c r="GX121" s="62"/>
      <c r="GY121" s="62"/>
      <c r="GZ121" s="62"/>
      <c r="HA121" s="62"/>
      <c r="HB121" s="62"/>
      <c r="HC121" s="62"/>
      <c r="HD121" s="62"/>
      <c r="HE121" s="62"/>
      <c r="HF121" s="62"/>
      <c r="HG121" s="62"/>
      <c r="HH121" s="62"/>
      <c r="HI121" s="62"/>
      <c r="HJ121" s="62"/>
      <c r="HK121" s="62"/>
      <c r="HL121" s="62"/>
      <c r="HM121" s="62"/>
      <c r="HN121" s="62"/>
      <c r="HO121" s="62"/>
      <c r="HP121" s="62"/>
      <c r="HQ121" s="62"/>
      <c r="HR121" s="62"/>
      <c r="HS121" s="62"/>
      <c r="HT121" s="62"/>
      <c r="HU121" s="62"/>
      <c r="HV121" s="62"/>
      <c r="HW121" s="62"/>
      <c r="HX121" s="62"/>
      <c r="HY121" s="62"/>
      <c r="HZ121" s="62"/>
      <c r="IA121" s="62"/>
      <c r="IB121" s="62"/>
      <c r="IC121" s="62"/>
      <c r="ID121" s="62"/>
      <c r="IE121" s="62"/>
      <c r="IF121" s="62"/>
      <c r="IG121" s="62"/>
      <c r="IH121" s="62"/>
      <c r="II121" s="62"/>
      <c r="IJ121" s="62"/>
      <c r="IK121" s="62"/>
      <c r="IL121" s="62"/>
      <c r="IM121" s="62"/>
      <c r="IN121" s="62"/>
      <c r="IO121" s="62"/>
      <c r="IP121" s="62"/>
      <c r="IQ121" s="62"/>
      <c r="IR121" s="62"/>
      <c r="IS121" s="62"/>
      <c r="IT121" s="62"/>
      <c r="IU121" s="62"/>
      <c r="IV121" s="62"/>
      <c r="IW121" s="62"/>
      <c r="IX121" s="62"/>
      <c r="IY121" s="62"/>
      <c r="IZ121" s="62"/>
      <c r="JA121" s="62"/>
      <c r="JB121" s="62"/>
      <c r="JC121" s="62"/>
      <c r="JD121" s="62"/>
      <c r="JE121" s="62"/>
      <c r="JF121" s="62"/>
      <c r="JG121" s="62"/>
      <c r="JH121" s="62"/>
      <c r="JI121" s="62"/>
      <c r="JJ121" s="62"/>
      <c r="JK121" s="62"/>
      <c r="JL121" s="62"/>
      <c r="JM121" s="62"/>
      <c r="JN121" s="62"/>
      <c r="JO121" s="62"/>
      <c r="JP121" s="62"/>
      <c r="JQ121" s="62"/>
      <c r="JR121" s="62"/>
      <c r="JS121" s="62"/>
      <c r="JT121" s="62"/>
      <c r="JU121" s="62"/>
      <c r="JV121" s="62"/>
      <c r="JW121" s="62"/>
      <c r="JX121" s="62"/>
      <c r="JY121" s="62"/>
      <c r="JZ121" s="62"/>
      <c r="KA121" s="62"/>
      <c r="KB121" s="62"/>
      <c r="KC121" s="62"/>
      <c r="KD121" s="62"/>
      <c r="KE121" s="62"/>
      <c r="KF121" s="62"/>
      <c r="KG121" s="62"/>
      <c r="KH121" s="62"/>
      <c r="KI121" s="62"/>
      <c r="KJ121" s="62"/>
      <c r="KK121" s="62"/>
      <c r="KL121" s="62"/>
      <c r="KM121" s="62"/>
      <c r="KN121" s="62"/>
      <c r="KO121" s="62"/>
      <c r="KP121" s="62"/>
      <c r="KQ121" s="62"/>
      <c r="KR121" s="62"/>
      <c r="KS121" s="62"/>
      <c r="KT121" s="62"/>
      <c r="KU121" s="62"/>
      <c r="KV121" s="62"/>
      <c r="KW121" s="62"/>
      <c r="KX121" s="62"/>
      <c r="KY121" s="62"/>
      <c r="KZ121" s="62"/>
      <c r="LA121" s="62"/>
      <c r="LB121" s="62"/>
      <c r="LC121" s="62"/>
      <c r="LD121" s="62"/>
      <c r="LE121" s="62"/>
      <c r="LF121" s="62"/>
      <c r="LG121" s="62"/>
      <c r="LH121" s="62"/>
      <c r="LI121" s="62"/>
    </row>
    <row r="122" spans="3:321">
      <c r="D122" s="59">
        <v>4221</v>
      </c>
      <c r="E122" s="60" t="s">
        <v>429</v>
      </c>
      <c r="F122" s="67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9"/>
      <c r="R122" s="67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67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9"/>
      <c r="AP122" s="67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9"/>
      <c r="BB122" s="67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9"/>
      <c r="BN122" s="67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9"/>
      <c r="BZ122" s="67"/>
      <c r="CA122" s="68"/>
      <c r="CB122" s="68"/>
      <c r="CC122" s="68"/>
      <c r="CD122" s="68"/>
      <c r="CE122" s="68"/>
      <c r="CF122" s="68"/>
      <c r="CG122" s="68"/>
      <c r="CH122" s="68"/>
      <c r="CI122" s="68"/>
      <c r="CJ122" s="68"/>
      <c r="CK122" s="68"/>
      <c r="CL122" s="67">
        <v>0</v>
      </c>
      <c r="CM122" s="68">
        <v>0</v>
      </c>
      <c r="CN122" s="68">
        <v>0</v>
      </c>
      <c r="CO122" s="68">
        <v>0</v>
      </c>
      <c r="CP122" s="68">
        <v>0</v>
      </c>
      <c r="CQ122" s="68">
        <v>0</v>
      </c>
      <c r="CR122" s="68">
        <v>0</v>
      </c>
      <c r="CS122" s="68">
        <v>0</v>
      </c>
      <c r="CT122" s="68">
        <v>0</v>
      </c>
      <c r="CU122" s="68">
        <v>0</v>
      </c>
      <c r="CV122" s="68">
        <v>0</v>
      </c>
      <c r="CW122" s="69">
        <v>0</v>
      </c>
      <c r="CX122" s="67">
        <v>0</v>
      </c>
      <c r="CY122" s="68">
        <v>0</v>
      </c>
      <c r="CZ122" s="68">
        <v>0</v>
      </c>
      <c r="DA122" s="68">
        <v>0</v>
      </c>
      <c r="DB122" s="68">
        <v>0</v>
      </c>
      <c r="DC122" s="68">
        <v>0</v>
      </c>
      <c r="DD122" s="68">
        <v>0</v>
      </c>
      <c r="DE122" s="68">
        <v>0</v>
      </c>
      <c r="DF122" s="68">
        <v>0</v>
      </c>
      <c r="DG122" s="68">
        <v>0</v>
      </c>
      <c r="DH122" s="68">
        <v>0</v>
      </c>
      <c r="DI122" s="69">
        <v>0</v>
      </c>
      <c r="DJ122" s="67">
        <v>0</v>
      </c>
      <c r="DK122" s="68">
        <v>0</v>
      </c>
      <c r="DL122" s="68">
        <v>0</v>
      </c>
      <c r="DM122" s="68">
        <v>0</v>
      </c>
      <c r="DN122" s="68">
        <v>0</v>
      </c>
      <c r="DO122" s="68">
        <v>0</v>
      </c>
      <c r="DP122" s="68">
        <v>0</v>
      </c>
      <c r="DQ122" s="68">
        <v>0</v>
      </c>
      <c r="DR122" s="68">
        <v>0</v>
      </c>
      <c r="DS122" s="68">
        <v>0</v>
      </c>
      <c r="DT122" s="68">
        <v>0</v>
      </c>
      <c r="DU122" s="69">
        <v>0</v>
      </c>
      <c r="DV122" s="61">
        <v>0</v>
      </c>
      <c r="DW122" s="61">
        <v>0</v>
      </c>
      <c r="DX122" s="61">
        <v>0</v>
      </c>
      <c r="DY122" s="61">
        <v>0</v>
      </c>
      <c r="DZ122" s="79"/>
      <c r="EB122" s="79"/>
      <c r="EC122" s="79"/>
      <c r="ED122" s="79"/>
      <c r="EE122" s="79"/>
      <c r="EF122" s="79"/>
      <c r="EG122" s="79"/>
      <c r="EH122" s="62"/>
      <c r="EI122" s="62"/>
      <c r="EJ122" s="62"/>
      <c r="EK122" s="62"/>
      <c r="EL122" s="62"/>
      <c r="EM122" s="62"/>
      <c r="EN122" s="62"/>
      <c r="EO122" s="62"/>
      <c r="EP122" s="62"/>
      <c r="EQ122" s="62"/>
      <c r="ER122" s="62"/>
      <c r="ES122" s="62"/>
      <c r="ET122" s="62"/>
      <c r="EU122" s="62"/>
      <c r="EV122" s="62"/>
      <c r="EW122" s="62"/>
      <c r="EX122" s="62"/>
      <c r="EY122" s="62"/>
      <c r="EZ122" s="62"/>
      <c r="FA122" s="62"/>
      <c r="FB122" s="62"/>
      <c r="FC122" s="62"/>
      <c r="FD122" s="62"/>
      <c r="FE122" s="62"/>
      <c r="FF122" s="62"/>
      <c r="FG122" s="62"/>
      <c r="FH122" s="62"/>
      <c r="FI122" s="62"/>
      <c r="FJ122" s="62"/>
      <c r="FK122" s="62"/>
      <c r="FL122" s="62"/>
      <c r="FM122" s="62"/>
      <c r="FN122" s="62"/>
      <c r="FO122" s="62"/>
      <c r="FP122" s="62"/>
      <c r="FQ122" s="62"/>
      <c r="FR122" s="62"/>
      <c r="FS122" s="62"/>
      <c r="FT122" s="62"/>
      <c r="FU122" s="62"/>
      <c r="FV122" s="62"/>
      <c r="FW122" s="62"/>
      <c r="FX122" s="62"/>
      <c r="FY122" s="62"/>
      <c r="FZ122" s="62"/>
      <c r="GA122" s="62"/>
      <c r="GB122" s="62"/>
      <c r="GC122" s="62"/>
      <c r="GD122" s="62"/>
      <c r="GF122" s="62"/>
      <c r="GG122" s="62"/>
      <c r="GH122" s="62"/>
      <c r="GI122" s="62"/>
      <c r="GJ122" s="62"/>
      <c r="GK122" s="62"/>
      <c r="GL122" s="62"/>
      <c r="GM122" s="62"/>
      <c r="GN122" s="62"/>
      <c r="GO122" s="62"/>
      <c r="GP122" s="62"/>
      <c r="GQ122" s="62"/>
      <c r="GR122" s="62"/>
      <c r="GS122" s="62"/>
      <c r="GT122" s="62"/>
      <c r="GU122" s="62"/>
      <c r="GV122" s="62"/>
      <c r="GW122" s="62"/>
      <c r="GX122" s="62"/>
      <c r="GY122" s="62"/>
      <c r="GZ122" s="62"/>
      <c r="HA122" s="62"/>
      <c r="HB122" s="62"/>
      <c r="HC122" s="62"/>
      <c r="HD122" s="62"/>
      <c r="HE122" s="62"/>
      <c r="HF122" s="62"/>
      <c r="HG122" s="62"/>
      <c r="HH122" s="62"/>
      <c r="HI122" s="62"/>
      <c r="HJ122" s="62"/>
      <c r="HK122" s="62"/>
      <c r="HL122" s="62"/>
      <c r="HM122" s="62"/>
      <c r="HN122" s="62"/>
      <c r="HO122" s="62"/>
      <c r="HP122" s="62"/>
      <c r="HQ122" s="62"/>
      <c r="HR122" s="62"/>
      <c r="HS122" s="62"/>
      <c r="HT122" s="62"/>
      <c r="HU122" s="62"/>
      <c r="HV122" s="62"/>
      <c r="HW122" s="62"/>
      <c r="HX122" s="62"/>
      <c r="HY122" s="62"/>
      <c r="HZ122" s="62"/>
      <c r="IA122" s="62"/>
      <c r="IB122" s="62"/>
      <c r="IC122" s="62"/>
      <c r="ID122" s="62"/>
      <c r="IE122" s="62"/>
      <c r="IF122" s="62"/>
      <c r="IG122" s="62"/>
      <c r="IH122" s="62"/>
      <c r="II122" s="62"/>
      <c r="IJ122" s="62"/>
      <c r="IK122" s="62"/>
      <c r="IL122" s="62"/>
      <c r="IM122" s="62"/>
      <c r="IN122" s="62"/>
      <c r="IO122" s="62"/>
      <c r="IP122" s="62"/>
      <c r="IQ122" s="62"/>
      <c r="IR122" s="62"/>
      <c r="IS122" s="62"/>
      <c r="IT122" s="62"/>
      <c r="IU122" s="62"/>
      <c r="IV122" s="62"/>
      <c r="IW122" s="62"/>
      <c r="IX122" s="62"/>
      <c r="IY122" s="62"/>
      <c r="IZ122" s="62"/>
      <c r="JA122" s="62"/>
      <c r="JB122" s="62"/>
      <c r="JC122" s="62"/>
      <c r="JD122" s="62"/>
      <c r="JE122" s="62"/>
      <c r="JF122" s="62"/>
      <c r="JG122" s="62"/>
      <c r="JH122" s="62"/>
      <c r="JI122" s="62"/>
      <c r="JJ122" s="62"/>
      <c r="JK122" s="62"/>
      <c r="JL122" s="62"/>
      <c r="JM122" s="62"/>
      <c r="JN122" s="62"/>
      <c r="JO122" s="62"/>
      <c r="JP122" s="62"/>
      <c r="JQ122" s="62"/>
      <c r="JR122" s="62"/>
      <c r="JS122" s="62"/>
      <c r="JT122" s="62"/>
      <c r="JU122" s="62"/>
      <c r="JV122" s="62"/>
      <c r="JW122" s="62"/>
      <c r="JX122" s="62"/>
      <c r="JY122" s="62"/>
      <c r="JZ122" s="62"/>
      <c r="KA122" s="62"/>
      <c r="KB122" s="62"/>
      <c r="KC122" s="62"/>
      <c r="KD122" s="62"/>
      <c r="KE122" s="62"/>
      <c r="KF122" s="62"/>
      <c r="KG122" s="62"/>
      <c r="KH122" s="62"/>
      <c r="KI122" s="62"/>
      <c r="KJ122" s="62"/>
      <c r="KK122" s="62"/>
      <c r="KL122" s="62"/>
      <c r="KM122" s="62"/>
      <c r="KN122" s="62"/>
      <c r="KO122" s="62"/>
      <c r="KP122" s="62"/>
      <c r="KQ122" s="62"/>
      <c r="KR122" s="62"/>
      <c r="KS122" s="62"/>
      <c r="KT122" s="62"/>
      <c r="KU122" s="62"/>
      <c r="KV122" s="62"/>
      <c r="KW122" s="62"/>
      <c r="KX122" s="62"/>
      <c r="KY122" s="62"/>
      <c r="KZ122" s="62"/>
      <c r="LA122" s="62"/>
      <c r="LB122" s="62"/>
      <c r="LC122" s="62"/>
      <c r="LD122" s="62"/>
      <c r="LE122" s="62"/>
      <c r="LF122" s="62"/>
      <c r="LG122" s="62"/>
      <c r="LH122" s="62"/>
      <c r="LI122" s="62"/>
    </row>
    <row r="123" spans="3:321" ht="30">
      <c r="D123" s="59">
        <v>4222</v>
      </c>
      <c r="E123" s="60" t="s">
        <v>430</v>
      </c>
      <c r="F123" s="67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9"/>
      <c r="R123" s="67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67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9"/>
      <c r="AP123" s="67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9"/>
      <c r="BB123" s="67"/>
      <c r="BC123" s="68"/>
      <c r="BD123" s="68"/>
      <c r="BE123" s="68"/>
      <c r="BF123" s="68"/>
      <c r="BG123" s="68"/>
      <c r="BH123" s="68"/>
      <c r="BI123" s="68"/>
      <c r="BJ123" s="68"/>
      <c r="BK123" s="68"/>
      <c r="BL123" s="68"/>
      <c r="BM123" s="69"/>
      <c r="BN123" s="67"/>
      <c r="BO123" s="68"/>
      <c r="BP123" s="68"/>
      <c r="BQ123" s="68"/>
      <c r="BR123" s="68"/>
      <c r="BS123" s="68"/>
      <c r="BT123" s="68"/>
      <c r="BU123" s="68"/>
      <c r="BV123" s="68"/>
      <c r="BW123" s="68"/>
      <c r="BX123" s="68"/>
      <c r="BY123" s="69"/>
      <c r="BZ123" s="67"/>
      <c r="CA123" s="68"/>
      <c r="CB123" s="68"/>
      <c r="CC123" s="68"/>
      <c r="CD123" s="68"/>
      <c r="CE123" s="68"/>
      <c r="CF123" s="68"/>
      <c r="CG123" s="68"/>
      <c r="CH123" s="68"/>
      <c r="CI123" s="68"/>
      <c r="CJ123" s="68"/>
      <c r="CK123" s="68"/>
      <c r="CL123" s="67">
        <v>217499.03</v>
      </c>
      <c r="CM123" s="68">
        <v>993372.2</v>
      </c>
      <c r="CN123" s="68">
        <v>533502</v>
      </c>
      <c r="CO123" s="68">
        <v>86391.57</v>
      </c>
      <c r="CP123" s="68">
        <v>36976.26</v>
      </c>
      <c r="CQ123" s="68">
        <v>19754.46</v>
      </c>
      <c r="CR123" s="68">
        <v>54209.4</v>
      </c>
      <c r="CS123" s="68">
        <v>96646.56</v>
      </c>
      <c r="CT123" s="68">
        <v>38589.21</v>
      </c>
      <c r="CU123" s="68">
        <v>163710</v>
      </c>
      <c r="CV123" s="68">
        <v>78363.67</v>
      </c>
      <c r="CW123" s="69">
        <v>140783.63</v>
      </c>
      <c r="CX123" s="67">
        <v>631049.97</v>
      </c>
      <c r="CY123" s="68">
        <v>1454130</v>
      </c>
      <c r="CZ123" s="68">
        <v>2138324.02</v>
      </c>
      <c r="DA123" s="68">
        <v>7257</v>
      </c>
      <c r="DB123" s="68">
        <v>737022</v>
      </c>
      <c r="DC123" s="68">
        <v>43854.52</v>
      </c>
      <c r="DD123" s="68">
        <v>2522180.4700000002</v>
      </c>
      <c r="DE123" s="68">
        <v>1462366.08</v>
      </c>
      <c r="DF123" s="68">
        <v>321377.26</v>
      </c>
      <c r="DG123" s="68">
        <v>324048.39</v>
      </c>
      <c r="DH123" s="68">
        <v>60916.6</v>
      </c>
      <c r="DI123" s="69">
        <v>1531505.9</v>
      </c>
      <c r="DJ123" s="67">
        <v>123264</v>
      </c>
      <c r="DK123" s="68">
        <v>564235.17000000004</v>
      </c>
      <c r="DL123" s="68">
        <v>427077.94</v>
      </c>
      <c r="DM123" s="68">
        <v>607968.84</v>
      </c>
      <c r="DN123" s="68">
        <v>1240783.58</v>
      </c>
      <c r="DO123" s="68">
        <v>1906195.96</v>
      </c>
      <c r="DP123" s="68">
        <v>235778.37</v>
      </c>
      <c r="DQ123" s="68">
        <v>85410</v>
      </c>
      <c r="DR123" s="68">
        <v>1346957.91</v>
      </c>
      <c r="DS123" s="68">
        <v>98603.88</v>
      </c>
      <c r="DT123" s="68">
        <v>335652.56</v>
      </c>
      <c r="DU123" s="69">
        <v>411667.56</v>
      </c>
      <c r="DV123" s="61">
        <v>743628.18</v>
      </c>
      <c r="DW123" s="61">
        <v>2398905.5699999998</v>
      </c>
      <c r="DX123" s="61">
        <v>1355528.62</v>
      </c>
      <c r="DY123" s="61">
        <v>416462.36</v>
      </c>
      <c r="DZ123" s="79">
        <v>283681.84999999998</v>
      </c>
      <c r="EB123" s="79"/>
      <c r="EC123" s="79"/>
      <c r="ED123" s="79"/>
      <c r="EE123" s="79"/>
      <c r="EF123" s="79"/>
      <c r="EG123" s="79"/>
      <c r="EH123" s="62"/>
      <c r="EI123" s="62"/>
      <c r="EJ123" s="62"/>
      <c r="EK123" s="62"/>
      <c r="EL123" s="62"/>
      <c r="EM123" s="62"/>
      <c r="EN123" s="62"/>
      <c r="EO123" s="62"/>
      <c r="EP123" s="62"/>
      <c r="EQ123" s="62"/>
      <c r="ER123" s="62"/>
      <c r="ES123" s="62"/>
      <c r="ET123" s="62"/>
      <c r="EU123" s="62"/>
      <c r="EV123" s="62"/>
      <c r="EW123" s="62"/>
      <c r="EX123" s="62"/>
      <c r="EY123" s="62"/>
      <c r="EZ123" s="62"/>
      <c r="FA123" s="62"/>
      <c r="FB123" s="62"/>
      <c r="FC123" s="62"/>
      <c r="FD123" s="62"/>
      <c r="FE123" s="62"/>
      <c r="FF123" s="62"/>
      <c r="FG123" s="62"/>
      <c r="FH123" s="62"/>
      <c r="FI123" s="62"/>
      <c r="FJ123" s="62"/>
      <c r="FK123" s="62"/>
      <c r="FL123" s="62"/>
      <c r="FM123" s="62"/>
      <c r="FN123" s="62"/>
      <c r="FO123" s="62"/>
      <c r="FP123" s="62"/>
      <c r="FQ123" s="62"/>
      <c r="FR123" s="62"/>
      <c r="FS123" s="62"/>
      <c r="FT123" s="62"/>
      <c r="FU123" s="62"/>
      <c r="FV123" s="62"/>
      <c r="FW123" s="62"/>
      <c r="FX123" s="62"/>
      <c r="FY123" s="62"/>
      <c r="FZ123" s="62"/>
      <c r="GA123" s="62"/>
      <c r="GB123" s="62"/>
      <c r="GC123" s="62"/>
      <c r="GD123" s="62"/>
      <c r="GF123" s="62"/>
      <c r="GG123" s="62"/>
      <c r="GH123" s="62"/>
      <c r="GI123" s="62"/>
      <c r="GJ123" s="62"/>
      <c r="GK123" s="62"/>
      <c r="GL123" s="62"/>
      <c r="GM123" s="62"/>
      <c r="GN123" s="62"/>
      <c r="GO123" s="62"/>
      <c r="GP123" s="62"/>
      <c r="GQ123" s="62"/>
      <c r="GR123" s="62"/>
      <c r="GS123" s="62"/>
      <c r="GT123" s="62"/>
      <c r="GU123" s="62"/>
      <c r="GV123" s="62"/>
      <c r="GW123" s="62"/>
      <c r="GX123" s="62"/>
      <c r="GY123" s="62"/>
      <c r="GZ123" s="62"/>
      <c r="HA123" s="62"/>
      <c r="HB123" s="62"/>
      <c r="HC123" s="62"/>
      <c r="HD123" s="62"/>
      <c r="HE123" s="62"/>
      <c r="HF123" s="62"/>
      <c r="HG123" s="62"/>
      <c r="HH123" s="62"/>
      <c r="HI123" s="62"/>
      <c r="HJ123" s="62"/>
      <c r="HK123" s="62"/>
      <c r="HL123" s="62"/>
      <c r="HM123" s="62"/>
      <c r="HN123" s="62"/>
      <c r="HO123" s="62"/>
      <c r="HP123" s="62"/>
      <c r="HQ123" s="62"/>
      <c r="HR123" s="62"/>
      <c r="HS123" s="62"/>
      <c r="HT123" s="62"/>
      <c r="HU123" s="62"/>
      <c r="HV123" s="62"/>
      <c r="HW123" s="62"/>
      <c r="HX123" s="62"/>
      <c r="HY123" s="62"/>
      <c r="HZ123" s="62"/>
      <c r="IA123" s="62"/>
      <c r="IB123" s="62"/>
      <c r="IC123" s="62"/>
      <c r="ID123" s="62"/>
      <c r="IE123" s="62"/>
      <c r="IF123" s="62"/>
      <c r="IG123" s="62"/>
      <c r="IH123" s="62"/>
      <c r="II123" s="62"/>
      <c r="IJ123" s="62"/>
      <c r="IK123" s="62"/>
      <c r="IL123" s="62"/>
      <c r="IM123" s="62"/>
      <c r="IN123" s="62"/>
      <c r="IO123" s="62"/>
      <c r="IP123" s="62"/>
      <c r="IQ123" s="62"/>
      <c r="IR123" s="62"/>
      <c r="IS123" s="62"/>
      <c r="IT123" s="62"/>
      <c r="IU123" s="62"/>
      <c r="IV123" s="62"/>
      <c r="IW123" s="62"/>
      <c r="IX123" s="62"/>
      <c r="IY123" s="62"/>
      <c r="IZ123" s="62"/>
      <c r="JA123" s="62"/>
      <c r="JB123" s="62"/>
      <c r="JC123" s="62"/>
      <c r="JD123" s="62"/>
      <c r="JE123" s="62"/>
      <c r="JF123" s="62"/>
      <c r="JG123" s="62"/>
      <c r="JH123" s="62"/>
      <c r="JI123" s="62"/>
      <c r="JJ123" s="62"/>
      <c r="JK123" s="62"/>
      <c r="JL123" s="62"/>
      <c r="JM123" s="62"/>
      <c r="JN123" s="62"/>
      <c r="JO123" s="62"/>
      <c r="JP123" s="62"/>
      <c r="JQ123" s="62"/>
      <c r="JR123" s="62"/>
      <c r="JS123" s="62"/>
      <c r="JT123" s="62"/>
      <c r="JU123" s="62"/>
      <c r="JV123" s="62"/>
      <c r="JW123" s="62"/>
      <c r="JX123" s="62"/>
      <c r="JY123" s="62"/>
      <c r="JZ123" s="62"/>
      <c r="KA123" s="62"/>
      <c r="KB123" s="62"/>
      <c r="KC123" s="62"/>
      <c r="KD123" s="62"/>
      <c r="KE123" s="62"/>
      <c r="KF123" s="62"/>
      <c r="KG123" s="62"/>
      <c r="KH123" s="62"/>
      <c r="KI123" s="62"/>
      <c r="KJ123" s="62"/>
      <c r="KK123" s="62"/>
      <c r="KL123" s="62"/>
      <c r="KM123" s="62"/>
      <c r="KN123" s="62"/>
      <c r="KO123" s="62"/>
      <c r="KP123" s="62"/>
      <c r="KQ123" s="62"/>
      <c r="KR123" s="62"/>
      <c r="KS123" s="62"/>
      <c r="KT123" s="62"/>
      <c r="KU123" s="62"/>
      <c r="KV123" s="62"/>
      <c r="KW123" s="62"/>
      <c r="KX123" s="62"/>
      <c r="KY123" s="62"/>
      <c r="KZ123" s="62"/>
      <c r="LA123" s="62"/>
      <c r="LB123" s="62"/>
      <c r="LC123" s="62"/>
      <c r="LD123" s="62"/>
      <c r="LE123" s="62"/>
      <c r="LF123" s="62"/>
      <c r="LG123" s="62"/>
      <c r="LH123" s="62"/>
      <c r="LI123" s="62"/>
    </row>
    <row r="124" spans="3:321">
      <c r="D124" s="59">
        <v>4223</v>
      </c>
      <c r="E124" s="60" t="s">
        <v>431</v>
      </c>
      <c r="F124" s="67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9"/>
      <c r="R124" s="67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67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9"/>
      <c r="AP124" s="67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9"/>
      <c r="BB124" s="67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9"/>
      <c r="BN124" s="67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9"/>
      <c r="BZ124" s="67"/>
      <c r="CA124" s="68"/>
      <c r="CB124" s="68"/>
      <c r="CC124" s="68"/>
      <c r="CD124" s="68"/>
      <c r="CE124" s="68"/>
      <c r="CF124" s="68"/>
      <c r="CG124" s="68"/>
      <c r="CH124" s="68"/>
      <c r="CI124" s="68"/>
      <c r="CJ124" s="68"/>
      <c r="CK124" s="68"/>
      <c r="CL124" s="67">
        <v>0</v>
      </c>
      <c r="CM124" s="68">
        <v>0</v>
      </c>
      <c r="CN124" s="68">
        <v>0</v>
      </c>
      <c r="CO124" s="68">
        <v>0</v>
      </c>
      <c r="CP124" s="68">
        <v>0</v>
      </c>
      <c r="CQ124" s="68">
        <v>0</v>
      </c>
      <c r="CR124" s="68">
        <v>0</v>
      </c>
      <c r="CS124" s="68">
        <v>0</v>
      </c>
      <c r="CT124" s="68">
        <v>0</v>
      </c>
      <c r="CU124" s="68">
        <v>0</v>
      </c>
      <c r="CV124" s="68">
        <v>0</v>
      </c>
      <c r="CW124" s="69">
        <v>0</v>
      </c>
      <c r="CX124" s="67">
        <v>0</v>
      </c>
      <c r="CY124" s="68">
        <v>0</v>
      </c>
      <c r="CZ124" s="68">
        <v>0</v>
      </c>
      <c r="DA124" s="68">
        <v>0</v>
      </c>
      <c r="DB124" s="68">
        <v>0</v>
      </c>
      <c r="DC124" s="68">
        <v>0</v>
      </c>
      <c r="DD124" s="68">
        <v>0</v>
      </c>
      <c r="DE124" s="68">
        <v>0</v>
      </c>
      <c r="DF124" s="68">
        <v>0</v>
      </c>
      <c r="DG124" s="68">
        <v>0</v>
      </c>
      <c r="DH124" s="68">
        <v>0</v>
      </c>
      <c r="DI124" s="69">
        <v>0</v>
      </c>
      <c r="DJ124" s="67">
        <v>0</v>
      </c>
      <c r="DK124" s="68">
        <v>0</v>
      </c>
      <c r="DL124" s="68">
        <v>0</v>
      </c>
      <c r="DM124" s="68">
        <v>0</v>
      </c>
      <c r="DN124" s="68">
        <v>0</v>
      </c>
      <c r="DO124" s="68">
        <v>0</v>
      </c>
      <c r="DP124" s="68">
        <v>0</v>
      </c>
      <c r="DQ124" s="68">
        <v>0</v>
      </c>
      <c r="DR124" s="68">
        <v>0</v>
      </c>
      <c r="DS124" s="68">
        <v>0</v>
      </c>
      <c r="DT124" s="68">
        <v>0</v>
      </c>
      <c r="DU124" s="69">
        <v>0</v>
      </c>
      <c r="DV124" s="61">
        <v>0</v>
      </c>
      <c r="DW124" s="61">
        <v>0</v>
      </c>
      <c r="DX124" s="61">
        <v>0</v>
      </c>
      <c r="DY124" s="61">
        <v>0</v>
      </c>
      <c r="DZ124" s="79"/>
      <c r="EB124" s="79"/>
      <c r="EC124" s="79"/>
      <c r="ED124" s="79"/>
      <c r="EE124" s="79"/>
      <c r="EF124" s="79"/>
      <c r="EG124" s="79"/>
      <c r="EH124" s="62"/>
      <c r="EI124" s="62"/>
      <c r="EJ124" s="62"/>
      <c r="EK124" s="62"/>
      <c r="EL124" s="62"/>
      <c r="EM124" s="62"/>
      <c r="EN124" s="62"/>
      <c r="EO124" s="62"/>
      <c r="EP124" s="62"/>
      <c r="EQ124" s="62"/>
      <c r="ER124" s="62"/>
      <c r="ES124" s="62"/>
      <c r="ET124" s="62"/>
      <c r="EU124" s="62"/>
      <c r="EV124" s="62"/>
      <c r="EW124" s="62"/>
      <c r="EX124" s="62"/>
      <c r="EY124" s="62"/>
      <c r="EZ124" s="62"/>
      <c r="FA124" s="62"/>
      <c r="FB124" s="62"/>
      <c r="FC124" s="62"/>
      <c r="FD124" s="62"/>
      <c r="FE124" s="62"/>
      <c r="FF124" s="62"/>
      <c r="FG124" s="62"/>
      <c r="FH124" s="62"/>
      <c r="FI124" s="62"/>
      <c r="FJ124" s="62"/>
      <c r="FK124" s="62"/>
      <c r="FL124" s="62"/>
      <c r="FM124" s="62"/>
      <c r="FN124" s="62"/>
      <c r="FO124" s="62"/>
      <c r="FP124" s="62"/>
      <c r="FQ124" s="62"/>
      <c r="FR124" s="62"/>
      <c r="FS124" s="62"/>
      <c r="FT124" s="62"/>
      <c r="FU124" s="62"/>
      <c r="FV124" s="62"/>
      <c r="FW124" s="62"/>
      <c r="FX124" s="62"/>
      <c r="FY124" s="62"/>
      <c r="FZ124" s="62"/>
      <c r="GA124" s="62"/>
      <c r="GB124" s="62"/>
      <c r="GC124" s="62"/>
      <c r="GD124" s="62"/>
      <c r="GF124" s="62"/>
      <c r="GG124" s="62"/>
      <c r="GH124" s="62"/>
      <c r="GI124" s="62"/>
      <c r="GJ124" s="62"/>
      <c r="GK124" s="62"/>
      <c r="GL124" s="62"/>
      <c r="GM124" s="62"/>
      <c r="GN124" s="62"/>
      <c r="GO124" s="62"/>
      <c r="GP124" s="62"/>
      <c r="GQ124" s="62"/>
      <c r="GR124" s="62"/>
      <c r="GS124" s="62"/>
      <c r="GT124" s="62"/>
      <c r="GU124" s="62"/>
      <c r="GV124" s="62"/>
      <c r="GW124" s="62"/>
      <c r="GX124" s="62"/>
      <c r="GY124" s="62"/>
      <c r="GZ124" s="62"/>
      <c r="HA124" s="62"/>
      <c r="HB124" s="62"/>
      <c r="HC124" s="62"/>
      <c r="HD124" s="62"/>
      <c r="HE124" s="62"/>
      <c r="HF124" s="62"/>
      <c r="HG124" s="62"/>
      <c r="HH124" s="62"/>
      <c r="HI124" s="62"/>
      <c r="HJ124" s="62"/>
      <c r="HK124" s="62"/>
      <c r="HL124" s="62"/>
      <c r="HM124" s="62"/>
      <c r="HN124" s="62"/>
      <c r="HO124" s="62"/>
      <c r="HP124" s="62"/>
      <c r="HQ124" s="62"/>
      <c r="HR124" s="62"/>
      <c r="HS124" s="62"/>
      <c r="HT124" s="62"/>
      <c r="HU124" s="62"/>
      <c r="HV124" s="62"/>
      <c r="HW124" s="62"/>
      <c r="HX124" s="62"/>
      <c r="HY124" s="62"/>
      <c r="HZ124" s="62"/>
      <c r="IA124" s="62"/>
      <c r="IB124" s="62"/>
      <c r="IC124" s="62"/>
      <c r="ID124" s="62"/>
      <c r="IE124" s="62"/>
      <c r="IF124" s="62"/>
      <c r="IG124" s="62"/>
      <c r="IH124" s="62"/>
      <c r="II124" s="62"/>
      <c r="IJ124" s="62"/>
      <c r="IK124" s="62"/>
      <c r="IL124" s="62"/>
      <c r="IM124" s="62"/>
      <c r="IN124" s="62"/>
      <c r="IO124" s="62"/>
      <c r="IP124" s="62"/>
      <c r="IQ124" s="62"/>
      <c r="IR124" s="62"/>
      <c r="IS124" s="62"/>
      <c r="IT124" s="62"/>
      <c r="IU124" s="62"/>
      <c r="IV124" s="62"/>
      <c r="IW124" s="62"/>
      <c r="IX124" s="62"/>
      <c r="IY124" s="62"/>
      <c r="IZ124" s="62"/>
      <c r="JA124" s="62"/>
      <c r="JB124" s="62"/>
      <c r="JC124" s="62"/>
      <c r="JD124" s="62"/>
      <c r="JE124" s="62"/>
      <c r="JF124" s="62"/>
      <c r="JG124" s="62"/>
      <c r="JH124" s="62"/>
      <c r="JI124" s="62"/>
      <c r="JJ124" s="62"/>
      <c r="JK124" s="62"/>
      <c r="JL124" s="62"/>
      <c r="JM124" s="62"/>
      <c r="JN124" s="62"/>
      <c r="JO124" s="62"/>
      <c r="JP124" s="62"/>
      <c r="JQ124" s="62"/>
      <c r="JR124" s="62"/>
      <c r="JS124" s="62"/>
      <c r="JT124" s="62"/>
      <c r="JU124" s="62"/>
      <c r="JV124" s="62"/>
      <c r="JW124" s="62"/>
      <c r="JX124" s="62"/>
      <c r="JY124" s="62"/>
      <c r="JZ124" s="62"/>
      <c r="KA124" s="62"/>
      <c r="KB124" s="62"/>
      <c r="KC124" s="62"/>
      <c r="KD124" s="62"/>
      <c r="KE124" s="62"/>
      <c r="KF124" s="62"/>
      <c r="KG124" s="62"/>
      <c r="KH124" s="62"/>
      <c r="KI124" s="62"/>
      <c r="KJ124" s="62"/>
      <c r="KK124" s="62"/>
      <c r="KL124" s="62"/>
      <c r="KM124" s="62"/>
      <c r="KN124" s="62"/>
      <c r="KO124" s="62"/>
      <c r="KP124" s="62"/>
      <c r="KQ124" s="62"/>
      <c r="KR124" s="62"/>
      <c r="KS124" s="62"/>
      <c r="KT124" s="62"/>
      <c r="KU124" s="62"/>
      <c r="KV124" s="62"/>
      <c r="KW124" s="62"/>
      <c r="KX124" s="62"/>
      <c r="KY124" s="62"/>
      <c r="KZ124" s="62"/>
      <c r="LA124" s="62"/>
      <c r="LB124" s="62"/>
      <c r="LC124" s="62"/>
      <c r="LD124" s="62"/>
      <c r="LE124" s="62"/>
      <c r="LF124" s="62"/>
      <c r="LG124" s="62"/>
      <c r="LH124" s="62"/>
      <c r="LI124" s="62"/>
    </row>
    <row r="125" spans="3:321">
      <c r="D125" s="59">
        <v>4224</v>
      </c>
      <c r="E125" s="60" t="s">
        <v>432</v>
      </c>
      <c r="F125" s="67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9"/>
      <c r="R125" s="67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67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9"/>
      <c r="AP125" s="67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9"/>
      <c r="BB125" s="67"/>
      <c r="BC125" s="68"/>
      <c r="BD125" s="68"/>
      <c r="BE125" s="68"/>
      <c r="BF125" s="68"/>
      <c r="BG125" s="68"/>
      <c r="BH125" s="68"/>
      <c r="BI125" s="68"/>
      <c r="BJ125" s="68"/>
      <c r="BK125" s="68"/>
      <c r="BL125" s="68"/>
      <c r="BM125" s="69"/>
      <c r="BN125" s="67"/>
      <c r="BO125" s="68"/>
      <c r="BP125" s="68"/>
      <c r="BQ125" s="68"/>
      <c r="BR125" s="68"/>
      <c r="BS125" s="68"/>
      <c r="BT125" s="68"/>
      <c r="BU125" s="68"/>
      <c r="BV125" s="68"/>
      <c r="BW125" s="68"/>
      <c r="BX125" s="68"/>
      <c r="BY125" s="69"/>
      <c r="BZ125" s="67"/>
      <c r="CA125" s="68"/>
      <c r="CB125" s="68"/>
      <c r="CC125" s="68"/>
      <c r="CD125" s="68"/>
      <c r="CE125" s="68"/>
      <c r="CF125" s="68"/>
      <c r="CG125" s="68"/>
      <c r="CH125" s="68"/>
      <c r="CI125" s="68"/>
      <c r="CJ125" s="68"/>
      <c r="CK125" s="68"/>
      <c r="CL125" s="67">
        <v>0</v>
      </c>
      <c r="CM125" s="68">
        <v>864816.65</v>
      </c>
      <c r="CN125" s="68">
        <v>877703.34</v>
      </c>
      <c r="CO125" s="68">
        <v>842624.77</v>
      </c>
      <c r="CP125" s="68">
        <v>843498.31</v>
      </c>
      <c r="CQ125" s="68">
        <v>914470.14</v>
      </c>
      <c r="CR125" s="68">
        <v>692386.29</v>
      </c>
      <c r="CS125" s="68">
        <v>1023303</v>
      </c>
      <c r="CT125" s="68">
        <v>937459.94</v>
      </c>
      <c r="CU125" s="68">
        <v>931917.26</v>
      </c>
      <c r="CV125" s="68">
        <v>899361.79</v>
      </c>
      <c r="CW125" s="69">
        <v>1799016.04</v>
      </c>
      <c r="CX125" s="67">
        <v>0</v>
      </c>
      <c r="CY125" s="68">
        <v>884878.5</v>
      </c>
      <c r="CZ125" s="68">
        <v>1240955.56</v>
      </c>
      <c r="DA125" s="68">
        <v>1002009.9</v>
      </c>
      <c r="DB125" s="68">
        <v>948566.03</v>
      </c>
      <c r="DC125" s="68">
        <v>941531.86</v>
      </c>
      <c r="DD125" s="68">
        <v>915058.42</v>
      </c>
      <c r="DE125" s="68">
        <v>900469.41</v>
      </c>
      <c r="DF125" s="68">
        <v>901424.7</v>
      </c>
      <c r="DG125" s="68">
        <v>911788.58</v>
      </c>
      <c r="DH125" s="68">
        <v>886179.89</v>
      </c>
      <c r="DI125" s="69">
        <v>1820882.34</v>
      </c>
      <c r="DJ125" s="67">
        <v>0</v>
      </c>
      <c r="DK125" s="68">
        <v>938338.62</v>
      </c>
      <c r="DL125" s="68">
        <v>881309.69</v>
      </c>
      <c r="DM125" s="68">
        <v>861425.57</v>
      </c>
      <c r="DN125" s="68">
        <v>808948.31</v>
      </c>
      <c r="DO125" s="68">
        <v>782283.96</v>
      </c>
      <c r="DP125" s="68">
        <v>739444.57</v>
      </c>
      <c r="DQ125" s="68">
        <v>598458.67000000004</v>
      </c>
      <c r="DR125" s="68">
        <v>898275.86</v>
      </c>
      <c r="DS125" s="68">
        <v>688436.49</v>
      </c>
      <c r="DT125" s="68">
        <v>680192.16</v>
      </c>
      <c r="DU125" s="69">
        <v>1394606.98</v>
      </c>
      <c r="DV125" s="61">
        <v>0</v>
      </c>
      <c r="DW125" s="61">
        <v>796911.83</v>
      </c>
      <c r="DX125" s="61">
        <v>665150.16</v>
      </c>
      <c r="DY125" s="61">
        <v>661943.47</v>
      </c>
      <c r="DZ125" s="79">
        <v>636082.14</v>
      </c>
      <c r="EB125" s="79"/>
      <c r="EC125" s="79"/>
      <c r="ED125" s="79"/>
      <c r="EE125" s="79"/>
      <c r="EF125" s="79"/>
      <c r="EG125" s="79"/>
      <c r="EH125" s="62"/>
      <c r="EI125" s="62"/>
      <c r="EJ125" s="62"/>
      <c r="EK125" s="62"/>
      <c r="EL125" s="62"/>
      <c r="EM125" s="62"/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2"/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2"/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2"/>
      <c r="FX125" s="62"/>
      <c r="FY125" s="62"/>
      <c r="FZ125" s="62"/>
      <c r="GA125" s="62"/>
      <c r="GB125" s="62"/>
      <c r="GC125" s="62"/>
      <c r="GD125" s="62"/>
      <c r="GF125" s="62"/>
      <c r="GG125" s="62"/>
      <c r="GH125" s="62"/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2"/>
      <c r="HI125" s="62"/>
      <c r="HJ125" s="62"/>
      <c r="HK125" s="62"/>
      <c r="HL125" s="62"/>
      <c r="HM125" s="62"/>
      <c r="HN125" s="62"/>
      <c r="HO125" s="62"/>
      <c r="HP125" s="62"/>
      <c r="HQ125" s="62"/>
      <c r="HR125" s="62"/>
      <c r="HS125" s="62"/>
      <c r="HT125" s="62"/>
      <c r="HU125" s="62"/>
      <c r="HV125" s="62"/>
      <c r="HW125" s="62"/>
      <c r="HX125" s="62"/>
      <c r="HY125" s="62"/>
      <c r="HZ125" s="62"/>
      <c r="IA125" s="62"/>
      <c r="IB125" s="62"/>
      <c r="IC125" s="62"/>
      <c r="ID125" s="62"/>
      <c r="IE125" s="62"/>
      <c r="IF125" s="62"/>
      <c r="IG125" s="62"/>
      <c r="IH125" s="62"/>
      <c r="II125" s="62"/>
      <c r="IJ125" s="62"/>
      <c r="IK125" s="62"/>
      <c r="IL125" s="62"/>
      <c r="IM125" s="62"/>
      <c r="IN125" s="62"/>
      <c r="IO125" s="62"/>
      <c r="IP125" s="62"/>
      <c r="IQ125" s="62"/>
      <c r="IR125" s="62"/>
      <c r="IS125" s="62"/>
      <c r="IT125" s="62"/>
      <c r="IU125" s="62"/>
      <c r="IV125" s="62"/>
      <c r="IW125" s="62"/>
      <c r="IX125" s="62"/>
      <c r="IY125" s="62"/>
      <c r="IZ125" s="62"/>
      <c r="JA125" s="62"/>
      <c r="JB125" s="62"/>
      <c r="JC125" s="62"/>
      <c r="JD125" s="62"/>
      <c r="JE125" s="62"/>
      <c r="JF125" s="62"/>
      <c r="JG125" s="62"/>
      <c r="JH125" s="62"/>
      <c r="JI125" s="62"/>
      <c r="JJ125" s="62"/>
      <c r="JK125" s="62"/>
      <c r="JL125" s="62"/>
      <c r="JM125" s="62"/>
      <c r="JN125" s="62"/>
      <c r="JO125" s="62"/>
      <c r="JP125" s="62"/>
      <c r="JQ125" s="62"/>
      <c r="JR125" s="62"/>
      <c r="JS125" s="62"/>
      <c r="JT125" s="62"/>
      <c r="JU125" s="62"/>
      <c r="JV125" s="62"/>
      <c r="JW125" s="62"/>
      <c r="JX125" s="62"/>
      <c r="JY125" s="62"/>
      <c r="JZ125" s="62"/>
      <c r="KA125" s="62"/>
      <c r="KB125" s="62"/>
      <c r="KC125" s="62"/>
      <c r="KD125" s="62"/>
      <c r="KE125" s="62"/>
      <c r="KF125" s="62"/>
      <c r="KG125" s="62"/>
      <c r="KH125" s="62"/>
      <c r="KI125" s="62"/>
      <c r="KJ125" s="62"/>
      <c r="KK125" s="62"/>
      <c r="KL125" s="62"/>
      <c r="KM125" s="62"/>
      <c r="KN125" s="62"/>
      <c r="KO125" s="62"/>
      <c r="KP125" s="62"/>
      <c r="KQ125" s="62"/>
      <c r="KR125" s="62"/>
      <c r="KS125" s="62"/>
      <c r="KT125" s="62"/>
      <c r="KU125" s="62"/>
      <c r="KV125" s="62"/>
      <c r="KW125" s="62"/>
      <c r="KX125" s="62"/>
      <c r="KY125" s="62"/>
      <c r="KZ125" s="62"/>
      <c r="LA125" s="62"/>
      <c r="LB125" s="62"/>
      <c r="LC125" s="62"/>
      <c r="LD125" s="62"/>
      <c r="LE125" s="62"/>
      <c r="LF125" s="62"/>
      <c r="LG125" s="62"/>
      <c r="LH125" s="62"/>
      <c r="LI125" s="62"/>
    </row>
    <row r="126" spans="3:321">
      <c r="D126" s="59">
        <v>4225</v>
      </c>
      <c r="E126" s="60" t="s">
        <v>420</v>
      </c>
      <c r="F126" s="67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9"/>
      <c r="R126" s="67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67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9"/>
      <c r="AP126" s="67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9"/>
      <c r="BB126" s="67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9"/>
      <c r="BN126" s="67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9"/>
      <c r="BZ126" s="67"/>
      <c r="CA126" s="68"/>
      <c r="CB126" s="68"/>
      <c r="CC126" s="68"/>
      <c r="CD126" s="68"/>
      <c r="CE126" s="68"/>
      <c r="CF126" s="68"/>
      <c r="CG126" s="68"/>
      <c r="CH126" s="68"/>
      <c r="CI126" s="68"/>
      <c r="CJ126" s="68"/>
      <c r="CK126" s="68"/>
      <c r="CL126" s="67">
        <v>0</v>
      </c>
      <c r="CM126" s="68">
        <v>0</v>
      </c>
      <c r="CN126" s="68">
        <v>0</v>
      </c>
      <c r="CO126" s="68">
        <v>0</v>
      </c>
      <c r="CP126" s="68">
        <v>0</v>
      </c>
      <c r="CQ126" s="68">
        <v>0</v>
      </c>
      <c r="CR126" s="68">
        <v>0</v>
      </c>
      <c r="CS126" s="68">
        <v>0</v>
      </c>
      <c r="CT126" s="68">
        <v>0</v>
      </c>
      <c r="CU126" s="68">
        <v>0</v>
      </c>
      <c r="CV126" s="68">
        <v>0</v>
      </c>
      <c r="CW126" s="69">
        <v>0</v>
      </c>
      <c r="CX126" s="67">
        <v>0</v>
      </c>
      <c r="CY126" s="68">
        <v>0</v>
      </c>
      <c r="CZ126" s="68">
        <v>0</v>
      </c>
      <c r="DA126" s="68">
        <v>0</v>
      </c>
      <c r="DB126" s="68">
        <v>0</v>
      </c>
      <c r="DC126" s="68">
        <v>0</v>
      </c>
      <c r="DD126" s="68">
        <v>0</v>
      </c>
      <c r="DE126" s="68">
        <v>0</v>
      </c>
      <c r="DF126" s="68">
        <v>0</v>
      </c>
      <c r="DG126" s="68">
        <v>0</v>
      </c>
      <c r="DH126" s="68">
        <v>0</v>
      </c>
      <c r="DI126" s="69">
        <v>0</v>
      </c>
      <c r="DJ126" s="67">
        <v>0</v>
      </c>
      <c r="DK126" s="68">
        <v>0</v>
      </c>
      <c r="DL126" s="68">
        <v>0</v>
      </c>
      <c r="DM126" s="68">
        <v>0</v>
      </c>
      <c r="DN126" s="68">
        <v>0</v>
      </c>
      <c r="DO126" s="68">
        <v>0</v>
      </c>
      <c r="DP126" s="68">
        <v>0</v>
      </c>
      <c r="DQ126" s="68">
        <v>0</v>
      </c>
      <c r="DR126" s="68">
        <v>0</v>
      </c>
      <c r="DS126" s="68">
        <v>0</v>
      </c>
      <c r="DT126" s="68">
        <v>0</v>
      </c>
      <c r="DU126" s="69">
        <v>0</v>
      </c>
      <c r="DV126" s="61">
        <v>0</v>
      </c>
      <c r="DW126" s="61">
        <v>0</v>
      </c>
      <c r="DX126" s="61">
        <v>0</v>
      </c>
      <c r="DY126" s="61">
        <v>0</v>
      </c>
      <c r="DZ126" s="79"/>
      <c r="EB126" s="79"/>
      <c r="EC126" s="79"/>
      <c r="ED126" s="79"/>
      <c r="EE126" s="79"/>
      <c r="EF126" s="79"/>
      <c r="EG126" s="79"/>
      <c r="ET126" s="62"/>
      <c r="EU126" s="62"/>
      <c r="EV126" s="62"/>
      <c r="EW126" s="62"/>
      <c r="EX126" s="62"/>
      <c r="EY126" s="62"/>
      <c r="EZ126" s="62"/>
      <c r="FA126" s="62"/>
      <c r="FB126" s="62"/>
      <c r="FC126" s="62"/>
      <c r="FD126" s="62"/>
      <c r="FE126" s="62"/>
      <c r="FF126" s="62"/>
      <c r="FG126" s="62"/>
      <c r="FH126" s="62"/>
      <c r="FI126" s="62"/>
      <c r="FJ126" s="62"/>
      <c r="FK126" s="62"/>
      <c r="FL126" s="62"/>
      <c r="FM126" s="62"/>
      <c r="FN126" s="62"/>
      <c r="FO126" s="62"/>
      <c r="FP126" s="62"/>
      <c r="FQ126" s="62"/>
      <c r="FR126" s="62"/>
      <c r="FS126" s="62"/>
      <c r="FT126" s="62"/>
      <c r="FU126" s="62"/>
      <c r="FV126" s="62"/>
      <c r="FW126" s="62"/>
      <c r="FX126" s="62"/>
      <c r="FY126" s="62"/>
      <c r="FZ126" s="62"/>
      <c r="GA126" s="62"/>
      <c r="GB126" s="62"/>
      <c r="GC126" s="62"/>
      <c r="GD126" s="62"/>
      <c r="GF126" s="62"/>
      <c r="GG126" s="62"/>
      <c r="GH126" s="62"/>
      <c r="GI126" s="62"/>
      <c r="GJ126" s="62"/>
      <c r="GK126" s="62"/>
      <c r="GL126" s="62"/>
      <c r="GM126" s="62"/>
      <c r="GN126" s="62"/>
      <c r="GO126" s="62"/>
      <c r="GP126" s="62"/>
      <c r="GQ126" s="62"/>
      <c r="GR126" s="62"/>
      <c r="GS126" s="62"/>
      <c r="GT126" s="62"/>
      <c r="GU126" s="62"/>
      <c r="GV126" s="62"/>
      <c r="GW126" s="62"/>
      <c r="GX126" s="62"/>
      <c r="GY126" s="62"/>
      <c r="GZ126" s="62"/>
      <c r="HA126" s="62"/>
      <c r="HB126" s="62"/>
      <c r="HC126" s="62"/>
      <c r="HD126" s="62"/>
      <c r="HE126" s="62"/>
      <c r="HF126" s="62"/>
      <c r="HG126" s="62"/>
      <c r="HH126" s="62"/>
      <c r="HI126" s="62"/>
      <c r="HJ126" s="62"/>
      <c r="HK126" s="62"/>
      <c r="HL126" s="62"/>
      <c r="HM126" s="62"/>
      <c r="HN126" s="62"/>
      <c r="HO126" s="62"/>
      <c r="HP126" s="62"/>
      <c r="HQ126" s="62"/>
      <c r="HR126" s="62"/>
      <c r="HS126" s="62"/>
      <c r="HT126" s="62"/>
      <c r="HU126" s="62"/>
      <c r="HV126" s="62"/>
      <c r="HW126" s="62"/>
      <c r="HX126" s="62"/>
      <c r="HY126" s="62"/>
      <c r="HZ126" s="62"/>
      <c r="IA126" s="62"/>
      <c r="IB126" s="62"/>
      <c r="IC126" s="62"/>
      <c r="ID126" s="62"/>
      <c r="IE126" s="62"/>
      <c r="IF126" s="62"/>
      <c r="IG126" s="62"/>
      <c r="IH126" s="62"/>
      <c r="II126" s="62"/>
      <c r="IJ126" s="62"/>
      <c r="IK126" s="62"/>
      <c r="IL126" s="62"/>
      <c r="IM126" s="62"/>
      <c r="IN126" s="62"/>
      <c r="IO126" s="62"/>
      <c r="IP126" s="62"/>
      <c r="IQ126" s="62"/>
      <c r="IR126" s="62"/>
      <c r="IS126" s="62"/>
      <c r="IT126" s="62"/>
      <c r="IU126" s="62"/>
      <c r="IV126" s="62"/>
      <c r="IW126" s="62"/>
      <c r="IX126" s="62"/>
      <c r="IY126" s="62"/>
      <c r="IZ126" s="62"/>
      <c r="JA126" s="62"/>
      <c r="JB126" s="62"/>
      <c r="JC126" s="62"/>
      <c r="JD126" s="62"/>
      <c r="JE126" s="62"/>
      <c r="JF126" s="62"/>
      <c r="JG126" s="62"/>
      <c r="JH126" s="62"/>
      <c r="JI126" s="62"/>
      <c r="JJ126" s="62"/>
      <c r="JK126" s="62"/>
      <c r="JL126" s="62"/>
      <c r="JM126" s="62"/>
      <c r="JN126" s="62"/>
      <c r="JO126" s="62"/>
      <c r="JP126" s="62"/>
      <c r="JQ126" s="62"/>
      <c r="JR126" s="62"/>
      <c r="JS126" s="62"/>
      <c r="JT126" s="62"/>
      <c r="JU126" s="62"/>
      <c r="JV126" s="62"/>
      <c r="JW126" s="62"/>
      <c r="JX126" s="62"/>
      <c r="JY126" s="62"/>
      <c r="JZ126" s="62"/>
      <c r="KA126" s="62"/>
      <c r="KB126" s="62"/>
      <c r="KC126" s="62"/>
      <c r="KD126" s="62"/>
      <c r="KE126" s="62"/>
      <c r="KF126" s="62"/>
      <c r="KG126" s="62"/>
      <c r="KH126" s="62"/>
      <c r="KI126" s="62"/>
      <c r="KJ126" s="62"/>
      <c r="KK126" s="62"/>
      <c r="KL126" s="62"/>
      <c r="KM126" s="62"/>
      <c r="KN126" s="62"/>
      <c r="KO126" s="62"/>
      <c r="KP126" s="62"/>
      <c r="KQ126" s="62"/>
      <c r="KR126" s="62"/>
      <c r="KS126" s="62"/>
      <c r="KT126" s="62"/>
      <c r="KU126" s="62"/>
      <c r="KV126" s="62"/>
      <c r="KW126" s="62"/>
      <c r="KX126" s="62"/>
      <c r="KY126" s="62"/>
      <c r="KZ126" s="62"/>
      <c r="LA126" s="62"/>
      <c r="LB126" s="62"/>
      <c r="LC126" s="62"/>
      <c r="LD126" s="62"/>
      <c r="LE126" s="62"/>
      <c r="LF126" s="62"/>
      <c r="LG126" s="62"/>
      <c r="LH126" s="62"/>
      <c r="LI126" s="62"/>
    </row>
    <row r="127" spans="3:321" ht="30">
      <c r="C127" s="59">
        <v>423</v>
      </c>
      <c r="D127" s="59">
        <v>423</v>
      </c>
      <c r="E127" s="60" t="s">
        <v>159</v>
      </c>
      <c r="F127" s="67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9"/>
      <c r="R127" s="67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67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9"/>
      <c r="AP127" s="67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9"/>
      <c r="BB127" s="67"/>
      <c r="BC127" s="68"/>
      <c r="BD127" s="68"/>
      <c r="BE127" s="68"/>
      <c r="BF127" s="68"/>
      <c r="BG127" s="68"/>
      <c r="BH127" s="68"/>
      <c r="BI127" s="68"/>
      <c r="BJ127" s="68"/>
      <c r="BK127" s="68"/>
      <c r="BL127" s="68"/>
      <c r="BM127" s="69"/>
      <c r="BN127" s="67"/>
      <c r="BO127" s="68"/>
      <c r="BP127" s="68"/>
      <c r="BQ127" s="68"/>
      <c r="BR127" s="68"/>
      <c r="BS127" s="68"/>
      <c r="BT127" s="68"/>
      <c r="BU127" s="68"/>
      <c r="BV127" s="68"/>
      <c r="BW127" s="68"/>
      <c r="BX127" s="68"/>
      <c r="BY127" s="69"/>
      <c r="BZ127" s="67"/>
      <c r="CA127" s="68"/>
      <c r="CB127" s="68"/>
      <c r="CC127" s="68"/>
      <c r="CD127" s="68"/>
      <c r="CE127" s="68"/>
      <c r="CF127" s="68"/>
      <c r="CG127" s="68"/>
      <c r="CH127" s="68"/>
      <c r="CI127" s="68"/>
      <c r="CJ127" s="68"/>
      <c r="CK127" s="68"/>
      <c r="CL127" s="67">
        <v>31674733.129999999</v>
      </c>
      <c r="CM127" s="68">
        <v>31981161.77</v>
      </c>
      <c r="CN127" s="68">
        <v>32270882.73</v>
      </c>
      <c r="CO127" s="68">
        <v>31901739.649999999</v>
      </c>
      <c r="CP127" s="68">
        <v>31873820.949999999</v>
      </c>
      <c r="CQ127" s="68">
        <v>31986440.059999999</v>
      </c>
      <c r="CR127" s="68">
        <v>31784804.800000001</v>
      </c>
      <c r="CS127" s="68">
        <v>31691801.059999999</v>
      </c>
      <c r="CT127" s="68">
        <v>31830341.050000001</v>
      </c>
      <c r="CU127" s="68">
        <v>31877312.890000001</v>
      </c>
      <c r="CV127" s="68">
        <v>32168831.48</v>
      </c>
      <c r="CW127" s="69">
        <v>32148029.949999999</v>
      </c>
      <c r="CX127" s="67">
        <v>31930605.57</v>
      </c>
      <c r="CY127" s="68">
        <v>32322505.829999998</v>
      </c>
      <c r="CZ127" s="68">
        <v>32139547.5</v>
      </c>
      <c r="DA127" s="68">
        <v>32175533.07</v>
      </c>
      <c r="DB127" s="68">
        <v>32122857.829999998</v>
      </c>
      <c r="DC127" s="68">
        <v>32009351.620000001</v>
      </c>
      <c r="DD127" s="68">
        <v>31956410.149999999</v>
      </c>
      <c r="DE127" s="68">
        <v>31961103.48</v>
      </c>
      <c r="DF127" s="68">
        <v>31772415.079999998</v>
      </c>
      <c r="DG127" s="68">
        <v>31859689.870000001</v>
      </c>
      <c r="DH127" s="68">
        <v>32077660.469999999</v>
      </c>
      <c r="DI127" s="69">
        <v>32063162.379999999</v>
      </c>
      <c r="DJ127" s="67">
        <v>31902604.52</v>
      </c>
      <c r="DK127" s="68">
        <v>31653949.309999999</v>
      </c>
      <c r="DL127" s="68">
        <v>32846294.43</v>
      </c>
      <c r="DM127" s="68">
        <v>32093069.739999998</v>
      </c>
      <c r="DN127" s="68">
        <v>32083695.329999998</v>
      </c>
      <c r="DO127" s="68">
        <v>32184677.510000002</v>
      </c>
      <c r="DP127" s="68">
        <v>32230821.329999998</v>
      </c>
      <c r="DQ127" s="68">
        <v>32321913.98</v>
      </c>
      <c r="DR127" s="68">
        <v>32215414.010000002</v>
      </c>
      <c r="DS127" s="68">
        <v>32423340.34</v>
      </c>
      <c r="DT127" s="68">
        <v>32644778.940000001</v>
      </c>
      <c r="DU127" s="69">
        <v>32438337.289999999</v>
      </c>
      <c r="DV127" s="61">
        <v>32292499.949999999</v>
      </c>
      <c r="DW127" s="61">
        <v>32694820.23</v>
      </c>
      <c r="DX127" s="61">
        <v>32289698.41</v>
      </c>
      <c r="DY127" s="61">
        <v>32441506.030000001</v>
      </c>
      <c r="DZ127" s="61">
        <v>32266203.640000001</v>
      </c>
      <c r="EA127" s="61">
        <v>31983873.670000002</v>
      </c>
      <c r="EB127" s="79">
        <v>32004535.780000001</v>
      </c>
      <c r="EC127" s="84">
        <v>32919822.370000001</v>
      </c>
      <c r="ED127" s="79">
        <v>32946866.739999998</v>
      </c>
      <c r="EE127" s="79">
        <v>33137883.899999999</v>
      </c>
      <c r="EF127" s="79">
        <v>32931279.82</v>
      </c>
      <c r="EG127" s="79">
        <v>32906643.09</v>
      </c>
      <c r="EH127" s="62">
        <v>32976338.859999999</v>
      </c>
      <c r="EI127" s="62">
        <v>33304068.809999999</v>
      </c>
      <c r="EJ127" s="62">
        <v>33118374.059999999</v>
      </c>
      <c r="EK127" s="62">
        <v>33225573.780000001</v>
      </c>
      <c r="EL127" s="62">
        <v>33097965.640000001</v>
      </c>
      <c r="EM127" s="62">
        <v>32864422.489999998</v>
      </c>
      <c r="EN127" s="62">
        <v>32909306.579999998</v>
      </c>
      <c r="EO127" s="62">
        <v>34045532.219999999</v>
      </c>
      <c r="EP127" s="62">
        <v>33914885.549999997</v>
      </c>
      <c r="EQ127" s="62">
        <v>33960607.270000003</v>
      </c>
      <c r="ER127" s="62">
        <v>33919324.859999999</v>
      </c>
      <c r="ES127" s="62">
        <v>33927498.649999999</v>
      </c>
      <c r="ET127" s="62">
        <v>34029606.390000001</v>
      </c>
      <c r="EU127" s="62">
        <v>34751702.420000002</v>
      </c>
      <c r="EV127" s="62">
        <v>34761880.880000003</v>
      </c>
      <c r="EW127" s="62">
        <v>34790406.869999997</v>
      </c>
      <c r="EX127" s="62">
        <v>34624926.579999998</v>
      </c>
      <c r="EY127" s="62">
        <v>34392603.229999997</v>
      </c>
      <c r="EZ127" s="62">
        <v>34541467.619999997</v>
      </c>
      <c r="FA127" s="62">
        <v>34591609.219999999</v>
      </c>
      <c r="FB127" s="62">
        <v>34579708.640000001</v>
      </c>
      <c r="FC127" s="62">
        <v>34511618.530000001</v>
      </c>
      <c r="FD127" s="62">
        <v>34549297.82</v>
      </c>
      <c r="FE127" s="62">
        <v>34625437.600000001</v>
      </c>
      <c r="FF127" s="62">
        <v>34463250.560000002</v>
      </c>
      <c r="FG127" s="62">
        <v>35528909.420000002</v>
      </c>
      <c r="FH127" s="62">
        <v>35282837.93</v>
      </c>
      <c r="FI127" s="62">
        <v>35245524.810000002</v>
      </c>
      <c r="FJ127" s="62">
        <v>34783971.590000004</v>
      </c>
      <c r="FK127" s="62">
        <v>35186355.590000004</v>
      </c>
      <c r="FL127" s="62">
        <v>35079083.840000004</v>
      </c>
      <c r="FM127" s="62">
        <v>35016603.259999998</v>
      </c>
      <c r="FN127" s="62">
        <v>35024027.030000001</v>
      </c>
      <c r="FO127" s="62">
        <v>34922457.960000001</v>
      </c>
      <c r="FP127" s="62">
        <v>35000414.549999997</v>
      </c>
      <c r="FQ127" s="62">
        <v>35337465.140000001</v>
      </c>
      <c r="FR127" s="62">
        <f>34875207.16+237575.844</f>
        <v>35112783.004000001</v>
      </c>
      <c r="FS127" s="62">
        <f>36010789.84+237575.844</f>
        <v>36248365.684</v>
      </c>
      <c r="FT127" s="62">
        <f>35520020.59+237575.844</f>
        <v>35757596.434</v>
      </c>
      <c r="FU127" s="62">
        <f>35337209.67+237575.844</f>
        <v>35574785.513999999</v>
      </c>
      <c r="FV127" s="62">
        <f>35322836.95+237575.844</f>
        <v>35560412.794</v>
      </c>
      <c r="FW127" s="62">
        <f>35320461.63+237575.844</f>
        <v>35558037.473999999</v>
      </c>
      <c r="FX127" s="62">
        <f>35397418.63+237575.844</f>
        <v>35634994.473999999</v>
      </c>
      <c r="FY127" s="62">
        <f>37065302.95-1663030.908</f>
        <v>35402272.042000003</v>
      </c>
      <c r="FZ127" s="62">
        <v>35665529.619999997</v>
      </c>
      <c r="GA127" s="62">
        <v>35477154.850000001</v>
      </c>
      <c r="GB127" s="62">
        <v>36217355.229999997</v>
      </c>
      <c r="GC127" s="62">
        <v>35862298.759999998</v>
      </c>
      <c r="GD127" s="62"/>
      <c r="GF127" s="62"/>
      <c r="GG127" s="62"/>
      <c r="GH127" s="62"/>
      <c r="GI127" s="62"/>
      <c r="GJ127" s="62"/>
      <c r="GK127" s="62"/>
      <c r="GL127" s="62"/>
      <c r="GM127" s="62"/>
      <c r="GN127" s="62"/>
      <c r="GO127" s="62"/>
      <c r="GP127" s="62"/>
      <c r="GQ127" s="62"/>
      <c r="GR127" s="62"/>
      <c r="GS127" s="62"/>
      <c r="GT127" s="62"/>
      <c r="GU127" s="62"/>
      <c r="GV127" s="62"/>
      <c r="GW127" s="62"/>
      <c r="GX127" s="62"/>
      <c r="GY127" s="62"/>
      <c r="GZ127" s="62"/>
      <c r="HA127" s="62"/>
      <c r="HB127" s="62"/>
      <c r="HC127" s="62"/>
      <c r="HD127" s="62"/>
      <c r="HE127" s="62"/>
      <c r="HF127" s="62"/>
      <c r="HG127" s="62"/>
      <c r="HH127" s="62"/>
      <c r="HI127" s="62"/>
      <c r="HJ127" s="62"/>
      <c r="HK127" s="62"/>
      <c r="HL127" s="62"/>
      <c r="HM127" s="62"/>
      <c r="HN127" s="62"/>
      <c r="HO127" s="62"/>
      <c r="HP127" s="62"/>
      <c r="HQ127" s="62"/>
      <c r="HR127" s="62"/>
      <c r="HS127" s="62"/>
      <c r="HT127" s="62"/>
      <c r="HU127" s="62"/>
      <c r="HV127" s="62"/>
      <c r="HW127" s="62"/>
      <c r="HX127" s="62"/>
      <c r="HY127" s="62"/>
      <c r="HZ127" s="62"/>
      <c r="IA127" s="62"/>
      <c r="IB127" s="62"/>
      <c r="IC127" s="62"/>
      <c r="ID127" s="62"/>
      <c r="IE127" s="62"/>
      <c r="IF127" s="62"/>
      <c r="IG127" s="62"/>
      <c r="IH127" s="62"/>
      <c r="II127" s="62"/>
      <c r="IJ127" s="62"/>
      <c r="IK127" s="62"/>
      <c r="IL127" s="62"/>
      <c r="IM127" s="62"/>
      <c r="IN127" s="62"/>
      <c r="IO127" s="62"/>
      <c r="IP127" s="62"/>
      <c r="IQ127" s="62"/>
      <c r="IR127" s="62"/>
      <c r="IS127" s="62"/>
      <c r="IT127" s="62"/>
      <c r="IU127" s="62"/>
      <c r="IV127" s="62"/>
      <c r="IW127" s="62"/>
      <c r="IX127" s="62"/>
      <c r="IY127" s="62"/>
      <c r="IZ127" s="62"/>
      <c r="JA127" s="62"/>
      <c r="JB127" s="62"/>
      <c r="JC127" s="62"/>
      <c r="JD127" s="62"/>
      <c r="JE127" s="62"/>
      <c r="JF127" s="62"/>
      <c r="JG127" s="62"/>
      <c r="JH127" s="62"/>
      <c r="JI127" s="62"/>
      <c r="JJ127" s="62"/>
      <c r="JK127" s="62"/>
      <c r="JL127" s="62"/>
      <c r="JM127" s="62"/>
      <c r="JN127" s="62"/>
      <c r="JO127" s="62"/>
      <c r="JP127" s="62"/>
      <c r="JQ127" s="62"/>
      <c r="JR127" s="62"/>
      <c r="JS127" s="62"/>
      <c r="JT127" s="62"/>
      <c r="JU127" s="62"/>
      <c r="JV127" s="62"/>
      <c r="JW127" s="62"/>
      <c r="JX127" s="62"/>
      <c r="JY127" s="62"/>
      <c r="JZ127" s="62"/>
      <c r="KA127" s="62"/>
      <c r="KB127" s="62"/>
      <c r="KC127" s="62"/>
      <c r="KD127" s="62"/>
      <c r="KE127" s="62"/>
      <c r="KF127" s="62"/>
      <c r="KG127" s="62"/>
      <c r="KH127" s="62"/>
      <c r="KI127" s="62"/>
      <c r="KJ127" s="62"/>
      <c r="KK127" s="62"/>
      <c r="KL127" s="62"/>
      <c r="KM127" s="62"/>
      <c r="KN127" s="62"/>
      <c r="KO127" s="62"/>
      <c r="KP127" s="62"/>
      <c r="KQ127" s="62"/>
      <c r="KR127" s="62"/>
      <c r="KS127" s="62"/>
      <c r="KT127" s="62"/>
      <c r="KU127" s="62"/>
      <c r="KV127" s="62"/>
      <c r="KW127" s="62"/>
      <c r="KX127" s="62"/>
      <c r="KY127" s="62"/>
      <c r="KZ127" s="62"/>
      <c r="LA127" s="62"/>
      <c r="LB127" s="62"/>
      <c r="LC127" s="62"/>
      <c r="LD127" s="62"/>
      <c r="LE127" s="62"/>
      <c r="LF127" s="62"/>
      <c r="LG127" s="62"/>
      <c r="LH127" s="62"/>
      <c r="LI127" s="62"/>
    </row>
    <row r="128" spans="3:321">
      <c r="D128" s="59">
        <v>4231</v>
      </c>
      <c r="E128" s="60" t="s">
        <v>433</v>
      </c>
      <c r="F128" s="67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9"/>
      <c r="R128" s="67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67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9"/>
      <c r="AP128" s="67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9"/>
      <c r="BB128" s="67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9"/>
      <c r="BN128" s="67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9"/>
      <c r="BZ128" s="67"/>
      <c r="CA128" s="68"/>
      <c r="CB128" s="68"/>
      <c r="CC128" s="68"/>
      <c r="CD128" s="68"/>
      <c r="CE128" s="68"/>
      <c r="CF128" s="68"/>
      <c r="CG128" s="68"/>
      <c r="CH128" s="68"/>
      <c r="CI128" s="68"/>
      <c r="CJ128" s="68"/>
      <c r="CK128" s="68"/>
      <c r="CL128" s="67">
        <v>17556624.739999998</v>
      </c>
      <c r="CM128" s="68">
        <v>17731912.649999999</v>
      </c>
      <c r="CN128" s="68">
        <v>18171887.329999998</v>
      </c>
      <c r="CO128" s="68">
        <v>17836050.370000001</v>
      </c>
      <c r="CP128" s="68">
        <v>17798539.219999999</v>
      </c>
      <c r="CQ128" s="68">
        <v>17778732.390000001</v>
      </c>
      <c r="CR128" s="68">
        <v>17751367.449999999</v>
      </c>
      <c r="CS128" s="68">
        <v>17751526.059999999</v>
      </c>
      <c r="CT128" s="68">
        <v>17830318.210000001</v>
      </c>
      <c r="CU128" s="68">
        <v>17911049.960000001</v>
      </c>
      <c r="CV128" s="68">
        <v>18125287.949999999</v>
      </c>
      <c r="CW128" s="69">
        <v>18112456.109999999</v>
      </c>
      <c r="CX128" s="67">
        <v>18083708.609999999</v>
      </c>
      <c r="CY128" s="68">
        <v>18230038.43</v>
      </c>
      <c r="CZ128" s="68">
        <v>18200875.059999999</v>
      </c>
      <c r="DA128" s="68">
        <v>18194267.420000002</v>
      </c>
      <c r="DB128" s="68">
        <v>18180228.890000001</v>
      </c>
      <c r="DC128" s="68">
        <v>18140060.379999999</v>
      </c>
      <c r="DD128" s="68">
        <v>18144811.109999999</v>
      </c>
      <c r="DE128" s="68">
        <v>18162470.489999998</v>
      </c>
      <c r="DF128" s="68">
        <v>18132095.620000001</v>
      </c>
      <c r="DG128" s="68">
        <v>18202032.09</v>
      </c>
      <c r="DH128" s="68">
        <v>18247914.809999999</v>
      </c>
      <c r="DI128" s="69">
        <v>18253521.829999998</v>
      </c>
      <c r="DJ128" s="67">
        <v>18235876.890000001</v>
      </c>
      <c r="DK128" s="68">
        <v>17986306.41</v>
      </c>
      <c r="DL128" s="68">
        <v>18703943.800000001</v>
      </c>
      <c r="DM128" s="68">
        <v>18292591.18</v>
      </c>
      <c r="DN128" s="68">
        <v>18354889.039999999</v>
      </c>
      <c r="DO128" s="68">
        <v>18496600.399999999</v>
      </c>
      <c r="DP128" s="68">
        <v>18579479.899999999</v>
      </c>
      <c r="DQ128" s="68">
        <v>18605661.530000001</v>
      </c>
      <c r="DR128" s="68">
        <v>18652141.210000001</v>
      </c>
      <c r="DS128" s="68">
        <v>18787969.120000001</v>
      </c>
      <c r="DT128" s="68">
        <v>18892491.039999999</v>
      </c>
      <c r="DU128" s="69">
        <v>18840760.5</v>
      </c>
      <c r="DV128" s="61">
        <v>18819612.960000001</v>
      </c>
      <c r="DW128" s="61">
        <v>18895412.559999999</v>
      </c>
      <c r="DX128" s="61">
        <v>18754590.399999999</v>
      </c>
      <c r="DY128" s="61">
        <v>18841144.77</v>
      </c>
      <c r="DZ128" s="79">
        <v>18834572.629999999</v>
      </c>
      <c r="EA128" s="61">
        <v>18608997.59</v>
      </c>
      <c r="EB128" s="79">
        <v>18559579.440000001</v>
      </c>
      <c r="EC128" s="79"/>
      <c r="ED128" s="79"/>
      <c r="EE128" s="79"/>
      <c r="EF128" s="79"/>
      <c r="EG128" s="79"/>
      <c r="EH128" s="62"/>
      <c r="EI128" s="62"/>
      <c r="EJ128" s="62"/>
      <c r="EK128" s="62"/>
      <c r="EL128" s="62"/>
      <c r="EM128" s="62"/>
      <c r="EN128" s="62"/>
      <c r="EO128" s="62"/>
      <c r="EP128" s="62"/>
      <c r="EQ128" s="62"/>
      <c r="ER128" s="62"/>
      <c r="ES128" s="62"/>
      <c r="ET128" s="62"/>
      <c r="EU128" s="62"/>
      <c r="EV128" s="62"/>
      <c r="EW128" s="62"/>
      <c r="EX128" s="62"/>
      <c r="EY128" s="62"/>
      <c r="EZ128" s="62"/>
      <c r="FA128" s="62"/>
      <c r="FB128" s="62"/>
      <c r="FC128" s="62"/>
      <c r="FD128" s="62"/>
      <c r="FE128" s="62"/>
      <c r="FF128" s="62"/>
      <c r="FG128" s="62"/>
      <c r="FH128" s="62"/>
      <c r="FI128" s="62"/>
      <c r="FJ128" s="62"/>
      <c r="FK128" s="62"/>
      <c r="FL128" s="62"/>
      <c r="FM128" s="62"/>
      <c r="FN128" s="62"/>
      <c r="FO128" s="62"/>
      <c r="FP128" s="62"/>
      <c r="FQ128" s="62"/>
      <c r="FR128" s="62"/>
      <c r="FS128" s="62"/>
      <c r="FT128" s="62"/>
      <c r="FU128" s="62"/>
      <c r="FV128" s="62"/>
      <c r="FW128" s="62"/>
      <c r="FX128" s="62"/>
      <c r="FY128" s="62"/>
      <c r="FZ128" s="62"/>
      <c r="GA128" s="62"/>
      <c r="GB128" s="62"/>
      <c r="GC128" s="62"/>
      <c r="GD128" s="62"/>
      <c r="GF128" s="62"/>
      <c r="GG128" s="62"/>
      <c r="GH128" s="62"/>
      <c r="GI128" s="62"/>
      <c r="GJ128" s="62"/>
      <c r="GK128" s="62"/>
      <c r="GL128" s="62"/>
      <c r="GM128" s="62"/>
      <c r="GN128" s="62"/>
      <c r="GO128" s="62"/>
      <c r="GP128" s="62"/>
      <c r="GQ128" s="62"/>
      <c r="GR128" s="62"/>
      <c r="GS128" s="62"/>
      <c r="GT128" s="62"/>
      <c r="GU128" s="62"/>
      <c r="GV128" s="62"/>
      <c r="GW128" s="62"/>
      <c r="GX128" s="62"/>
      <c r="GY128" s="62"/>
      <c r="GZ128" s="62"/>
      <c r="HA128" s="62"/>
      <c r="HB128" s="62"/>
      <c r="HC128" s="62"/>
      <c r="HD128" s="62"/>
      <c r="HE128" s="62"/>
      <c r="HF128" s="62"/>
      <c r="HG128" s="62"/>
      <c r="HH128" s="62"/>
      <c r="HI128" s="62"/>
      <c r="HJ128" s="62"/>
      <c r="HK128" s="62"/>
      <c r="HL128" s="62"/>
      <c r="HM128" s="62"/>
      <c r="HN128" s="62"/>
      <c r="HO128" s="62"/>
      <c r="HP128" s="62"/>
      <c r="HQ128" s="62"/>
      <c r="HR128" s="62"/>
      <c r="HS128" s="62"/>
      <c r="HT128" s="62"/>
      <c r="HU128" s="62"/>
      <c r="HV128" s="62"/>
      <c r="HW128" s="62"/>
      <c r="HX128" s="62"/>
      <c r="HY128" s="62"/>
      <c r="HZ128" s="62"/>
      <c r="IA128" s="62"/>
      <c r="IB128" s="62"/>
      <c r="IC128" s="62"/>
      <c r="ID128" s="62"/>
      <c r="IE128" s="62"/>
      <c r="IF128" s="62"/>
      <c r="IG128" s="62"/>
      <c r="IH128" s="62"/>
      <c r="II128" s="62"/>
      <c r="IJ128" s="62"/>
      <c r="IK128" s="62"/>
      <c r="IL128" s="62"/>
      <c r="IM128" s="62"/>
      <c r="IN128" s="62"/>
      <c r="IO128" s="62"/>
      <c r="IP128" s="62"/>
      <c r="IQ128" s="62"/>
      <c r="IR128" s="62"/>
      <c r="IS128" s="62"/>
      <c r="IT128" s="62"/>
      <c r="IU128" s="62"/>
      <c r="IV128" s="62"/>
      <c r="IW128" s="62"/>
      <c r="IX128" s="62"/>
      <c r="IY128" s="62"/>
      <c r="IZ128" s="62"/>
      <c r="JA128" s="62"/>
      <c r="JB128" s="62"/>
      <c r="JC128" s="62"/>
      <c r="JD128" s="62"/>
      <c r="JE128" s="62"/>
      <c r="JF128" s="62"/>
      <c r="JG128" s="62"/>
      <c r="JH128" s="62"/>
      <c r="JI128" s="62"/>
      <c r="JJ128" s="62"/>
      <c r="JK128" s="62"/>
      <c r="JL128" s="62"/>
      <c r="JM128" s="62"/>
      <c r="JN128" s="62"/>
      <c r="JO128" s="62"/>
      <c r="JP128" s="62"/>
      <c r="JQ128" s="62"/>
      <c r="JR128" s="62"/>
      <c r="JS128" s="62"/>
      <c r="JT128" s="62"/>
      <c r="JU128" s="62"/>
      <c r="JV128" s="62"/>
      <c r="JW128" s="62"/>
      <c r="JX128" s="62"/>
      <c r="JY128" s="62"/>
      <c r="JZ128" s="62"/>
      <c r="KA128" s="62"/>
      <c r="KB128" s="62"/>
      <c r="KC128" s="62"/>
      <c r="KD128" s="62"/>
      <c r="KE128" s="62"/>
      <c r="KF128" s="62"/>
      <c r="KG128" s="62"/>
      <c r="KH128" s="62"/>
      <c r="KI128" s="62"/>
      <c r="KJ128" s="62"/>
      <c r="KK128" s="62"/>
      <c r="KL128" s="62"/>
      <c r="KM128" s="62"/>
      <c r="KN128" s="62"/>
      <c r="KO128" s="62"/>
      <c r="KP128" s="62"/>
      <c r="KQ128" s="62"/>
      <c r="KR128" s="62"/>
      <c r="KS128" s="62"/>
      <c r="KT128" s="62"/>
      <c r="KU128" s="62"/>
      <c r="KV128" s="62"/>
      <c r="KW128" s="62"/>
      <c r="KX128" s="62"/>
      <c r="KY128" s="62"/>
      <c r="KZ128" s="62"/>
      <c r="LA128" s="62"/>
      <c r="LB128" s="62"/>
      <c r="LC128" s="62"/>
      <c r="LD128" s="62"/>
      <c r="LE128" s="62"/>
      <c r="LF128" s="62"/>
      <c r="LG128" s="62"/>
      <c r="LH128" s="62"/>
      <c r="LI128" s="62"/>
    </row>
    <row r="129" spans="1:321">
      <c r="D129" s="59">
        <v>4232</v>
      </c>
      <c r="E129" s="60" t="s">
        <v>434</v>
      </c>
      <c r="F129" s="67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9"/>
      <c r="R129" s="67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67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9"/>
      <c r="AP129" s="67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9"/>
      <c r="BB129" s="67"/>
      <c r="BC129" s="68"/>
      <c r="BD129" s="68"/>
      <c r="BE129" s="68"/>
      <c r="BF129" s="68"/>
      <c r="BG129" s="68"/>
      <c r="BH129" s="68"/>
      <c r="BI129" s="68"/>
      <c r="BJ129" s="68"/>
      <c r="BK129" s="68"/>
      <c r="BL129" s="68"/>
      <c r="BM129" s="69"/>
      <c r="BN129" s="67"/>
      <c r="BO129" s="68"/>
      <c r="BP129" s="68"/>
      <c r="BQ129" s="68"/>
      <c r="BR129" s="68"/>
      <c r="BS129" s="68"/>
      <c r="BT129" s="68"/>
      <c r="BU129" s="68"/>
      <c r="BV129" s="68"/>
      <c r="BW129" s="68"/>
      <c r="BX129" s="68"/>
      <c r="BY129" s="69"/>
      <c r="BZ129" s="67"/>
      <c r="CA129" s="68"/>
      <c r="CB129" s="68"/>
      <c r="CC129" s="68"/>
      <c r="CD129" s="68"/>
      <c r="CE129" s="68"/>
      <c r="CF129" s="68"/>
      <c r="CG129" s="68"/>
      <c r="CH129" s="68"/>
      <c r="CI129" s="68"/>
      <c r="CJ129" s="68"/>
      <c r="CK129" s="68"/>
      <c r="CL129" s="67">
        <v>5875272.8499999996</v>
      </c>
      <c r="CM129" s="68">
        <v>5889625.8899999997</v>
      </c>
      <c r="CN129" s="68">
        <v>5885374.3099999903</v>
      </c>
      <c r="CO129" s="68">
        <v>5881275.6699999999</v>
      </c>
      <c r="CP129" s="68">
        <v>5905482.5499999998</v>
      </c>
      <c r="CQ129" s="68">
        <v>5902560.2699999996</v>
      </c>
      <c r="CR129" s="68">
        <v>5863255.7000000002</v>
      </c>
      <c r="CS129" s="68">
        <v>5837597.7699999996</v>
      </c>
      <c r="CT129" s="68">
        <v>5830922.5199999996</v>
      </c>
      <c r="CU129" s="68">
        <v>5824170.1200000001</v>
      </c>
      <c r="CV129" s="68">
        <v>5832033.0999999996</v>
      </c>
      <c r="CW129" s="69">
        <v>5825822.0099999998</v>
      </c>
      <c r="CX129" s="67">
        <v>5786947.3300000001</v>
      </c>
      <c r="CY129" s="68">
        <v>5795593.0300000003</v>
      </c>
      <c r="CZ129" s="68">
        <v>5767722.29</v>
      </c>
      <c r="DA129" s="68">
        <v>5737077.7599999905</v>
      </c>
      <c r="DB129" s="68">
        <v>5733681.71</v>
      </c>
      <c r="DC129" s="68">
        <v>5742966.9500000104</v>
      </c>
      <c r="DD129" s="68">
        <v>5703710.6799999997</v>
      </c>
      <c r="DE129" s="68">
        <v>5728346.5999999996</v>
      </c>
      <c r="DF129" s="68">
        <v>5685437.6900000004</v>
      </c>
      <c r="DG129" s="68">
        <v>5681204.9400000004</v>
      </c>
      <c r="DH129" s="68">
        <v>5703587.5700000096</v>
      </c>
      <c r="DI129" s="69">
        <v>5708542.3200000003</v>
      </c>
      <c r="DJ129" s="67">
        <v>5639131.5700000003</v>
      </c>
      <c r="DK129" s="68">
        <v>5505397.5700000003</v>
      </c>
      <c r="DL129" s="68">
        <v>5801307.2000000002</v>
      </c>
      <c r="DM129" s="68">
        <v>5641882.2800000096</v>
      </c>
      <c r="DN129" s="68">
        <v>5618825.8799999999</v>
      </c>
      <c r="DO129" s="68">
        <v>5615859.4699999997</v>
      </c>
      <c r="DP129" s="68">
        <v>5625058.0300000003</v>
      </c>
      <c r="DQ129" s="68">
        <v>5614423.9000000004</v>
      </c>
      <c r="DR129" s="68">
        <v>5585563.7199999997</v>
      </c>
      <c r="DS129" s="68">
        <v>5596628.54</v>
      </c>
      <c r="DT129" s="68">
        <v>5554966.8799999999</v>
      </c>
      <c r="DU129" s="69">
        <v>5509099.6799999997</v>
      </c>
      <c r="DV129" s="61">
        <v>5503915.4000000004</v>
      </c>
      <c r="DW129" s="61">
        <v>5529068.9400000004</v>
      </c>
      <c r="DX129" s="61">
        <v>5480065.9699999997</v>
      </c>
      <c r="DY129" s="61">
        <v>5474281.8099999996</v>
      </c>
      <c r="DZ129" s="79">
        <v>5409798.4900000002</v>
      </c>
      <c r="EA129" s="61">
        <v>5398517.3600000003</v>
      </c>
      <c r="EB129" s="79">
        <v>5404997.25</v>
      </c>
      <c r="EC129" s="79"/>
      <c r="ED129" s="79"/>
      <c r="EE129" s="79"/>
      <c r="EF129" s="79"/>
      <c r="EG129" s="79"/>
      <c r="EH129" s="62"/>
      <c r="EI129" s="62"/>
      <c r="EJ129" s="62"/>
      <c r="EK129" s="62"/>
      <c r="EL129" s="62"/>
      <c r="EM129" s="62"/>
      <c r="EN129" s="62"/>
      <c r="EO129" s="62"/>
      <c r="EP129" s="62"/>
      <c r="EQ129" s="62"/>
      <c r="ER129" s="62"/>
      <c r="ES129" s="62"/>
      <c r="ET129" s="62"/>
      <c r="EU129" s="62"/>
      <c r="EV129" s="62"/>
      <c r="EW129" s="62"/>
      <c r="EX129" s="62"/>
      <c r="EY129" s="62"/>
      <c r="EZ129" s="62"/>
      <c r="FA129" s="62"/>
      <c r="FB129" s="62"/>
      <c r="FC129" s="62"/>
      <c r="FD129" s="62"/>
      <c r="FE129" s="62"/>
      <c r="FF129" s="62"/>
      <c r="FG129" s="62"/>
      <c r="FH129" s="62"/>
      <c r="FI129" s="62"/>
      <c r="FJ129" s="62"/>
      <c r="FK129" s="62"/>
      <c r="FL129" s="62"/>
      <c r="FM129" s="62"/>
      <c r="FN129" s="62"/>
      <c r="FO129" s="62"/>
      <c r="FP129" s="62"/>
      <c r="FQ129" s="62"/>
      <c r="FR129" s="62"/>
      <c r="FS129" s="62"/>
      <c r="FT129" s="62"/>
      <c r="FU129" s="62"/>
      <c r="FV129" s="62"/>
      <c r="FW129" s="62"/>
      <c r="FX129" s="62"/>
      <c r="FY129" s="62"/>
      <c r="FZ129" s="62"/>
      <c r="GA129" s="62"/>
      <c r="GB129" s="62"/>
      <c r="GC129" s="62"/>
      <c r="GD129" s="62"/>
      <c r="GF129" s="62"/>
      <c r="GG129" s="62"/>
      <c r="GH129" s="62"/>
      <c r="GI129" s="62"/>
      <c r="GJ129" s="62"/>
      <c r="GK129" s="62"/>
      <c r="GL129" s="62"/>
      <c r="GM129" s="62"/>
      <c r="GN129" s="62"/>
      <c r="GO129" s="62"/>
      <c r="GP129" s="62"/>
      <c r="GQ129" s="62"/>
      <c r="GR129" s="62"/>
      <c r="GS129" s="62"/>
      <c r="GT129" s="62"/>
      <c r="GU129" s="62"/>
      <c r="GV129" s="62"/>
      <c r="GW129" s="62"/>
      <c r="GX129" s="62"/>
      <c r="GY129" s="62"/>
      <c r="GZ129" s="62"/>
      <c r="HA129" s="62"/>
      <c r="HB129" s="62"/>
      <c r="HC129" s="62"/>
      <c r="HD129" s="62"/>
      <c r="HE129" s="62"/>
      <c r="HF129" s="62"/>
      <c r="HG129" s="62"/>
      <c r="HH129" s="62"/>
      <c r="HI129" s="62"/>
      <c r="HJ129" s="62"/>
      <c r="HK129" s="62"/>
      <c r="HL129" s="62"/>
      <c r="HM129" s="62"/>
      <c r="HN129" s="62"/>
      <c r="HO129" s="62"/>
      <c r="HP129" s="62"/>
      <c r="HQ129" s="62"/>
      <c r="HR129" s="62"/>
      <c r="HS129" s="62"/>
      <c r="HT129" s="62"/>
      <c r="HU129" s="62"/>
      <c r="HV129" s="62"/>
      <c r="HW129" s="62"/>
      <c r="HX129" s="62"/>
      <c r="HY129" s="62"/>
      <c r="HZ129" s="62"/>
      <c r="IA129" s="62"/>
      <c r="IB129" s="62"/>
      <c r="IC129" s="62"/>
      <c r="ID129" s="62"/>
      <c r="IE129" s="62"/>
      <c r="IF129" s="62"/>
      <c r="IG129" s="62"/>
      <c r="IH129" s="62"/>
      <c r="II129" s="62"/>
      <c r="IJ129" s="62"/>
      <c r="IK129" s="62"/>
      <c r="IL129" s="62"/>
      <c r="IM129" s="62"/>
      <c r="IN129" s="62"/>
      <c r="IO129" s="62"/>
      <c r="IP129" s="62"/>
      <c r="IQ129" s="62"/>
      <c r="IR129" s="62"/>
      <c r="IS129" s="62"/>
      <c r="IT129" s="62"/>
      <c r="IU129" s="62"/>
      <c r="IV129" s="62"/>
      <c r="IW129" s="62"/>
      <c r="IX129" s="62"/>
      <c r="IY129" s="62"/>
      <c r="IZ129" s="62"/>
      <c r="JA129" s="62"/>
      <c r="JB129" s="62"/>
      <c r="JC129" s="62"/>
      <c r="JD129" s="62"/>
      <c r="JE129" s="62"/>
      <c r="JF129" s="62"/>
      <c r="JG129" s="62"/>
      <c r="JH129" s="62"/>
      <c r="JI129" s="62"/>
      <c r="JJ129" s="62"/>
      <c r="JK129" s="62"/>
      <c r="JL129" s="62"/>
      <c r="JM129" s="62"/>
      <c r="JN129" s="62"/>
      <c r="JO129" s="62"/>
      <c r="JP129" s="62"/>
      <c r="JQ129" s="62"/>
      <c r="JR129" s="62"/>
      <c r="JS129" s="62"/>
      <c r="JT129" s="62"/>
      <c r="JU129" s="62"/>
      <c r="JV129" s="62"/>
      <c r="JW129" s="62"/>
      <c r="JX129" s="62"/>
      <c r="JY129" s="62"/>
      <c r="JZ129" s="62"/>
      <c r="KA129" s="62"/>
      <c r="KB129" s="62"/>
      <c r="KC129" s="62"/>
      <c r="KD129" s="62"/>
      <c r="KE129" s="62"/>
      <c r="KF129" s="62"/>
      <c r="KG129" s="62"/>
      <c r="KH129" s="62"/>
      <c r="KI129" s="62"/>
      <c r="KJ129" s="62"/>
      <c r="KK129" s="62"/>
      <c r="KL129" s="62"/>
      <c r="KM129" s="62"/>
      <c r="KN129" s="62"/>
      <c r="KO129" s="62"/>
      <c r="KP129" s="62"/>
      <c r="KQ129" s="62"/>
      <c r="KR129" s="62"/>
      <c r="KS129" s="62"/>
      <c r="KT129" s="62"/>
      <c r="KU129" s="62"/>
      <c r="KV129" s="62"/>
      <c r="KW129" s="62"/>
      <c r="KX129" s="62"/>
      <c r="KY129" s="62"/>
      <c r="KZ129" s="62"/>
      <c r="LA129" s="62"/>
      <c r="LB129" s="62"/>
      <c r="LC129" s="62"/>
      <c r="LD129" s="62"/>
      <c r="LE129" s="62"/>
      <c r="LF129" s="62"/>
      <c r="LG129" s="62"/>
      <c r="LH129" s="62"/>
      <c r="LI129" s="62"/>
    </row>
    <row r="130" spans="1:321">
      <c r="D130" s="59">
        <v>4233</v>
      </c>
      <c r="E130" s="60" t="s">
        <v>435</v>
      </c>
      <c r="F130" s="67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9"/>
      <c r="R130" s="67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67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9"/>
      <c r="AP130" s="67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9"/>
      <c r="BB130" s="67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9"/>
      <c r="BN130" s="67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9"/>
      <c r="BZ130" s="67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7">
        <v>6368809.3200000003</v>
      </c>
      <c r="CM130" s="68">
        <v>6395625.3799999999</v>
      </c>
      <c r="CN130" s="68">
        <v>6375718.3100000098</v>
      </c>
      <c r="CO130" s="68">
        <v>6367612.6799999997</v>
      </c>
      <c r="CP130" s="68">
        <v>6393926.3099999996</v>
      </c>
      <c r="CQ130" s="68">
        <v>6383257.7000000002</v>
      </c>
      <c r="CR130" s="68">
        <v>6368528.8099999996</v>
      </c>
      <c r="CS130" s="68">
        <v>6381605.71</v>
      </c>
      <c r="CT130" s="68">
        <v>6373366.1500000004</v>
      </c>
      <c r="CU130" s="68">
        <v>6376943.9500000002</v>
      </c>
      <c r="CV130" s="68">
        <v>6366572.2400000002</v>
      </c>
      <c r="CW130" s="69">
        <v>6368696.5300000003</v>
      </c>
      <c r="CX130" s="67">
        <v>6342695.7199999997</v>
      </c>
      <c r="CY130" s="68">
        <v>6375633.9000000004</v>
      </c>
      <c r="CZ130" s="68">
        <v>6374271.7599999998</v>
      </c>
      <c r="DA130" s="68">
        <v>6378227.9300000099</v>
      </c>
      <c r="DB130" s="68">
        <v>6366618.3799999999</v>
      </c>
      <c r="DC130" s="68">
        <v>6376648.0400000103</v>
      </c>
      <c r="DD130" s="68">
        <v>6364269.1800000099</v>
      </c>
      <c r="DE130" s="68">
        <v>6362007.3799999999</v>
      </c>
      <c r="DF130" s="68">
        <v>6344589.1299999999</v>
      </c>
      <c r="DG130" s="68">
        <v>6322177.8200000003</v>
      </c>
      <c r="DH130" s="68">
        <v>6328487.5999999996</v>
      </c>
      <c r="DI130" s="69">
        <v>6340692.0800000001</v>
      </c>
      <c r="DJ130" s="67">
        <v>6353359.4199999999</v>
      </c>
      <c r="DK130" s="68">
        <v>6204150.6699999999</v>
      </c>
      <c r="DL130" s="68">
        <v>6524585.1100000003</v>
      </c>
      <c r="DM130" s="68">
        <v>6354679.3499999996</v>
      </c>
      <c r="DN130" s="68">
        <v>6350815.4500000002</v>
      </c>
      <c r="DO130" s="68">
        <v>6349181.9500000002</v>
      </c>
      <c r="DP130" s="68">
        <v>6347123.5999999996</v>
      </c>
      <c r="DQ130" s="68">
        <v>6339821.9100000001</v>
      </c>
      <c r="DR130" s="68">
        <v>6322847.9699999997</v>
      </c>
      <c r="DS130" s="68">
        <v>6286233.4000000004</v>
      </c>
      <c r="DT130" s="68">
        <v>6371403.7999999998</v>
      </c>
      <c r="DU130" s="69">
        <v>6328009.1699999999</v>
      </c>
      <c r="DV130" s="61">
        <v>6327730.8099999996</v>
      </c>
      <c r="DW130" s="61">
        <v>6355152.7599999998</v>
      </c>
      <c r="DX130" s="61">
        <v>6348202.9000000004</v>
      </c>
      <c r="DY130" s="61">
        <v>6348789.5</v>
      </c>
      <c r="DZ130" s="79">
        <v>6307783.0599999996</v>
      </c>
      <c r="EA130" s="61">
        <v>6299458.6699999999</v>
      </c>
      <c r="EB130" s="79">
        <v>6304542.9199999999</v>
      </c>
      <c r="EC130" s="79"/>
      <c r="ED130" s="79"/>
      <c r="EE130" s="79"/>
      <c r="EF130" s="79"/>
      <c r="EG130" s="79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2"/>
      <c r="FX130" s="62"/>
      <c r="FY130" s="62"/>
      <c r="FZ130" s="62"/>
      <c r="GA130" s="62"/>
      <c r="GB130" s="62"/>
      <c r="GC130" s="62"/>
      <c r="GD130" s="62"/>
      <c r="GF130" s="62"/>
      <c r="GG130" s="62"/>
      <c r="GH130" s="62"/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  <c r="GW130" s="62"/>
      <c r="GX130" s="62"/>
      <c r="GY130" s="62"/>
      <c r="GZ130" s="62"/>
      <c r="HA130" s="62"/>
      <c r="HB130" s="62"/>
      <c r="HC130" s="62"/>
      <c r="HD130" s="62"/>
      <c r="HE130" s="62"/>
      <c r="HF130" s="62"/>
      <c r="HG130" s="62"/>
      <c r="HH130" s="62"/>
      <c r="HI130" s="62"/>
      <c r="HJ130" s="62"/>
      <c r="HK130" s="62"/>
      <c r="HL130" s="62"/>
      <c r="HM130" s="62"/>
      <c r="HN130" s="62"/>
      <c r="HO130" s="62"/>
      <c r="HP130" s="62"/>
      <c r="HQ130" s="62"/>
      <c r="HR130" s="62"/>
      <c r="HS130" s="62"/>
      <c r="HT130" s="62"/>
      <c r="HU130" s="62"/>
      <c r="HV130" s="62"/>
      <c r="HW130" s="62"/>
      <c r="HX130" s="62"/>
      <c r="HY130" s="62"/>
      <c r="HZ130" s="62"/>
      <c r="IA130" s="62"/>
      <c r="IB130" s="62"/>
      <c r="IC130" s="62"/>
      <c r="ID130" s="62"/>
      <c r="IE130" s="62"/>
      <c r="IF130" s="62"/>
      <c r="IG130" s="62"/>
      <c r="IH130" s="62"/>
      <c r="II130" s="62"/>
      <c r="IJ130" s="62"/>
      <c r="IK130" s="62"/>
      <c r="IL130" s="62"/>
      <c r="IM130" s="62"/>
      <c r="IN130" s="62"/>
      <c r="IO130" s="62"/>
      <c r="IP130" s="62"/>
      <c r="IQ130" s="62"/>
      <c r="IR130" s="62"/>
      <c r="IS130" s="62"/>
      <c r="IT130" s="62"/>
      <c r="IU130" s="62"/>
      <c r="IV130" s="62"/>
      <c r="IW130" s="62"/>
      <c r="IX130" s="62"/>
      <c r="IY130" s="62"/>
      <c r="IZ130" s="62"/>
      <c r="JA130" s="62"/>
      <c r="JB130" s="62"/>
      <c r="JC130" s="62"/>
      <c r="JD130" s="62"/>
      <c r="JE130" s="62"/>
      <c r="JF130" s="62"/>
      <c r="JG130" s="62"/>
      <c r="JH130" s="62"/>
      <c r="JI130" s="62"/>
      <c r="JJ130" s="62"/>
      <c r="JK130" s="62"/>
      <c r="JL130" s="62"/>
      <c r="JM130" s="62"/>
      <c r="JN130" s="62"/>
      <c r="JO130" s="62"/>
      <c r="JP130" s="62"/>
      <c r="JQ130" s="62"/>
      <c r="JR130" s="62"/>
      <c r="JS130" s="62"/>
      <c r="JT130" s="62"/>
      <c r="JU130" s="62"/>
      <c r="JV130" s="62"/>
      <c r="JW130" s="62"/>
      <c r="JX130" s="62"/>
      <c r="JY130" s="62"/>
      <c r="JZ130" s="62"/>
      <c r="KA130" s="62"/>
      <c r="KB130" s="62"/>
      <c r="KC130" s="62"/>
      <c r="KD130" s="62"/>
      <c r="KE130" s="62"/>
      <c r="KF130" s="62"/>
      <c r="KG130" s="62"/>
      <c r="KH130" s="62"/>
      <c r="KI130" s="62"/>
      <c r="KJ130" s="62"/>
      <c r="KK130" s="62"/>
      <c r="KL130" s="62"/>
      <c r="KM130" s="62"/>
      <c r="KN130" s="62"/>
      <c r="KO130" s="62"/>
      <c r="KP130" s="62"/>
      <c r="KQ130" s="62"/>
      <c r="KR130" s="62"/>
      <c r="KS130" s="62"/>
      <c r="KT130" s="62"/>
      <c r="KU130" s="62"/>
      <c r="KV130" s="62"/>
      <c r="KW130" s="62"/>
      <c r="KX130" s="62"/>
      <c r="KY130" s="62"/>
      <c r="KZ130" s="62"/>
      <c r="LA130" s="62"/>
      <c r="LB130" s="62"/>
      <c r="LC130" s="62"/>
      <c r="LD130" s="62"/>
      <c r="LE130" s="62"/>
      <c r="LF130" s="62"/>
      <c r="LG130" s="62"/>
      <c r="LH130" s="62"/>
      <c r="LI130" s="62"/>
    </row>
    <row r="131" spans="1:321">
      <c r="D131" s="59">
        <v>4234</v>
      </c>
      <c r="E131" s="60" t="s">
        <v>141</v>
      </c>
      <c r="F131" s="67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9"/>
      <c r="R131" s="67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67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9"/>
      <c r="AP131" s="67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9"/>
      <c r="BB131" s="67"/>
      <c r="BC131" s="68"/>
      <c r="BD131" s="68"/>
      <c r="BE131" s="68"/>
      <c r="BF131" s="68"/>
      <c r="BG131" s="68"/>
      <c r="BH131" s="68"/>
      <c r="BI131" s="68"/>
      <c r="BJ131" s="68"/>
      <c r="BK131" s="68"/>
      <c r="BL131" s="68"/>
      <c r="BM131" s="69"/>
      <c r="BN131" s="67"/>
      <c r="BO131" s="68"/>
      <c r="BP131" s="68"/>
      <c r="BQ131" s="68"/>
      <c r="BR131" s="68"/>
      <c r="BS131" s="68"/>
      <c r="BT131" s="68"/>
      <c r="BU131" s="68"/>
      <c r="BV131" s="68"/>
      <c r="BW131" s="68"/>
      <c r="BX131" s="68"/>
      <c r="BY131" s="69"/>
      <c r="BZ131" s="67"/>
      <c r="CA131" s="68"/>
      <c r="CB131" s="68"/>
      <c r="CC131" s="68"/>
      <c r="CD131" s="68"/>
      <c r="CE131" s="68"/>
      <c r="CF131" s="68"/>
      <c r="CG131" s="68"/>
      <c r="CH131" s="68"/>
      <c r="CI131" s="68"/>
      <c r="CJ131" s="68"/>
      <c r="CK131" s="68"/>
      <c r="CL131" s="67">
        <v>790756.47999999905</v>
      </c>
      <c r="CM131" s="68">
        <v>969918.06</v>
      </c>
      <c r="CN131" s="68">
        <v>840020.16</v>
      </c>
      <c r="CO131" s="68">
        <v>867501.1</v>
      </c>
      <c r="CP131" s="68">
        <v>795719.35</v>
      </c>
      <c r="CQ131" s="68">
        <v>862650.1</v>
      </c>
      <c r="CR131" s="68">
        <v>819703.71</v>
      </c>
      <c r="CS131" s="68">
        <v>749116.28</v>
      </c>
      <c r="CT131" s="68">
        <v>854041.72</v>
      </c>
      <c r="CU131" s="68">
        <v>805563.74</v>
      </c>
      <c r="CV131" s="68">
        <v>838655.73</v>
      </c>
      <c r="CW131" s="69">
        <v>796810.7</v>
      </c>
      <c r="CX131" s="67">
        <v>717513.5</v>
      </c>
      <c r="CY131" s="68">
        <v>960921.33</v>
      </c>
      <c r="CZ131" s="68">
        <v>809982.92</v>
      </c>
      <c r="DA131" s="68">
        <v>874130.68000000098</v>
      </c>
      <c r="DB131" s="68">
        <v>850662.33</v>
      </c>
      <c r="DC131" s="68">
        <v>778118.26</v>
      </c>
      <c r="DD131" s="68">
        <v>749680.95</v>
      </c>
      <c r="DE131" s="68">
        <v>721105.75</v>
      </c>
      <c r="DF131" s="68">
        <v>773447.14</v>
      </c>
      <c r="DG131" s="68">
        <v>707814.93</v>
      </c>
      <c r="DH131" s="68">
        <v>830293.33</v>
      </c>
      <c r="DI131" s="69">
        <v>774907.67</v>
      </c>
      <c r="DJ131" s="67">
        <v>714889.4</v>
      </c>
      <c r="DK131" s="68">
        <v>933129.68999999901</v>
      </c>
      <c r="DL131" s="68">
        <v>850043.94</v>
      </c>
      <c r="DM131" s="68">
        <v>795559.97</v>
      </c>
      <c r="DN131" s="68">
        <v>801253.57999999903</v>
      </c>
      <c r="DO131" s="68">
        <v>729954.91</v>
      </c>
      <c r="DP131" s="68">
        <v>705165.38</v>
      </c>
      <c r="DQ131" s="68">
        <v>809794.61</v>
      </c>
      <c r="DR131" s="68">
        <v>776691.33</v>
      </c>
      <c r="DS131" s="68">
        <v>729121.31</v>
      </c>
      <c r="DT131" s="68">
        <v>826863.26</v>
      </c>
      <c r="DU131" s="69">
        <v>761813.05</v>
      </c>
      <c r="DV131" s="61">
        <v>689198.38</v>
      </c>
      <c r="DW131" s="61">
        <v>899852.64</v>
      </c>
      <c r="DX131" s="61">
        <v>740886.88</v>
      </c>
      <c r="DY131" s="61">
        <v>776480.21</v>
      </c>
      <c r="DZ131" s="79">
        <v>732760.29</v>
      </c>
      <c r="EA131" s="61">
        <v>699234.7</v>
      </c>
      <c r="EB131" s="79">
        <v>743402.31</v>
      </c>
      <c r="EC131" s="79"/>
      <c r="ED131" s="79"/>
      <c r="EE131" s="79"/>
      <c r="EF131" s="79"/>
      <c r="EG131" s="79"/>
      <c r="EH131" s="62"/>
      <c r="EI131" s="62"/>
      <c r="EJ131" s="62"/>
      <c r="EK131" s="62"/>
      <c r="EL131" s="62"/>
      <c r="EM131" s="62"/>
      <c r="EN131" s="62"/>
      <c r="EO131" s="62"/>
      <c r="EP131" s="62"/>
      <c r="EQ131" s="62"/>
      <c r="ER131" s="62"/>
      <c r="ES131" s="62"/>
      <c r="ET131" s="62"/>
      <c r="EU131" s="62"/>
      <c r="EV131" s="62"/>
      <c r="EW131" s="62"/>
      <c r="EX131" s="62"/>
      <c r="EY131" s="62"/>
      <c r="EZ131" s="62"/>
      <c r="FA131" s="62"/>
      <c r="FB131" s="62"/>
      <c r="FC131" s="62"/>
      <c r="FD131" s="62"/>
      <c r="FE131" s="62"/>
      <c r="FF131" s="62"/>
      <c r="FG131" s="62"/>
      <c r="FH131" s="62"/>
      <c r="FI131" s="62"/>
      <c r="FJ131" s="62"/>
      <c r="FK131" s="62"/>
      <c r="FL131" s="62"/>
      <c r="FM131" s="62"/>
      <c r="FN131" s="62"/>
      <c r="FO131" s="62"/>
      <c r="FP131" s="62"/>
      <c r="FQ131" s="62"/>
      <c r="FR131" s="62"/>
      <c r="FS131" s="62"/>
      <c r="FT131" s="62"/>
      <c r="FU131" s="62"/>
      <c r="FV131" s="62"/>
      <c r="FW131" s="62"/>
      <c r="FX131" s="62"/>
      <c r="FY131" s="62"/>
      <c r="FZ131" s="62"/>
      <c r="GA131" s="62"/>
      <c r="GB131" s="62"/>
      <c r="GC131" s="62"/>
      <c r="GD131" s="62"/>
      <c r="GF131" s="62"/>
      <c r="GG131" s="62"/>
      <c r="GH131" s="62"/>
      <c r="GI131" s="62"/>
      <c r="GJ131" s="62"/>
      <c r="GK131" s="62"/>
      <c r="GL131" s="62"/>
      <c r="GM131" s="62"/>
      <c r="GN131" s="62"/>
      <c r="GO131" s="62"/>
      <c r="GP131" s="62"/>
      <c r="GQ131" s="62"/>
      <c r="GR131" s="62"/>
      <c r="GS131" s="62"/>
      <c r="GT131" s="62"/>
      <c r="GU131" s="62"/>
      <c r="GV131" s="62"/>
      <c r="GW131" s="62"/>
      <c r="GX131" s="62"/>
      <c r="GY131" s="62"/>
      <c r="GZ131" s="62"/>
      <c r="HA131" s="62"/>
      <c r="HB131" s="62"/>
      <c r="HC131" s="62"/>
      <c r="HD131" s="62"/>
      <c r="HE131" s="62"/>
      <c r="HF131" s="62"/>
      <c r="HG131" s="62"/>
      <c r="HH131" s="62"/>
      <c r="HI131" s="62"/>
      <c r="HJ131" s="62"/>
      <c r="HK131" s="62"/>
      <c r="HL131" s="62"/>
      <c r="HM131" s="62"/>
      <c r="HN131" s="62"/>
      <c r="HO131" s="62"/>
      <c r="HP131" s="62"/>
      <c r="HQ131" s="62"/>
      <c r="HR131" s="62"/>
      <c r="HS131" s="62"/>
      <c r="HT131" s="62"/>
      <c r="HU131" s="62"/>
      <c r="HV131" s="62"/>
      <c r="HW131" s="62"/>
      <c r="HX131" s="62"/>
      <c r="HY131" s="62"/>
      <c r="HZ131" s="62"/>
      <c r="IA131" s="62"/>
      <c r="IB131" s="62"/>
      <c r="IC131" s="62"/>
      <c r="ID131" s="62"/>
      <c r="IE131" s="62"/>
      <c r="IF131" s="62"/>
      <c r="IG131" s="62"/>
      <c r="IH131" s="62"/>
      <c r="II131" s="62"/>
      <c r="IJ131" s="62"/>
      <c r="IK131" s="62"/>
      <c r="IL131" s="62"/>
      <c r="IM131" s="62"/>
      <c r="IN131" s="62"/>
      <c r="IO131" s="62"/>
      <c r="IP131" s="62"/>
      <c r="IQ131" s="62"/>
      <c r="IR131" s="62"/>
      <c r="IS131" s="62"/>
      <c r="IT131" s="62"/>
      <c r="IU131" s="62"/>
      <c r="IV131" s="62"/>
      <c r="IW131" s="62"/>
      <c r="IX131" s="62"/>
      <c r="IY131" s="62"/>
      <c r="IZ131" s="62"/>
      <c r="JA131" s="62"/>
      <c r="JB131" s="62"/>
      <c r="JC131" s="62"/>
      <c r="JD131" s="62"/>
      <c r="JE131" s="62"/>
      <c r="JF131" s="62"/>
      <c r="JG131" s="62"/>
      <c r="JH131" s="62"/>
      <c r="JI131" s="62"/>
      <c r="JJ131" s="62"/>
      <c r="JK131" s="62"/>
      <c r="JL131" s="62"/>
      <c r="JM131" s="62"/>
      <c r="JN131" s="62"/>
      <c r="JO131" s="62"/>
      <c r="JP131" s="62"/>
      <c r="JQ131" s="62"/>
      <c r="JR131" s="62"/>
      <c r="JS131" s="62"/>
      <c r="JT131" s="62"/>
      <c r="JU131" s="62"/>
      <c r="JV131" s="62"/>
      <c r="JW131" s="62"/>
      <c r="JX131" s="62"/>
      <c r="JY131" s="62"/>
      <c r="JZ131" s="62"/>
      <c r="KA131" s="62"/>
      <c r="KB131" s="62"/>
      <c r="KC131" s="62"/>
      <c r="KD131" s="62"/>
      <c r="KE131" s="62"/>
      <c r="KF131" s="62"/>
      <c r="KG131" s="62"/>
      <c r="KH131" s="62"/>
      <c r="KI131" s="62"/>
      <c r="KJ131" s="62"/>
      <c r="KK131" s="62"/>
      <c r="KL131" s="62"/>
      <c r="KM131" s="62"/>
      <c r="KN131" s="62"/>
      <c r="KO131" s="62"/>
      <c r="KP131" s="62"/>
      <c r="KQ131" s="62"/>
      <c r="KR131" s="62"/>
      <c r="KS131" s="62"/>
      <c r="KT131" s="62"/>
      <c r="KU131" s="62"/>
      <c r="KV131" s="62"/>
      <c r="KW131" s="62"/>
      <c r="KX131" s="62"/>
      <c r="KY131" s="62"/>
      <c r="KZ131" s="62"/>
      <c r="LA131" s="62"/>
      <c r="LB131" s="62"/>
      <c r="LC131" s="62"/>
      <c r="LD131" s="62"/>
      <c r="LE131" s="62"/>
      <c r="LF131" s="62"/>
      <c r="LG131" s="62"/>
      <c r="LH131" s="62"/>
      <c r="LI131" s="62"/>
    </row>
    <row r="132" spans="1:321">
      <c r="D132" s="59">
        <v>4235</v>
      </c>
      <c r="E132" s="60" t="s">
        <v>436</v>
      </c>
      <c r="F132" s="67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9"/>
      <c r="R132" s="67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67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9"/>
      <c r="AP132" s="67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9"/>
      <c r="BB132" s="67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9"/>
      <c r="BN132" s="67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9"/>
      <c r="BZ132" s="67"/>
      <c r="CA132" s="68"/>
      <c r="CB132" s="68"/>
      <c r="CC132" s="68"/>
      <c r="CD132" s="68"/>
      <c r="CE132" s="68"/>
      <c r="CF132" s="68"/>
      <c r="CG132" s="68"/>
      <c r="CH132" s="68"/>
      <c r="CI132" s="68"/>
      <c r="CJ132" s="68"/>
      <c r="CK132" s="68"/>
      <c r="CL132" s="67">
        <v>226578.45</v>
      </c>
      <c r="CM132" s="68">
        <v>224201.34</v>
      </c>
      <c r="CN132" s="68">
        <v>224281.33</v>
      </c>
      <c r="CO132" s="68">
        <v>221707.05</v>
      </c>
      <c r="CP132" s="68">
        <v>222132.55</v>
      </c>
      <c r="CQ132" s="68">
        <v>221219.47</v>
      </c>
      <c r="CR132" s="68">
        <v>219452.12</v>
      </c>
      <c r="CS132" s="68">
        <v>219732.67</v>
      </c>
      <c r="CT132" s="68">
        <v>217827.92</v>
      </c>
      <c r="CU132" s="68">
        <v>216656.89</v>
      </c>
      <c r="CV132" s="68">
        <v>216055.98</v>
      </c>
      <c r="CW132" s="69">
        <v>213297.96</v>
      </c>
      <c r="CX132" s="67">
        <v>212348.48</v>
      </c>
      <c r="CY132" s="68">
        <v>209437.44</v>
      </c>
      <c r="CZ132" s="68">
        <v>208496.9</v>
      </c>
      <c r="DA132" s="68">
        <v>206956.29</v>
      </c>
      <c r="DB132" s="68">
        <v>206136.86</v>
      </c>
      <c r="DC132" s="68">
        <v>204274.1</v>
      </c>
      <c r="DD132" s="68">
        <v>204159.27</v>
      </c>
      <c r="DE132" s="68">
        <v>204089.37</v>
      </c>
      <c r="DF132" s="68">
        <v>202093.48</v>
      </c>
      <c r="DG132" s="68">
        <v>202085.94</v>
      </c>
      <c r="DH132" s="68">
        <v>200131.43</v>
      </c>
      <c r="DI132" s="69">
        <v>197853.12</v>
      </c>
      <c r="DJ132" s="67">
        <v>196074.84</v>
      </c>
      <c r="DK132" s="68">
        <v>193499.68</v>
      </c>
      <c r="DL132" s="68">
        <v>193504.47</v>
      </c>
      <c r="DM132" s="68">
        <v>191711.37</v>
      </c>
      <c r="DN132" s="68">
        <v>190610.93</v>
      </c>
      <c r="DO132" s="68">
        <v>190357.54</v>
      </c>
      <c r="DP132" s="68">
        <v>188869.26</v>
      </c>
      <c r="DQ132" s="68">
        <v>187850.05</v>
      </c>
      <c r="DR132" s="68">
        <v>186152.53</v>
      </c>
      <c r="DS132" s="68">
        <v>185419.8</v>
      </c>
      <c r="DT132" s="68">
        <v>180133.82</v>
      </c>
      <c r="DU132" s="69">
        <v>183978.79</v>
      </c>
      <c r="DV132" s="61">
        <v>182624.38</v>
      </c>
      <c r="DW132" s="61">
        <v>183769.76</v>
      </c>
      <c r="DX132" s="61">
        <v>182327.99</v>
      </c>
      <c r="DY132" s="61">
        <v>181004.32</v>
      </c>
      <c r="DZ132" s="79">
        <v>179538.61</v>
      </c>
      <c r="EA132" s="61">
        <v>177819.51999999999</v>
      </c>
      <c r="EB132" s="79">
        <v>176203.15</v>
      </c>
      <c r="EC132" s="79"/>
      <c r="ED132" s="79"/>
      <c r="EE132" s="79"/>
      <c r="EF132" s="79"/>
      <c r="EG132" s="79"/>
      <c r="EH132" s="62"/>
      <c r="EI132" s="62"/>
      <c r="EJ132" s="62"/>
      <c r="EK132" s="62"/>
      <c r="EL132" s="62"/>
      <c r="EM132" s="62"/>
      <c r="EN132" s="62"/>
      <c r="EO132" s="62"/>
      <c r="EP132" s="62"/>
      <c r="EQ132" s="62"/>
      <c r="ER132" s="62"/>
      <c r="ES132" s="62"/>
      <c r="ET132" s="62"/>
      <c r="EU132" s="62"/>
      <c r="EV132" s="62"/>
      <c r="EW132" s="62"/>
      <c r="EX132" s="62"/>
      <c r="EY132" s="62"/>
      <c r="EZ132" s="62"/>
      <c r="FA132" s="62"/>
      <c r="FB132" s="62"/>
      <c r="FC132" s="62"/>
      <c r="FD132" s="62"/>
      <c r="FE132" s="62"/>
      <c r="FF132" s="62"/>
      <c r="FG132" s="62"/>
      <c r="FH132" s="62"/>
      <c r="FI132" s="62"/>
      <c r="FJ132" s="62"/>
      <c r="FK132" s="62"/>
      <c r="FL132" s="62"/>
      <c r="FM132" s="62"/>
      <c r="FN132" s="62"/>
      <c r="FO132" s="62"/>
      <c r="FP132" s="62"/>
      <c r="FQ132" s="62"/>
      <c r="FR132" s="62"/>
      <c r="FS132" s="62"/>
      <c r="FT132" s="62"/>
      <c r="FU132" s="62"/>
      <c r="FV132" s="62"/>
      <c r="FW132" s="62"/>
      <c r="FX132" s="62"/>
      <c r="FY132" s="62"/>
      <c r="FZ132" s="62"/>
      <c r="GA132" s="62"/>
      <c r="GB132" s="62"/>
      <c r="GC132" s="62"/>
      <c r="GD132" s="62"/>
      <c r="GF132" s="62"/>
      <c r="GG132" s="62"/>
      <c r="GH132" s="62"/>
      <c r="GI132" s="62"/>
      <c r="GJ132" s="62"/>
      <c r="GK132" s="62"/>
      <c r="GL132" s="62"/>
      <c r="GM132" s="62"/>
      <c r="GN132" s="62"/>
      <c r="GO132" s="62"/>
      <c r="GP132" s="62"/>
      <c r="GQ132" s="62"/>
      <c r="GR132" s="62"/>
      <c r="GS132" s="62"/>
      <c r="GT132" s="62"/>
      <c r="GU132" s="62"/>
      <c r="GV132" s="62"/>
      <c r="GW132" s="62"/>
      <c r="GX132" s="62"/>
      <c r="GY132" s="62"/>
      <c r="GZ132" s="62"/>
      <c r="HA132" s="62"/>
      <c r="HB132" s="62"/>
      <c r="HC132" s="62"/>
      <c r="HD132" s="62"/>
      <c r="HE132" s="62"/>
      <c r="HF132" s="62"/>
      <c r="HG132" s="62"/>
      <c r="HH132" s="62"/>
      <c r="HI132" s="62"/>
      <c r="HJ132" s="62"/>
      <c r="HK132" s="62"/>
      <c r="HL132" s="62"/>
      <c r="HM132" s="62"/>
      <c r="HN132" s="62"/>
      <c r="HO132" s="62"/>
      <c r="HP132" s="62"/>
      <c r="HQ132" s="62"/>
      <c r="HR132" s="62"/>
      <c r="HS132" s="62"/>
      <c r="HT132" s="62"/>
      <c r="HU132" s="62"/>
      <c r="HV132" s="62"/>
      <c r="HW132" s="62"/>
      <c r="HX132" s="62"/>
      <c r="HY132" s="62"/>
      <c r="HZ132" s="62"/>
      <c r="IA132" s="62"/>
      <c r="IB132" s="62"/>
      <c r="IC132" s="62"/>
      <c r="ID132" s="62"/>
      <c r="IE132" s="62"/>
      <c r="IF132" s="62"/>
      <c r="IG132" s="62"/>
      <c r="IH132" s="62"/>
      <c r="II132" s="62"/>
      <c r="IJ132" s="62"/>
      <c r="IK132" s="62"/>
      <c r="IL132" s="62"/>
      <c r="IM132" s="62"/>
      <c r="IN132" s="62"/>
      <c r="IO132" s="62"/>
      <c r="IP132" s="62"/>
      <c r="IQ132" s="62"/>
      <c r="IR132" s="62"/>
      <c r="IS132" s="62"/>
      <c r="IT132" s="62"/>
      <c r="IU132" s="62"/>
      <c r="IV132" s="62"/>
      <c r="IW132" s="62"/>
      <c r="IX132" s="62"/>
      <c r="IY132" s="62"/>
      <c r="IZ132" s="62"/>
      <c r="JA132" s="62"/>
      <c r="JB132" s="62"/>
      <c r="JC132" s="62"/>
      <c r="JD132" s="62"/>
      <c r="JE132" s="62"/>
      <c r="JF132" s="62"/>
      <c r="JG132" s="62"/>
      <c r="JH132" s="62"/>
      <c r="JI132" s="62"/>
      <c r="JJ132" s="62"/>
      <c r="JK132" s="62"/>
      <c r="JL132" s="62"/>
      <c r="JM132" s="62"/>
      <c r="JN132" s="62"/>
      <c r="JO132" s="62"/>
      <c r="JP132" s="62"/>
      <c r="JQ132" s="62"/>
      <c r="JR132" s="62"/>
      <c r="JS132" s="62"/>
      <c r="JT132" s="62"/>
      <c r="JU132" s="62"/>
      <c r="JV132" s="62"/>
      <c r="JW132" s="62"/>
      <c r="JX132" s="62"/>
      <c r="JY132" s="62"/>
      <c r="JZ132" s="62"/>
      <c r="KA132" s="62"/>
      <c r="KB132" s="62"/>
      <c r="KC132" s="62"/>
      <c r="KD132" s="62"/>
      <c r="KE132" s="62"/>
      <c r="KF132" s="62"/>
      <c r="KG132" s="62"/>
      <c r="KH132" s="62"/>
      <c r="KI132" s="62"/>
      <c r="KJ132" s="62"/>
      <c r="KK132" s="62"/>
      <c r="KL132" s="62"/>
      <c r="KM132" s="62"/>
      <c r="KN132" s="62"/>
      <c r="KO132" s="62"/>
      <c r="KP132" s="62"/>
      <c r="KQ132" s="62"/>
      <c r="KR132" s="62"/>
      <c r="KS132" s="62"/>
      <c r="KT132" s="62"/>
      <c r="KU132" s="62"/>
      <c r="KV132" s="62"/>
      <c r="KW132" s="62"/>
      <c r="KX132" s="62"/>
      <c r="KY132" s="62"/>
      <c r="KZ132" s="62"/>
      <c r="LA132" s="62"/>
      <c r="LB132" s="62"/>
      <c r="LC132" s="62"/>
      <c r="LD132" s="62"/>
      <c r="LE132" s="62"/>
      <c r="LF132" s="62"/>
      <c r="LG132" s="62"/>
      <c r="LH132" s="62"/>
      <c r="LI132" s="62"/>
    </row>
    <row r="133" spans="1:321">
      <c r="D133" s="59">
        <v>4236</v>
      </c>
      <c r="E133" s="60" t="s">
        <v>437</v>
      </c>
      <c r="F133" s="67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9"/>
      <c r="R133" s="67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67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9"/>
      <c r="AP133" s="67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9"/>
      <c r="BB133" s="67"/>
      <c r="BC133" s="68"/>
      <c r="BD133" s="68"/>
      <c r="BE133" s="68"/>
      <c r="BF133" s="68"/>
      <c r="BG133" s="68"/>
      <c r="BH133" s="68"/>
      <c r="BI133" s="68"/>
      <c r="BJ133" s="68"/>
      <c r="BK133" s="68"/>
      <c r="BL133" s="68"/>
      <c r="BM133" s="69"/>
      <c r="BN133" s="67"/>
      <c r="BO133" s="68"/>
      <c r="BP133" s="68"/>
      <c r="BQ133" s="68"/>
      <c r="BR133" s="68"/>
      <c r="BS133" s="68"/>
      <c r="BT133" s="68"/>
      <c r="BU133" s="68"/>
      <c r="BV133" s="68"/>
      <c r="BW133" s="68"/>
      <c r="BX133" s="68"/>
      <c r="BY133" s="69"/>
      <c r="BZ133" s="67"/>
      <c r="CA133" s="68"/>
      <c r="CB133" s="68"/>
      <c r="CC133" s="68"/>
      <c r="CD133" s="68"/>
      <c r="CE133" s="68"/>
      <c r="CF133" s="68"/>
      <c r="CG133" s="68"/>
      <c r="CH133" s="68"/>
      <c r="CI133" s="68"/>
      <c r="CJ133" s="68"/>
      <c r="CK133" s="68"/>
      <c r="CL133" s="67">
        <v>856691.29</v>
      </c>
      <c r="CM133" s="68">
        <v>769878.45</v>
      </c>
      <c r="CN133" s="68">
        <v>773601.29</v>
      </c>
      <c r="CO133" s="68">
        <v>727592.78</v>
      </c>
      <c r="CP133" s="68">
        <v>758020.97</v>
      </c>
      <c r="CQ133" s="68">
        <v>838020.13</v>
      </c>
      <c r="CR133" s="68">
        <v>762497.01</v>
      </c>
      <c r="CS133" s="68">
        <v>752222.57</v>
      </c>
      <c r="CT133" s="68">
        <v>723864.53</v>
      </c>
      <c r="CU133" s="68">
        <v>742928.23</v>
      </c>
      <c r="CV133" s="68">
        <v>790226.48</v>
      </c>
      <c r="CW133" s="69">
        <v>830946.64</v>
      </c>
      <c r="CX133" s="67">
        <v>787391.93</v>
      </c>
      <c r="CY133" s="68">
        <v>750881.7</v>
      </c>
      <c r="CZ133" s="68">
        <v>778198.57</v>
      </c>
      <c r="DA133" s="68">
        <v>784872.99</v>
      </c>
      <c r="DB133" s="68">
        <v>785529.66</v>
      </c>
      <c r="DC133" s="68">
        <v>767283.89</v>
      </c>
      <c r="DD133" s="68">
        <v>789778.96</v>
      </c>
      <c r="DE133" s="68">
        <v>783083.89</v>
      </c>
      <c r="DF133" s="68">
        <v>634752.02</v>
      </c>
      <c r="DG133" s="68">
        <v>744374.15</v>
      </c>
      <c r="DH133" s="68">
        <v>767245.73</v>
      </c>
      <c r="DI133" s="69">
        <v>787645.36</v>
      </c>
      <c r="DJ133" s="67">
        <v>763272.4</v>
      </c>
      <c r="DK133" s="68">
        <v>831465.29</v>
      </c>
      <c r="DL133" s="68">
        <v>772909.91</v>
      </c>
      <c r="DM133" s="68">
        <v>816645.59</v>
      </c>
      <c r="DN133" s="68">
        <v>767300.45</v>
      </c>
      <c r="DO133" s="68">
        <v>802723.24</v>
      </c>
      <c r="DP133" s="68">
        <v>785125.16</v>
      </c>
      <c r="DQ133" s="68">
        <v>764361.98</v>
      </c>
      <c r="DR133" s="68">
        <v>692017.25</v>
      </c>
      <c r="DS133" s="68">
        <v>837968.17</v>
      </c>
      <c r="DT133" s="68">
        <v>818920.14</v>
      </c>
      <c r="DU133" s="69">
        <v>814676.1</v>
      </c>
      <c r="DV133" s="61">
        <v>769418.02</v>
      </c>
      <c r="DW133" s="61">
        <v>831563.57</v>
      </c>
      <c r="DX133" s="61">
        <v>783624.27</v>
      </c>
      <c r="DY133" s="61">
        <v>819805.42</v>
      </c>
      <c r="DZ133" s="79">
        <v>801750.56</v>
      </c>
      <c r="EA133" s="61">
        <v>799845.83</v>
      </c>
      <c r="EB133" s="79">
        <v>815810.71</v>
      </c>
      <c r="EC133" s="79"/>
      <c r="ED133" s="79"/>
      <c r="EE133" s="79"/>
      <c r="EF133" s="79"/>
      <c r="EG133" s="79"/>
      <c r="EH133" s="62"/>
      <c r="EI133" s="62"/>
      <c r="EJ133" s="62"/>
      <c r="EK133" s="62"/>
      <c r="EL133" s="62"/>
      <c r="EM133" s="62"/>
      <c r="EN133" s="62"/>
      <c r="EO133" s="62"/>
      <c r="EP133" s="62"/>
      <c r="EQ133" s="62"/>
      <c r="ER133" s="62"/>
      <c r="ES133" s="62"/>
      <c r="ET133" s="62"/>
      <c r="EU133" s="62"/>
      <c r="EV133" s="62"/>
      <c r="EW133" s="62"/>
      <c r="EX133" s="62"/>
      <c r="EY133" s="62"/>
      <c r="EZ133" s="62"/>
      <c r="FA133" s="62"/>
      <c r="FB133" s="62"/>
      <c r="FC133" s="62"/>
      <c r="FD133" s="62"/>
      <c r="FE133" s="62"/>
      <c r="FF133" s="62"/>
      <c r="FG133" s="62"/>
      <c r="FH133" s="62"/>
      <c r="FI133" s="62"/>
      <c r="FJ133" s="62"/>
      <c r="FK133" s="62"/>
      <c r="FL133" s="62"/>
      <c r="FM133" s="62"/>
      <c r="FN133" s="62"/>
      <c r="FO133" s="62"/>
      <c r="FP133" s="62"/>
      <c r="FQ133" s="62"/>
      <c r="FR133" s="62"/>
      <c r="FS133" s="62"/>
      <c r="FT133" s="62"/>
      <c r="FU133" s="62"/>
      <c r="FV133" s="62"/>
      <c r="FW133" s="62"/>
      <c r="FX133" s="62"/>
      <c r="FY133" s="62"/>
      <c r="FZ133" s="62"/>
      <c r="GA133" s="62"/>
      <c r="GB133" s="62"/>
      <c r="GC133" s="62"/>
      <c r="GD133" s="62"/>
      <c r="GF133" s="62"/>
      <c r="GG133" s="62"/>
      <c r="GH133" s="62"/>
      <c r="GI133" s="62"/>
      <c r="GJ133" s="62"/>
      <c r="GK133" s="62"/>
      <c r="GL133" s="62"/>
      <c r="GM133" s="62"/>
      <c r="GN133" s="62"/>
      <c r="GO133" s="62"/>
      <c r="GP133" s="62"/>
      <c r="GQ133" s="62"/>
      <c r="GR133" s="62"/>
      <c r="GS133" s="62"/>
      <c r="GT133" s="62"/>
      <c r="GU133" s="62"/>
      <c r="GV133" s="62"/>
      <c r="GW133" s="62"/>
      <c r="GX133" s="62"/>
      <c r="GY133" s="62"/>
      <c r="GZ133" s="62"/>
      <c r="HA133" s="62"/>
      <c r="HB133" s="62"/>
      <c r="HC133" s="62"/>
      <c r="HD133" s="62"/>
      <c r="HE133" s="62"/>
      <c r="HF133" s="62"/>
      <c r="HG133" s="62"/>
      <c r="HH133" s="62"/>
      <c r="HI133" s="62"/>
      <c r="HJ133" s="62"/>
      <c r="HK133" s="62"/>
      <c r="HL133" s="62"/>
      <c r="HM133" s="62"/>
      <c r="HN133" s="62"/>
      <c r="HO133" s="62"/>
      <c r="HP133" s="62"/>
      <c r="HQ133" s="62"/>
      <c r="HR133" s="62"/>
      <c r="HS133" s="62"/>
      <c r="HT133" s="62"/>
      <c r="HU133" s="62"/>
      <c r="HV133" s="62"/>
      <c r="HW133" s="62"/>
      <c r="HX133" s="62"/>
      <c r="HY133" s="62"/>
      <c r="HZ133" s="62"/>
      <c r="IA133" s="62"/>
      <c r="IB133" s="62"/>
      <c r="IC133" s="62"/>
      <c r="ID133" s="62"/>
      <c r="IE133" s="62"/>
      <c r="IF133" s="62"/>
      <c r="IG133" s="62"/>
      <c r="IH133" s="62"/>
      <c r="II133" s="62"/>
      <c r="IJ133" s="62"/>
      <c r="IK133" s="62"/>
      <c r="IL133" s="62"/>
      <c r="IM133" s="62"/>
      <c r="IN133" s="62"/>
      <c r="IO133" s="62"/>
      <c r="IP133" s="62"/>
      <c r="IQ133" s="62"/>
      <c r="IR133" s="62"/>
      <c r="IS133" s="62"/>
      <c r="IT133" s="62"/>
      <c r="IU133" s="62"/>
      <c r="IV133" s="62"/>
      <c r="IW133" s="62"/>
      <c r="IX133" s="62"/>
      <c r="IY133" s="62"/>
      <c r="IZ133" s="62"/>
      <c r="JA133" s="62"/>
      <c r="JB133" s="62"/>
      <c r="JC133" s="62"/>
      <c r="JD133" s="62"/>
      <c r="JE133" s="62"/>
      <c r="JF133" s="62"/>
      <c r="JG133" s="62"/>
      <c r="JH133" s="62"/>
      <c r="JI133" s="62"/>
      <c r="JJ133" s="62"/>
      <c r="JK133" s="62"/>
      <c r="JL133" s="62"/>
      <c r="JM133" s="62"/>
      <c r="JN133" s="62"/>
      <c r="JO133" s="62"/>
      <c r="JP133" s="62"/>
      <c r="JQ133" s="62"/>
      <c r="JR133" s="62"/>
      <c r="JS133" s="62"/>
      <c r="JT133" s="62"/>
      <c r="JU133" s="62"/>
      <c r="JV133" s="62"/>
      <c r="JW133" s="62"/>
      <c r="JX133" s="62"/>
      <c r="JY133" s="62"/>
      <c r="JZ133" s="62"/>
      <c r="KA133" s="62"/>
      <c r="KB133" s="62"/>
      <c r="KC133" s="62"/>
      <c r="KD133" s="62"/>
      <c r="KE133" s="62"/>
      <c r="KF133" s="62"/>
      <c r="KG133" s="62"/>
      <c r="KH133" s="62"/>
      <c r="KI133" s="62"/>
      <c r="KJ133" s="62"/>
      <c r="KK133" s="62"/>
      <c r="KL133" s="62"/>
      <c r="KM133" s="62"/>
      <c r="KN133" s="62"/>
      <c r="KO133" s="62"/>
      <c r="KP133" s="62"/>
      <c r="KQ133" s="62"/>
      <c r="KR133" s="62"/>
      <c r="KS133" s="62"/>
      <c r="KT133" s="62"/>
      <c r="KU133" s="62"/>
      <c r="KV133" s="62"/>
      <c r="KW133" s="62"/>
      <c r="KX133" s="62"/>
      <c r="KY133" s="62"/>
      <c r="KZ133" s="62"/>
      <c r="LA133" s="62"/>
      <c r="LB133" s="62"/>
      <c r="LC133" s="62"/>
      <c r="LD133" s="62"/>
      <c r="LE133" s="62"/>
      <c r="LF133" s="62"/>
      <c r="LG133" s="62"/>
      <c r="LH133" s="62"/>
      <c r="LI133" s="62"/>
    </row>
    <row r="134" spans="1:321" ht="30">
      <c r="D134" s="59">
        <v>4237</v>
      </c>
      <c r="E134" s="60" t="s">
        <v>438</v>
      </c>
      <c r="F134" s="67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9"/>
      <c r="R134" s="67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67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9"/>
      <c r="AP134" s="67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9"/>
      <c r="BB134" s="67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9"/>
      <c r="BN134" s="67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9"/>
      <c r="BZ134" s="67"/>
      <c r="CA134" s="68"/>
      <c r="CB134" s="68"/>
      <c r="CC134" s="68"/>
      <c r="CD134" s="68"/>
      <c r="CE134" s="68"/>
      <c r="CF134" s="68"/>
      <c r="CG134" s="68"/>
      <c r="CH134" s="68"/>
      <c r="CI134" s="68"/>
      <c r="CJ134" s="68"/>
      <c r="CK134" s="68"/>
      <c r="CL134" s="67">
        <v>0</v>
      </c>
      <c r="CM134" s="68">
        <v>0</v>
      </c>
      <c r="CN134" s="68">
        <v>0</v>
      </c>
      <c r="CO134" s="68">
        <v>0</v>
      </c>
      <c r="CP134" s="68">
        <v>0</v>
      </c>
      <c r="CQ134" s="68">
        <v>0</v>
      </c>
      <c r="CR134" s="68">
        <v>0</v>
      </c>
      <c r="CS134" s="68">
        <v>0</v>
      </c>
      <c r="CT134" s="68">
        <v>0</v>
      </c>
      <c r="CU134" s="68">
        <v>0</v>
      </c>
      <c r="CV134" s="68">
        <v>0</v>
      </c>
      <c r="CW134" s="69">
        <v>0</v>
      </c>
      <c r="CX134" s="67">
        <v>0</v>
      </c>
      <c r="CY134" s="68">
        <v>0</v>
      </c>
      <c r="CZ134" s="68">
        <v>0</v>
      </c>
      <c r="DA134" s="68">
        <v>0</v>
      </c>
      <c r="DB134" s="68">
        <v>0</v>
      </c>
      <c r="DC134" s="68">
        <v>0</v>
      </c>
      <c r="DD134" s="68">
        <v>0</v>
      </c>
      <c r="DE134" s="68">
        <v>0</v>
      </c>
      <c r="DF134" s="68">
        <v>0</v>
      </c>
      <c r="DG134" s="68">
        <v>0</v>
      </c>
      <c r="DH134" s="68">
        <v>0</v>
      </c>
      <c r="DI134" s="69">
        <v>0</v>
      </c>
      <c r="DJ134" s="67">
        <v>0</v>
      </c>
      <c r="DK134" s="68">
        <v>0</v>
      </c>
      <c r="DL134" s="68">
        <v>0</v>
      </c>
      <c r="DM134" s="68">
        <v>0</v>
      </c>
      <c r="DN134" s="68">
        <v>0</v>
      </c>
      <c r="DO134" s="68">
        <v>0</v>
      </c>
      <c r="DP134" s="68">
        <v>0</v>
      </c>
      <c r="DQ134" s="68">
        <v>0</v>
      </c>
      <c r="DR134" s="68">
        <v>0</v>
      </c>
      <c r="DS134" s="68">
        <v>0</v>
      </c>
      <c r="DT134" s="68">
        <v>0</v>
      </c>
      <c r="DU134" s="69">
        <v>0</v>
      </c>
      <c r="DV134" s="61">
        <v>0</v>
      </c>
      <c r="DW134" s="61">
        <v>0</v>
      </c>
      <c r="DX134" s="61">
        <v>0</v>
      </c>
      <c r="DY134" s="61">
        <v>0</v>
      </c>
      <c r="DZ134" s="79"/>
      <c r="EB134" s="79"/>
      <c r="EC134" s="79"/>
      <c r="ED134" s="79"/>
      <c r="EE134" s="79"/>
      <c r="EF134" s="79"/>
      <c r="EG134" s="79"/>
      <c r="ET134" s="62"/>
      <c r="EU134" s="62"/>
      <c r="EV134" s="62"/>
      <c r="EW134" s="62"/>
      <c r="EX134" s="62"/>
      <c r="EY134" s="62"/>
      <c r="EZ134" s="62"/>
      <c r="FA134" s="62"/>
      <c r="FB134" s="62"/>
      <c r="FC134" s="62"/>
      <c r="FD134" s="62"/>
      <c r="FE134" s="62"/>
      <c r="FF134" s="62"/>
      <c r="FG134" s="62"/>
      <c r="FH134" s="62"/>
      <c r="FI134" s="62"/>
      <c r="FJ134" s="62"/>
      <c r="FK134" s="62"/>
      <c r="FL134" s="62"/>
      <c r="FM134" s="62"/>
      <c r="FN134" s="62"/>
      <c r="FO134" s="62"/>
      <c r="FP134" s="62"/>
      <c r="FQ134" s="62"/>
      <c r="FR134" s="62"/>
      <c r="FS134" s="62"/>
      <c r="FT134" s="62"/>
      <c r="FU134" s="62"/>
      <c r="FV134" s="62"/>
      <c r="FW134" s="62"/>
      <c r="FX134" s="62"/>
      <c r="FY134" s="62"/>
      <c r="FZ134" s="62"/>
      <c r="GA134" s="62"/>
      <c r="GB134" s="62"/>
      <c r="GC134" s="62"/>
      <c r="GD134" s="62"/>
      <c r="GF134" s="62"/>
      <c r="GG134" s="62"/>
      <c r="GH134" s="62"/>
      <c r="GI134" s="62"/>
      <c r="GJ134" s="62"/>
      <c r="GK134" s="62"/>
      <c r="GL134" s="62"/>
      <c r="GM134" s="62"/>
      <c r="GN134" s="62"/>
      <c r="GO134" s="62"/>
      <c r="GP134" s="62"/>
      <c r="GQ134" s="62"/>
      <c r="GR134" s="62"/>
      <c r="GS134" s="62"/>
      <c r="GT134" s="62"/>
      <c r="GU134" s="62"/>
      <c r="GV134" s="62"/>
      <c r="GW134" s="62"/>
      <c r="GX134" s="62"/>
      <c r="GY134" s="62"/>
      <c r="GZ134" s="62"/>
      <c r="HA134" s="62"/>
      <c r="HB134" s="62"/>
      <c r="HC134" s="62"/>
      <c r="HD134" s="62"/>
      <c r="HE134" s="62"/>
      <c r="HF134" s="62"/>
      <c r="HG134" s="62"/>
      <c r="HH134" s="62"/>
      <c r="HI134" s="62"/>
      <c r="HJ134" s="62"/>
      <c r="HK134" s="62"/>
      <c r="HL134" s="62"/>
      <c r="HM134" s="62"/>
      <c r="HN134" s="62"/>
      <c r="HO134" s="62"/>
      <c r="HP134" s="62"/>
      <c r="HQ134" s="62"/>
      <c r="HR134" s="62"/>
      <c r="HS134" s="62"/>
      <c r="HT134" s="62"/>
      <c r="HU134" s="62"/>
      <c r="HV134" s="62"/>
      <c r="HW134" s="62"/>
      <c r="HX134" s="62"/>
      <c r="HY134" s="62"/>
      <c r="HZ134" s="62"/>
      <c r="IA134" s="62"/>
      <c r="IB134" s="62"/>
      <c r="IC134" s="62"/>
      <c r="ID134" s="62"/>
      <c r="IE134" s="62"/>
      <c r="IF134" s="62"/>
      <c r="IG134" s="62"/>
      <c r="IH134" s="62"/>
      <c r="II134" s="62"/>
      <c r="IJ134" s="62"/>
      <c r="IK134" s="62"/>
      <c r="IL134" s="62"/>
      <c r="IM134" s="62"/>
      <c r="IN134" s="62"/>
      <c r="IO134" s="62"/>
      <c r="IP134" s="62"/>
      <c r="IQ134" s="62"/>
      <c r="IR134" s="62"/>
      <c r="IS134" s="62"/>
      <c r="IT134" s="62"/>
      <c r="IU134" s="62"/>
      <c r="IV134" s="62"/>
      <c r="IW134" s="62"/>
      <c r="IX134" s="62"/>
      <c r="IY134" s="62"/>
      <c r="IZ134" s="62"/>
      <c r="JA134" s="62"/>
      <c r="JB134" s="62"/>
      <c r="JC134" s="62"/>
      <c r="JD134" s="62"/>
      <c r="JE134" s="62"/>
      <c r="JF134" s="62"/>
      <c r="JG134" s="62"/>
      <c r="JH134" s="62"/>
      <c r="JI134" s="62"/>
      <c r="JJ134" s="62"/>
      <c r="JK134" s="62"/>
      <c r="JL134" s="62"/>
      <c r="JM134" s="62"/>
      <c r="JN134" s="62"/>
      <c r="JO134" s="62"/>
      <c r="JP134" s="62"/>
      <c r="JQ134" s="62"/>
      <c r="JR134" s="62"/>
      <c r="JS134" s="62"/>
      <c r="JT134" s="62"/>
      <c r="JU134" s="62"/>
      <c r="JV134" s="62"/>
      <c r="JW134" s="62"/>
      <c r="JX134" s="62"/>
      <c r="JY134" s="62"/>
      <c r="JZ134" s="62"/>
      <c r="KA134" s="62"/>
      <c r="KB134" s="62"/>
      <c r="KC134" s="62"/>
      <c r="KD134" s="62"/>
      <c r="KE134" s="62"/>
      <c r="KF134" s="62"/>
      <c r="KG134" s="62"/>
      <c r="KH134" s="62"/>
      <c r="KI134" s="62"/>
      <c r="KJ134" s="62"/>
      <c r="KK134" s="62"/>
      <c r="KL134" s="62"/>
      <c r="KM134" s="62"/>
      <c r="KN134" s="62"/>
      <c r="KO134" s="62"/>
      <c r="KP134" s="62"/>
      <c r="KQ134" s="62"/>
      <c r="KR134" s="62"/>
      <c r="KS134" s="62"/>
      <c r="KT134" s="62"/>
      <c r="KU134" s="62"/>
      <c r="KV134" s="62"/>
      <c r="KW134" s="62"/>
      <c r="KX134" s="62"/>
      <c r="KY134" s="62"/>
      <c r="KZ134" s="62"/>
      <c r="LA134" s="62"/>
      <c r="LB134" s="62"/>
      <c r="LC134" s="62"/>
      <c r="LD134" s="62"/>
      <c r="LE134" s="62"/>
      <c r="LF134" s="62"/>
      <c r="LG134" s="62"/>
      <c r="LH134" s="62"/>
      <c r="LI134" s="62"/>
    </row>
    <row r="135" spans="1:321" ht="30">
      <c r="C135" s="59">
        <v>424</v>
      </c>
      <c r="D135" s="59">
        <v>424</v>
      </c>
      <c r="E135" s="60" t="s">
        <v>160</v>
      </c>
      <c r="F135" s="67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9"/>
      <c r="R135" s="67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67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9"/>
      <c r="AP135" s="67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9"/>
      <c r="BB135" s="67"/>
      <c r="BC135" s="68"/>
      <c r="BD135" s="68"/>
      <c r="BE135" s="68"/>
      <c r="BF135" s="68"/>
      <c r="BG135" s="68"/>
      <c r="BH135" s="68"/>
      <c r="BI135" s="68"/>
      <c r="BJ135" s="68"/>
      <c r="BK135" s="68"/>
      <c r="BL135" s="68"/>
      <c r="BM135" s="69"/>
      <c r="BN135" s="67"/>
      <c r="BO135" s="68"/>
      <c r="BP135" s="68"/>
      <c r="BQ135" s="68"/>
      <c r="BR135" s="68"/>
      <c r="BS135" s="68"/>
      <c r="BT135" s="68"/>
      <c r="BU135" s="68"/>
      <c r="BV135" s="68"/>
      <c r="BW135" s="68"/>
      <c r="BX135" s="68"/>
      <c r="BY135" s="69"/>
      <c r="BZ135" s="67"/>
      <c r="CA135" s="68"/>
      <c r="CB135" s="68"/>
      <c r="CC135" s="68"/>
      <c r="CD135" s="68"/>
      <c r="CE135" s="68"/>
      <c r="CF135" s="68"/>
      <c r="CG135" s="68"/>
      <c r="CH135" s="68"/>
      <c r="CI135" s="68"/>
      <c r="CJ135" s="68"/>
      <c r="CK135" s="68"/>
      <c r="CL135" s="67">
        <v>639432.91</v>
      </c>
      <c r="CM135" s="68">
        <v>1579093.25</v>
      </c>
      <c r="CN135" s="68">
        <v>626460.35</v>
      </c>
      <c r="CO135" s="68">
        <v>1544704.71</v>
      </c>
      <c r="CP135" s="68">
        <v>1166317.46</v>
      </c>
      <c r="CQ135" s="68">
        <v>678250.89</v>
      </c>
      <c r="CR135" s="68">
        <v>1306714.3700000001</v>
      </c>
      <c r="CS135" s="68">
        <v>1105331.22</v>
      </c>
      <c r="CT135" s="68">
        <v>1786629.01</v>
      </c>
      <c r="CU135" s="68">
        <v>1261101.8700000001</v>
      </c>
      <c r="CV135" s="68">
        <v>1076426.2</v>
      </c>
      <c r="CW135" s="69">
        <v>2021633.85</v>
      </c>
      <c r="CX135" s="67">
        <v>1293482.73</v>
      </c>
      <c r="CY135" s="68">
        <v>1086849.98</v>
      </c>
      <c r="CZ135" s="68">
        <v>818430.35</v>
      </c>
      <c r="DA135" s="68">
        <v>1570673.39</v>
      </c>
      <c r="DB135" s="68">
        <v>1228987.79</v>
      </c>
      <c r="DC135" s="68">
        <v>1337111.77</v>
      </c>
      <c r="DD135" s="68">
        <v>1115187.44</v>
      </c>
      <c r="DE135" s="68">
        <v>1756755.56</v>
      </c>
      <c r="DF135" s="68">
        <v>609320.99</v>
      </c>
      <c r="DG135" s="68">
        <v>1504324.03</v>
      </c>
      <c r="DH135" s="68">
        <v>1467582.65</v>
      </c>
      <c r="DI135" s="69">
        <v>1426429.06</v>
      </c>
      <c r="DJ135" s="67">
        <v>2071244.14</v>
      </c>
      <c r="DK135" s="68">
        <v>1199019.94</v>
      </c>
      <c r="DL135" s="68">
        <v>1102979.5</v>
      </c>
      <c r="DM135" s="68">
        <v>1146889.2</v>
      </c>
      <c r="DN135" s="68">
        <v>1220185.26</v>
      </c>
      <c r="DO135" s="68">
        <v>594321.54</v>
      </c>
      <c r="DP135" s="68">
        <v>1273205.02</v>
      </c>
      <c r="DQ135" s="68">
        <v>1006470.19</v>
      </c>
      <c r="DR135" s="68">
        <v>1242793.6299999999</v>
      </c>
      <c r="DS135" s="68">
        <v>1182832.1200000001</v>
      </c>
      <c r="DT135" s="68">
        <v>745599.46</v>
      </c>
      <c r="DU135" s="69">
        <v>1664460</v>
      </c>
      <c r="DV135" s="61">
        <v>1150369.68</v>
      </c>
      <c r="DW135" s="61">
        <v>923381.68</v>
      </c>
      <c r="DX135" s="61">
        <v>1480160.71</v>
      </c>
      <c r="DY135" s="61">
        <v>951748.64</v>
      </c>
      <c r="DZ135" s="79">
        <v>1197411.44</v>
      </c>
      <c r="EA135" s="79">
        <v>1025179.4</v>
      </c>
      <c r="EB135" s="79">
        <v>630668.05000000005</v>
      </c>
      <c r="EC135" s="84">
        <v>1198731.9099999999</v>
      </c>
      <c r="ED135" s="79">
        <v>1323846.92</v>
      </c>
      <c r="EE135" s="79">
        <v>1613956.28</v>
      </c>
      <c r="EF135" s="79">
        <v>1810820.34</v>
      </c>
      <c r="EG135" s="79">
        <v>2973474.95</v>
      </c>
      <c r="EH135" s="62">
        <v>202511.01</v>
      </c>
      <c r="EI135" s="62">
        <v>1122393.47</v>
      </c>
      <c r="EJ135" s="62">
        <v>2105961.34</v>
      </c>
      <c r="EK135" s="62">
        <v>1278855.19</v>
      </c>
      <c r="EL135" s="62">
        <v>1134813.47</v>
      </c>
      <c r="EM135" s="62">
        <v>1335830.71</v>
      </c>
      <c r="EN135" s="62">
        <v>1666149.56</v>
      </c>
      <c r="EO135" s="62">
        <v>1463570.61</v>
      </c>
      <c r="EP135" s="62">
        <v>1518302.55</v>
      </c>
      <c r="EQ135" s="62">
        <v>1424217.95</v>
      </c>
      <c r="ER135" s="62">
        <v>1512893.76</v>
      </c>
      <c r="ES135" s="62">
        <v>1723879.49</v>
      </c>
      <c r="ET135" s="62">
        <v>1365364.87</v>
      </c>
      <c r="EU135" s="62">
        <v>1602918.54</v>
      </c>
      <c r="EV135" s="62">
        <v>2368731.41</v>
      </c>
      <c r="EW135" s="62">
        <v>425632.96</v>
      </c>
      <c r="EX135" s="62">
        <v>1118465.46</v>
      </c>
      <c r="EY135" s="62">
        <v>2503607.61</v>
      </c>
      <c r="EZ135" s="62">
        <v>1103217.6599999999</v>
      </c>
      <c r="FA135" s="62">
        <v>1728889.83</v>
      </c>
      <c r="FB135" s="62">
        <v>1736713.62</v>
      </c>
      <c r="FC135" s="62">
        <v>1661059.04</v>
      </c>
      <c r="FD135" s="62">
        <v>2052677.16</v>
      </c>
      <c r="FE135" s="62">
        <v>2337551.12</v>
      </c>
      <c r="FF135" s="62">
        <v>1579079.63</v>
      </c>
      <c r="FG135" s="62">
        <v>1855950.15</v>
      </c>
      <c r="FH135" s="62">
        <v>1427147.65</v>
      </c>
      <c r="FI135" s="62">
        <v>1689956.36</v>
      </c>
      <c r="FJ135" s="62">
        <v>1914804.54</v>
      </c>
      <c r="FK135" s="62">
        <v>1732967.4</v>
      </c>
      <c r="FL135" s="1">
        <v>1746404.92</v>
      </c>
      <c r="FM135" s="62">
        <v>1448048.69</v>
      </c>
      <c r="FN135" s="62">
        <v>1671066.3</v>
      </c>
      <c r="FO135" s="62">
        <v>2220320.35</v>
      </c>
      <c r="FP135" s="62">
        <v>992005.1</v>
      </c>
      <c r="FQ135" s="62">
        <v>3421539.53</v>
      </c>
      <c r="FR135" s="62">
        <v>1621388.9</v>
      </c>
      <c r="FS135" s="62">
        <v>1831428.58</v>
      </c>
      <c r="FT135" s="62">
        <v>1595368.45</v>
      </c>
      <c r="FU135" s="62">
        <v>2107330.88</v>
      </c>
      <c r="FV135" s="62">
        <v>1443795.73</v>
      </c>
      <c r="FW135" s="62">
        <v>1963797.13</v>
      </c>
      <c r="FX135" s="62">
        <v>1500985.15</v>
      </c>
      <c r="FY135" s="62">
        <v>1699336.28</v>
      </c>
      <c r="FZ135" s="62">
        <v>1504557.8</v>
      </c>
      <c r="GA135" s="62">
        <v>1553753.79</v>
      </c>
      <c r="GB135" s="62">
        <v>1478440.88</v>
      </c>
      <c r="GC135" s="62">
        <v>1921204.43</v>
      </c>
      <c r="GD135" s="62"/>
      <c r="GF135" s="62"/>
      <c r="GG135" s="62"/>
      <c r="GH135" s="62"/>
      <c r="GI135" s="62"/>
      <c r="GJ135" s="62"/>
      <c r="GK135" s="62"/>
      <c r="GL135" s="62"/>
      <c r="GM135" s="62"/>
      <c r="GN135" s="62"/>
      <c r="GO135" s="62"/>
      <c r="GP135" s="62"/>
      <c r="GQ135" s="62"/>
      <c r="GR135" s="62"/>
      <c r="GS135" s="62"/>
      <c r="GT135" s="62"/>
      <c r="GU135" s="62"/>
      <c r="GV135" s="62"/>
      <c r="GW135" s="62"/>
      <c r="GX135" s="62"/>
      <c r="GY135" s="62"/>
      <c r="GZ135" s="62"/>
      <c r="HA135" s="62"/>
      <c r="HB135" s="62"/>
      <c r="HC135" s="62"/>
      <c r="HD135" s="62"/>
      <c r="HE135" s="62"/>
      <c r="HF135" s="62"/>
      <c r="HG135" s="62"/>
      <c r="HH135" s="62"/>
      <c r="HI135" s="62"/>
      <c r="HJ135" s="62"/>
      <c r="HK135" s="62"/>
      <c r="HL135" s="62"/>
      <c r="HM135" s="62"/>
      <c r="HN135" s="62"/>
      <c r="HO135" s="62"/>
      <c r="HP135" s="62"/>
      <c r="HQ135" s="62"/>
      <c r="HR135" s="62"/>
      <c r="HS135" s="62"/>
      <c r="HT135" s="62"/>
      <c r="HU135" s="62"/>
      <c r="HV135" s="62"/>
      <c r="HW135" s="62"/>
      <c r="HX135" s="62"/>
      <c r="HY135" s="62"/>
      <c r="HZ135" s="62"/>
      <c r="IA135" s="62"/>
      <c r="IB135" s="62"/>
      <c r="IC135" s="62"/>
      <c r="ID135" s="62"/>
      <c r="IE135" s="62"/>
      <c r="IF135" s="62"/>
      <c r="IG135" s="62"/>
      <c r="IH135" s="62"/>
      <c r="II135" s="62"/>
      <c r="IJ135" s="62"/>
      <c r="IK135" s="62"/>
      <c r="IL135" s="62"/>
      <c r="IM135" s="62"/>
      <c r="IN135" s="62"/>
      <c r="IO135" s="62"/>
      <c r="IP135" s="62"/>
      <c r="IQ135" s="62"/>
      <c r="IR135" s="62"/>
      <c r="IS135" s="62"/>
      <c r="IT135" s="62"/>
      <c r="IU135" s="62"/>
      <c r="IV135" s="62"/>
      <c r="IW135" s="62"/>
      <c r="IX135" s="62"/>
      <c r="IY135" s="62"/>
      <c r="IZ135" s="62"/>
      <c r="JA135" s="62"/>
      <c r="JB135" s="62"/>
      <c r="JC135" s="62"/>
      <c r="JD135" s="62"/>
      <c r="JE135" s="62"/>
      <c r="JF135" s="62"/>
      <c r="JG135" s="62"/>
      <c r="JH135" s="62"/>
      <c r="JI135" s="62"/>
      <c r="JJ135" s="62"/>
      <c r="JK135" s="62"/>
      <c r="JL135" s="62"/>
      <c r="JM135" s="62"/>
      <c r="JN135" s="62"/>
      <c r="JO135" s="62"/>
      <c r="JP135" s="62"/>
      <c r="JQ135" s="62"/>
      <c r="JR135" s="62"/>
      <c r="JS135" s="62"/>
      <c r="JT135" s="62"/>
      <c r="JU135" s="62"/>
      <c r="JV135" s="62"/>
      <c r="JW135" s="62"/>
      <c r="JX135" s="62"/>
      <c r="JY135" s="62"/>
      <c r="JZ135" s="62"/>
      <c r="KA135" s="62"/>
      <c r="KB135" s="62"/>
      <c r="KC135" s="62"/>
      <c r="KD135" s="62"/>
      <c r="KE135" s="62"/>
      <c r="KF135" s="62"/>
      <c r="KG135" s="62"/>
      <c r="KH135" s="62"/>
      <c r="KI135" s="62"/>
      <c r="KJ135" s="62"/>
      <c r="KK135" s="62"/>
      <c r="KL135" s="62"/>
      <c r="KM135" s="62"/>
      <c r="KN135" s="62"/>
      <c r="KO135" s="62"/>
      <c r="KP135" s="62"/>
      <c r="KQ135" s="62"/>
      <c r="KR135" s="62"/>
      <c r="KS135" s="62"/>
      <c r="KT135" s="62"/>
      <c r="KU135" s="62"/>
      <c r="KV135" s="62"/>
      <c r="KW135" s="62"/>
      <c r="KX135" s="62"/>
      <c r="KY135" s="62"/>
      <c r="KZ135" s="62"/>
      <c r="LA135" s="62"/>
      <c r="LB135" s="62"/>
      <c r="LC135" s="62"/>
      <c r="LD135" s="62"/>
      <c r="LE135" s="62"/>
      <c r="LF135" s="62"/>
      <c r="LG135" s="62"/>
      <c r="LH135" s="62"/>
      <c r="LI135" s="62"/>
    </row>
    <row r="136" spans="1:321">
      <c r="D136" s="59">
        <v>4241</v>
      </c>
      <c r="E136" s="60" t="s">
        <v>439</v>
      </c>
      <c r="F136" s="67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9"/>
      <c r="R136" s="67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67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9"/>
      <c r="AP136" s="67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9"/>
      <c r="BB136" s="67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9"/>
      <c r="BN136" s="67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9"/>
      <c r="BZ136" s="67"/>
      <c r="CA136" s="68"/>
      <c r="CB136" s="68"/>
      <c r="CC136" s="68"/>
      <c r="CD136" s="68"/>
      <c r="CE136" s="68"/>
      <c r="CF136" s="68"/>
      <c r="CG136" s="68"/>
      <c r="CH136" s="68"/>
      <c r="CI136" s="68"/>
      <c r="CJ136" s="68"/>
      <c r="CK136" s="68"/>
      <c r="CL136" s="67">
        <v>639432.91</v>
      </c>
      <c r="CM136" s="68">
        <v>1579093.25</v>
      </c>
      <c r="CN136" s="68">
        <v>626460.35</v>
      </c>
      <c r="CO136" s="68">
        <v>1544704.71</v>
      </c>
      <c r="CP136" s="68">
        <v>1166317.46</v>
      </c>
      <c r="CQ136" s="68">
        <v>678250.89</v>
      </c>
      <c r="CR136" s="68">
        <v>1306714.3700000001</v>
      </c>
      <c r="CS136" s="68">
        <v>1105331.22</v>
      </c>
      <c r="CT136" s="68">
        <v>1786629.01</v>
      </c>
      <c r="CU136" s="68">
        <v>1261101.8700000001</v>
      </c>
      <c r="CV136" s="68">
        <v>1076426.2</v>
      </c>
      <c r="CW136" s="69">
        <v>2021633.85</v>
      </c>
      <c r="CX136" s="67">
        <v>1293482.73</v>
      </c>
      <c r="CY136" s="68">
        <v>1086849.98</v>
      </c>
      <c r="CZ136" s="68">
        <v>818430.35</v>
      </c>
      <c r="DA136" s="68">
        <v>1570673.39</v>
      </c>
      <c r="DB136" s="68">
        <v>1228987.79</v>
      </c>
      <c r="DC136" s="68">
        <v>1337111.77</v>
      </c>
      <c r="DD136" s="68">
        <v>1115187.44</v>
      </c>
      <c r="DE136" s="68">
        <v>1756755.56</v>
      </c>
      <c r="DF136" s="68">
        <v>609320.99</v>
      </c>
      <c r="DG136" s="68">
        <v>1504324.03</v>
      </c>
      <c r="DH136" s="68">
        <v>1467582.65</v>
      </c>
      <c r="DI136" s="69">
        <v>1426429.06</v>
      </c>
      <c r="DJ136" s="67">
        <v>2071244.14</v>
      </c>
      <c r="DK136" s="68">
        <v>1199019.94</v>
      </c>
      <c r="DL136" s="68">
        <v>1102979.5</v>
      </c>
      <c r="DM136" s="68">
        <v>1146889.2</v>
      </c>
      <c r="DN136" s="68">
        <v>1220185.26</v>
      </c>
      <c r="DO136" s="68">
        <v>594321.54</v>
      </c>
      <c r="DP136" s="68">
        <v>1273205.02</v>
      </c>
      <c r="DQ136" s="68">
        <v>1006470.19</v>
      </c>
      <c r="DR136" s="68">
        <v>1242793.6299999999</v>
      </c>
      <c r="DS136" s="68">
        <v>1182832.1200000001</v>
      </c>
      <c r="DT136" s="68">
        <v>745599.46</v>
      </c>
      <c r="DU136" s="69">
        <v>1664460</v>
      </c>
      <c r="DV136" s="61">
        <v>1150369.68</v>
      </c>
      <c r="DW136" s="61">
        <v>923381.68</v>
      </c>
      <c r="DX136" s="61">
        <v>1480160.71</v>
      </c>
      <c r="DY136" s="61">
        <v>951748.64</v>
      </c>
      <c r="DZ136" s="79">
        <v>1197411.44</v>
      </c>
      <c r="EB136" s="79"/>
      <c r="EC136" s="79"/>
      <c r="ED136" s="79"/>
      <c r="EE136" s="79"/>
      <c r="EF136" s="79"/>
      <c r="EG136" s="79"/>
      <c r="ET136" s="62"/>
      <c r="EU136" s="62"/>
      <c r="EV136" s="62"/>
      <c r="EW136" s="62"/>
      <c r="EX136" s="62"/>
      <c r="EY136" s="62"/>
      <c r="EZ136" s="62"/>
      <c r="FA136" s="62"/>
      <c r="FB136" s="62"/>
      <c r="FC136" s="62"/>
      <c r="FD136" s="62"/>
      <c r="FE136" s="62"/>
      <c r="FF136" s="62"/>
      <c r="FG136" s="62"/>
      <c r="FH136" s="62"/>
      <c r="FI136" s="62"/>
      <c r="FJ136" s="62"/>
      <c r="FK136" s="62"/>
      <c r="FL136" s="62"/>
      <c r="FM136" s="62"/>
      <c r="FN136" s="62"/>
      <c r="FO136" s="62"/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GC136" s="62"/>
      <c r="GD136" s="62"/>
      <c r="GF136" s="62"/>
      <c r="GG136" s="62"/>
      <c r="GH136" s="62"/>
      <c r="GI136" s="62"/>
      <c r="GJ136" s="62"/>
      <c r="GK136" s="62"/>
      <c r="GL136" s="62"/>
      <c r="GM136" s="62"/>
      <c r="GN136" s="62"/>
      <c r="GO136" s="62"/>
      <c r="GP136" s="62"/>
      <c r="GQ136" s="62"/>
      <c r="GR136" s="62"/>
      <c r="GS136" s="62"/>
      <c r="GT136" s="62"/>
      <c r="GU136" s="62"/>
      <c r="GV136" s="62"/>
      <c r="GW136" s="62"/>
      <c r="GX136" s="62"/>
      <c r="GY136" s="62"/>
      <c r="GZ136" s="62"/>
      <c r="HA136" s="62"/>
      <c r="HB136" s="62"/>
      <c r="HC136" s="62"/>
      <c r="HD136" s="62"/>
      <c r="HE136" s="62"/>
      <c r="HF136" s="62"/>
      <c r="HG136" s="62"/>
      <c r="HH136" s="62"/>
      <c r="HI136" s="62"/>
      <c r="HJ136" s="62"/>
      <c r="HK136" s="62"/>
      <c r="HL136" s="62"/>
      <c r="HM136" s="62"/>
      <c r="HN136" s="62"/>
      <c r="HO136" s="62"/>
      <c r="HP136" s="62"/>
      <c r="HQ136" s="62"/>
      <c r="HR136" s="62"/>
      <c r="HS136" s="62"/>
      <c r="HT136" s="62"/>
      <c r="HU136" s="62"/>
      <c r="HV136" s="62"/>
      <c r="HW136" s="62"/>
      <c r="HX136" s="62"/>
      <c r="HY136" s="62"/>
      <c r="HZ136" s="62"/>
      <c r="IA136" s="62"/>
      <c r="IB136" s="62"/>
      <c r="IC136" s="62"/>
      <c r="ID136" s="62"/>
      <c r="IE136" s="62"/>
      <c r="IF136" s="62"/>
      <c r="IG136" s="62"/>
      <c r="IH136" s="62"/>
      <c r="II136" s="62"/>
      <c r="IJ136" s="62"/>
      <c r="IK136" s="62"/>
      <c r="IL136" s="62"/>
      <c r="IM136" s="62"/>
      <c r="IN136" s="62"/>
      <c r="IO136" s="62"/>
      <c r="IP136" s="62"/>
      <c r="IQ136" s="62"/>
      <c r="IR136" s="62"/>
      <c r="IS136" s="62"/>
      <c r="IT136" s="62"/>
      <c r="IU136" s="62"/>
      <c r="IV136" s="62"/>
      <c r="IW136" s="62"/>
      <c r="IX136" s="62"/>
      <c r="IY136" s="62"/>
      <c r="IZ136" s="62"/>
      <c r="JA136" s="62"/>
      <c r="JB136" s="62"/>
      <c r="JC136" s="62"/>
      <c r="JD136" s="62"/>
      <c r="JE136" s="62"/>
      <c r="JF136" s="62"/>
      <c r="JG136" s="62"/>
      <c r="JH136" s="62"/>
      <c r="JI136" s="62"/>
      <c r="JJ136" s="62"/>
      <c r="JK136" s="62"/>
      <c r="JL136" s="62"/>
      <c r="JM136" s="62"/>
      <c r="JN136" s="62"/>
      <c r="JO136" s="62"/>
      <c r="JP136" s="62"/>
      <c r="JQ136" s="62"/>
      <c r="JR136" s="62"/>
      <c r="JS136" s="62"/>
      <c r="JT136" s="62"/>
      <c r="JU136" s="62"/>
      <c r="JV136" s="62"/>
      <c r="JW136" s="62"/>
      <c r="JX136" s="62"/>
      <c r="JY136" s="62"/>
      <c r="JZ136" s="62"/>
      <c r="KA136" s="62"/>
      <c r="KB136" s="62"/>
      <c r="KC136" s="62"/>
      <c r="KD136" s="62"/>
      <c r="KE136" s="62"/>
      <c r="KF136" s="62"/>
      <c r="KG136" s="62"/>
      <c r="KH136" s="62"/>
      <c r="KI136" s="62"/>
      <c r="KJ136" s="62"/>
      <c r="KK136" s="62"/>
      <c r="KL136" s="62"/>
      <c r="KM136" s="62"/>
      <c r="KN136" s="62"/>
      <c r="KO136" s="62"/>
      <c r="KP136" s="62"/>
      <c r="KQ136" s="62"/>
      <c r="KR136" s="62"/>
      <c r="KS136" s="62"/>
      <c r="KT136" s="62"/>
      <c r="KU136" s="62"/>
      <c r="KV136" s="62"/>
      <c r="KW136" s="62"/>
      <c r="KX136" s="62"/>
      <c r="KY136" s="62"/>
      <c r="KZ136" s="62"/>
      <c r="LA136" s="62"/>
      <c r="LB136" s="62"/>
      <c r="LC136" s="62"/>
      <c r="LD136" s="62"/>
      <c r="LE136" s="62"/>
      <c r="LF136" s="62"/>
      <c r="LG136" s="62"/>
      <c r="LH136" s="62"/>
      <c r="LI136" s="62"/>
    </row>
    <row r="137" spans="1:321" ht="30">
      <c r="C137" s="59">
        <v>425</v>
      </c>
      <c r="D137" s="59">
        <v>425</v>
      </c>
      <c r="E137" s="60" t="s">
        <v>161</v>
      </c>
      <c r="F137" s="67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9"/>
      <c r="R137" s="67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67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9"/>
      <c r="AP137" s="67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9"/>
      <c r="BB137" s="67"/>
      <c r="BC137" s="68"/>
      <c r="BD137" s="68"/>
      <c r="BE137" s="68"/>
      <c r="BF137" s="68"/>
      <c r="BG137" s="68"/>
      <c r="BH137" s="68"/>
      <c r="BI137" s="68"/>
      <c r="BJ137" s="68"/>
      <c r="BK137" s="68"/>
      <c r="BL137" s="68"/>
      <c r="BM137" s="69"/>
      <c r="BN137" s="67"/>
      <c r="BO137" s="68"/>
      <c r="BP137" s="68"/>
      <c r="BQ137" s="68"/>
      <c r="BR137" s="68"/>
      <c r="BS137" s="68"/>
      <c r="BT137" s="68"/>
      <c r="BU137" s="68"/>
      <c r="BV137" s="68"/>
      <c r="BW137" s="68"/>
      <c r="BX137" s="68"/>
      <c r="BY137" s="69"/>
      <c r="BZ137" s="67"/>
      <c r="CA137" s="68"/>
      <c r="CB137" s="68"/>
      <c r="CC137" s="68"/>
      <c r="CD137" s="68"/>
      <c r="CE137" s="68"/>
      <c r="CF137" s="68"/>
      <c r="CG137" s="68"/>
      <c r="CH137" s="68"/>
      <c r="CI137" s="68"/>
      <c r="CJ137" s="68"/>
      <c r="CK137" s="68"/>
      <c r="CL137" s="67">
        <v>370401.12</v>
      </c>
      <c r="CM137" s="68">
        <v>620552.52</v>
      </c>
      <c r="CN137" s="68">
        <v>638457.29</v>
      </c>
      <c r="CO137" s="68">
        <v>505586.34</v>
      </c>
      <c r="CP137" s="68">
        <v>569999.48</v>
      </c>
      <c r="CQ137" s="68">
        <v>860418.68</v>
      </c>
      <c r="CR137" s="68">
        <v>568338.07999999996</v>
      </c>
      <c r="CS137" s="68">
        <v>637853.68000000005</v>
      </c>
      <c r="CT137" s="68">
        <v>721453.07</v>
      </c>
      <c r="CU137" s="68">
        <v>561941.62</v>
      </c>
      <c r="CV137" s="68">
        <v>443816.17</v>
      </c>
      <c r="CW137" s="69">
        <v>1363707.31</v>
      </c>
      <c r="CX137" s="67">
        <v>503185.41</v>
      </c>
      <c r="CY137" s="68">
        <v>426354.29</v>
      </c>
      <c r="CZ137" s="68">
        <v>628953.87</v>
      </c>
      <c r="DA137" s="68">
        <v>620067.23</v>
      </c>
      <c r="DB137" s="68">
        <v>662196.34</v>
      </c>
      <c r="DC137" s="68">
        <v>772197.07</v>
      </c>
      <c r="DD137" s="68">
        <v>705999.46</v>
      </c>
      <c r="DE137" s="68">
        <v>680678.52</v>
      </c>
      <c r="DF137" s="68">
        <v>658703.32999999996</v>
      </c>
      <c r="DG137" s="68">
        <v>796557.63</v>
      </c>
      <c r="DH137" s="68">
        <v>890787.12</v>
      </c>
      <c r="DI137" s="69">
        <v>743659.84</v>
      </c>
      <c r="DJ137" s="67">
        <v>749043.34</v>
      </c>
      <c r="DK137" s="68">
        <v>616767.44999999995</v>
      </c>
      <c r="DL137" s="68">
        <v>535380.03</v>
      </c>
      <c r="DM137" s="68">
        <v>653304.87</v>
      </c>
      <c r="DN137" s="68">
        <v>766570.99</v>
      </c>
      <c r="DO137" s="68">
        <v>569528.72</v>
      </c>
      <c r="DP137" s="68">
        <v>637917.59</v>
      </c>
      <c r="DQ137" s="68">
        <v>324544.68</v>
      </c>
      <c r="DR137" s="68">
        <v>1008401.74</v>
      </c>
      <c r="DS137" s="68">
        <v>718254.19</v>
      </c>
      <c r="DT137" s="68">
        <v>778942.84</v>
      </c>
      <c r="DU137" s="69">
        <v>702885.63</v>
      </c>
      <c r="DV137" s="61">
        <v>652321.30000000005</v>
      </c>
      <c r="DW137" s="61">
        <v>711488.03</v>
      </c>
      <c r="DX137" s="61">
        <v>727068.72</v>
      </c>
      <c r="DY137" s="61">
        <v>744546.84</v>
      </c>
      <c r="DZ137" s="79">
        <v>845214.7</v>
      </c>
      <c r="EA137" s="79">
        <v>704498.55</v>
      </c>
      <c r="EB137" s="79">
        <v>527845.81999999995</v>
      </c>
      <c r="EC137" s="84">
        <v>606574.91</v>
      </c>
      <c r="ED137" s="79">
        <v>1032313.21</v>
      </c>
      <c r="EE137" s="79">
        <v>702384.14</v>
      </c>
      <c r="EF137" s="79">
        <v>706462.4</v>
      </c>
      <c r="EG137" s="79">
        <v>3305498.13</v>
      </c>
      <c r="EH137" s="62">
        <v>266542</v>
      </c>
      <c r="EI137" s="62">
        <v>813711.97</v>
      </c>
      <c r="EJ137" s="62">
        <v>753027.44</v>
      </c>
      <c r="EK137" s="62">
        <v>524268.09</v>
      </c>
      <c r="EL137" s="62">
        <v>1044437.47</v>
      </c>
      <c r="EM137" s="62">
        <v>791930.72</v>
      </c>
      <c r="EN137" s="62">
        <v>567515.49</v>
      </c>
      <c r="EO137" s="62">
        <v>700345.86</v>
      </c>
      <c r="EP137" s="62">
        <v>933405.66</v>
      </c>
      <c r="EQ137" s="62">
        <v>704680.49</v>
      </c>
      <c r="ER137" s="62">
        <v>758794.16</v>
      </c>
      <c r="ES137" s="62">
        <v>765627.44</v>
      </c>
      <c r="ET137" s="62">
        <v>735682.19</v>
      </c>
      <c r="EU137" s="62">
        <v>711043.97</v>
      </c>
      <c r="EV137" s="62">
        <v>763993.21</v>
      </c>
      <c r="EW137" s="62">
        <v>523366.82</v>
      </c>
      <c r="EX137" s="62">
        <v>710595.63</v>
      </c>
      <c r="EY137" s="62">
        <v>865086.19</v>
      </c>
      <c r="EZ137" s="62">
        <v>905597.97</v>
      </c>
      <c r="FA137" s="62">
        <v>3554670.62</v>
      </c>
      <c r="FB137" s="62">
        <v>1229369.33</v>
      </c>
      <c r="FC137" s="62">
        <v>891958.79</v>
      </c>
      <c r="FD137" s="62">
        <v>1174417.8</v>
      </c>
      <c r="FE137" s="62">
        <v>1173117.46</v>
      </c>
      <c r="FF137" s="62">
        <v>492655.92</v>
      </c>
      <c r="FG137" s="62">
        <v>1081000.8899999999</v>
      </c>
      <c r="FH137" s="62">
        <v>1075486.77</v>
      </c>
      <c r="FI137" s="62">
        <v>779978.55</v>
      </c>
      <c r="FJ137" s="62">
        <v>905277.52</v>
      </c>
      <c r="FK137" s="62">
        <v>909731.61</v>
      </c>
      <c r="FL137" s="1">
        <v>1039591.19</v>
      </c>
      <c r="FM137" s="62">
        <v>741808.15</v>
      </c>
      <c r="FN137" s="62">
        <v>1105589.55</v>
      </c>
      <c r="FO137" s="62">
        <v>969966.85</v>
      </c>
      <c r="FP137" s="62">
        <v>754479.33</v>
      </c>
      <c r="FQ137" s="62">
        <v>1667870.26</v>
      </c>
      <c r="FR137" s="62">
        <v>745429.25</v>
      </c>
      <c r="FS137" s="62">
        <v>838710.44</v>
      </c>
      <c r="FT137" s="62">
        <v>906787.09</v>
      </c>
      <c r="FU137" s="62">
        <v>680647.83</v>
      </c>
      <c r="FV137" s="62">
        <v>705326.14</v>
      </c>
      <c r="FW137" s="62">
        <v>681524.78</v>
      </c>
      <c r="FX137" s="62">
        <v>964462.97</v>
      </c>
      <c r="FY137" s="62">
        <v>845187.01</v>
      </c>
      <c r="FZ137" s="62">
        <v>719871.35</v>
      </c>
      <c r="GA137" s="62">
        <v>794727.6</v>
      </c>
      <c r="GB137" s="62">
        <v>788673.5</v>
      </c>
      <c r="GC137" s="62">
        <v>1136876.5</v>
      </c>
      <c r="GD137" s="62"/>
      <c r="GF137" s="62"/>
      <c r="GG137" s="62"/>
      <c r="GH137" s="62"/>
      <c r="GI137" s="62"/>
      <c r="GJ137" s="62"/>
      <c r="GK137" s="62"/>
      <c r="GL137" s="62"/>
      <c r="GM137" s="62"/>
      <c r="GN137" s="62"/>
      <c r="GO137" s="62"/>
      <c r="GP137" s="62"/>
      <c r="GQ137" s="62"/>
      <c r="GR137" s="62"/>
      <c r="GS137" s="62"/>
      <c r="GT137" s="62"/>
      <c r="GU137" s="62"/>
      <c r="GV137" s="62"/>
      <c r="GW137" s="62"/>
      <c r="GX137" s="62"/>
      <c r="GY137" s="62"/>
      <c r="GZ137" s="62"/>
      <c r="HA137" s="62"/>
      <c r="HB137" s="62"/>
      <c r="HC137" s="62"/>
      <c r="HD137" s="62"/>
      <c r="HE137" s="62"/>
      <c r="HF137" s="62"/>
      <c r="HG137" s="62"/>
      <c r="HH137" s="62"/>
      <c r="HI137" s="62"/>
      <c r="HJ137" s="62"/>
      <c r="HK137" s="62"/>
      <c r="HL137" s="62"/>
      <c r="HM137" s="62"/>
      <c r="HN137" s="62"/>
      <c r="HO137" s="62"/>
      <c r="HP137" s="62"/>
      <c r="HQ137" s="62"/>
      <c r="HR137" s="62"/>
      <c r="HS137" s="62"/>
      <c r="HT137" s="62"/>
      <c r="HU137" s="62"/>
      <c r="HV137" s="62"/>
      <c r="HW137" s="62"/>
      <c r="HX137" s="62"/>
      <c r="HY137" s="62"/>
      <c r="HZ137" s="62"/>
      <c r="IA137" s="62"/>
      <c r="IB137" s="62"/>
      <c r="IC137" s="62"/>
      <c r="ID137" s="62"/>
      <c r="IE137" s="62"/>
      <c r="IF137" s="62"/>
      <c r="IG137" s="62"/>
      <c r="IH137" s="62"/>
      <c r="II137" s="62"/>
      <c r="IJ137" s="62"/>
      <c r="IK137" s="62"/>
      <c r="IL137" s="62"/>
      <c r="IM137" s="62"/>
      <c r="IN137" s="62"/>
      <c r="IO137" s="62"/>
      <c r="IP137" s="62"/>
      <c r="IQ137" s="62"/>
      <c r="IR137" s="62"/>
      <c r="IS137" s="62"/>
      <c r="IT137" s="62"/>
      <c r="IU137" s="62"/>
      <c r="IV137" s="62"/>
      <c r="IW137" s="62"/>
      <c r="IX137" s="62"/>
      <c r="IY137" s="62"/>
      <c r="IZ137" s="62"/>
      <c r="JA137" s="62"/>
      <c r="JB137" s="62"/>
      <c r="JC137" s="62"/>
      <c r="JD137" s="62"/>
      <c r="JE137" s="62"/>
      <c r="JF137" s="62"/>
      <c r="JG137" s="62"/>
      <c r="JH137" s="62"/>
      <c r="JI137" s="62"/>
      <c r="JJ137" s="62"/>
      <c r="JK137" s="62"/>
      <c r="JL137" s="62"/>
      <c r="JM137" s="62"/>
      <c r="JN137" s="62"/>
      <c r="JO137" s="62"/>
      <c r="JP137" s="62"/>
      <c r="JQ137" s="62"/>
      <c r="JR137" s="62"/>
      <c r="JS137" s="62"/>
      <c r="JT137" s="62"/>
      <c r="JU137" s="62"/>
      <c r="JV137" s="62"/>
      <c r="JW137" s="62"/>
      <c r="JX137" s="62"/>
      <c r="JY137" s="62"/>
      <c r="JZ137" s="62"/>
      <c r="KA137" s="62"/>
      <c r="KB137" s="62"/>
      <c r="KC137" s="62"/>
      <c r="KD137" s="62"/>
      <c r="KE137" s="62"/>
      <c r="KF137" s="62"/>
      <c r="KG137" s="62"/>
      <c r="KH137" s="62"/>
      <c r="KI137" s="62"/>
      <c r="KJ137" s="62"/>
      <c r="KK137" s="62"/>
      <c r="KL137" s="62"/>
      <c r="KM137" s="62"/>
      <c r="KN137" s="62"/>
      <c r="KO137" s="62"/>
      <c r="KP137" s="62"/>
      <c r="KQ137" s="62"/>
      <c r="KR137" s="62"/>
      <c r="KS137" s="62"/>
      <c r="KT137" s="62"/>
      <c r="KU137" s="62"/>
      <c r="KV137" s="62"/>
      <c r="KW137" s="62"/>
      <c r="KX137" s="62"/>
      <c r="KY137" s="62"/>
      <c r="KZ137" s="62"/>
      <c r="LA137" s="62"/>
      <c r="LB137" s="62"/>
      <c r="LC137" s="62"/>
      <c r="LD137" s="62"/>
      <c r="LE137" s="62"/>
      <c r="LF137" s="62"/>
      <c r="LG137" s="62"/>
      <c r="LH137" s="62"/>
      <c r="LI137" s="62"/>
    </row>
    <row r="138" spans="1:321">
      <c r="D138" s="59">
        <v>4251</v>
      </c>
      <c r="E138" s="60" t="s">
        <v>440</v>
      </c>
      <c r="F138" s="67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9"/>
      <c r="R138" s="67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67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9"/>
      <c r="AP138" s="67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9"/>
      <c r="BB138" s="67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9"/>
      <c r="BN138" s="67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9"/>
      <c r="BZ138" s="67"/>
      <c r="CA138" s="68"/>
      <c r="CB138" s="68"/>
      <c r="CC138" s="68"/>
      <c r="CD138" s="68"/>
      <c r="CE138" s="68"/>
      <c r="CF138" s="68"/>
      <c r="CG138" s="68"/>
      <c r="CH138" s="68"/>
      <c r="CI138" s="68"/>
      <c r="CJ138" s="68"/>
      <c r="CK138" s="68"/>
      <c r="CL138" s="67">
        <v>5318.52</v>
      </c>
      <c r="CM138" s="68">
        <v>136195</v>
      </c>
      <c r="CN138" s="68">
        <v>113585.04</v>
      </c>
      <c r="CO138" s="68">
        <v>148606.53</v>
      </c>
      <c r="CP138" s="68">
        <v>106435.74</v>
      </c>
      <c r="CQ138" s="68">
        <v>133745.32999999999</v>
      </c>
      <c r="CR138" s="68">
        <v>107490.24000000001</v>
      </c>
      <c r="CS138" s="68">
        <v>165677.76000000001</v>
      </c>
      <c r="CT138" s="68">
        <v>76441.179999999993</v>
      </c>
      <c r="CU138" s="68">
        <v>78236.91</v>
      </c>
      <c r="CV138" s="68">
        <v>140605.26</v>
      </c>
      <c r="CW138" s="69">
        <v>230783.27</v>
      </c>
      <c r="CX138" s="67">
        <v>105087.14</v>
      </c>
      <c r="CY138" s="68">
        <v>120355.64</v>
      </c>
      <c r="CZ138" s="68">
        <v>104139.22</v>
      </c>
      <c r="DA138" s="68">
        <v>96597.85</v>
      </c>
      <c r="DB138" s="68">
        <v>110535.58</v>
      </c>
      <c r="DC138" s="68">
        <v>112516.1</v>
      </c>
      <c r="DD138" s="68">
        <v>186117.78</v>
      </c>
      <c r="DE138" s="68">
        <v>132367.28</v>
      </c>
      <c r="DF138" s="68">
        <v>120605.53</v>
      </c>
      <c r="DG138" s="68">
        <v>101100.46</v>
      </c>
      <c r="DH138" s="68">
        <v>106678.62</v>
      </c>
      <c r="DI138" s="69">
        <v>133898.79999999999</v>
      </c>
      <c r="DJ138" s="67">
        <v>224934.99</v>
      </c>
      <c r="DK138" s="68">
        <v>98936.429999999906</v>
      </c>
      <c r="DL138" s="68">
        <v>122866.41</v>
      </c>
      <c r="DM138" s="68">
        <v>118740.01</v>
      </c>
      <c r="DN138" s="68">
        <v>118345.54</v>
      </c>
      <c r="DO138" s="68">
        <v>1872.93</v>
      </c>
      <c r="DP138" s="68">
        <v>110561.47</v>
      </c>
      <c r="DQ138" s="68">
        <v>112522.26</v>
      </c>
      <c r="DR138" s="68">
        <v>67718.3</v>
      </c>
      <c r="DS138" s="68">
        <v>145906.9</v>
      </c>
      <c r="DT138" s="68">
        <v>113457.29</v>
      </c>
      <c r="DU138" s="69">
        <v>134137.47</v>
      </c>
      <c r="DV138" s="61">
        <v>110019.89</v>
      </c>
      <c r="DW138" s="61">
        <v>98231.1</v>
      </c>
      <c r="DX138" s="61">
        <v>132908.38</v>
      </c>
      <c r="DY138" s="61">
        <v>114458.42</v>
      </c>
      <c r="DZ138" s="79">
        <v>216275.72</v>
      </c>
      <c r="EB138" s="79"/>
      <c r="EC138" s="79"/>
      <c r="ED138" s="79"/>
      <c r="EE138" s="79"/>
      <c r="EF138" s="79"/>
      <c r="EG138" s="79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  <c r="IK138" s="62"/>
      <c r="IL138" s="62"/>
      <c r="IM138" s="62"/>
      <c r="IN138" s="62"/>
      <c r="IO138" s="62"/>
      <c r="IP138" s="62"/>
      <c r="IQ138" s="62"/>
      <c r="IR138" s="62"/>
      <c r="IS138" s="62"/>
      <c r="IT138" s="62"/>
      <c r="IU138" s="62"/>
      <c r="IV138" s="62"/>
      <c r="IW138" s="62"/>
      <c r="IX138" s="62"/>
      <c r="IY138" s="62"/>
      <c r="IZ138" s="62"/>
      <c r="JA138" s="62"/>
      <c r="JB138" s="62"/>
      <c r="JC138" s="62"/>
      <c r="JD138" s="62"/>
      <c r="JE138" s="62"/>
      <c r="JF138" s="62"/>
      <c r="JG138" s="62"/>
      <c r="JH138" s="62"/>
      <c r="JI138" s="62"/>
      <c r="JJ138" s="62"/>
      <c r="JK138" s="62"/>
      <c r="JL138" s="62"/>
      <c r="JM138" s="62"/>
      <c r="JN138" s="62"/>
      <c r="JO138" s="62"/>
      <c r="JP138" s="62"/>
      <c r="JQ138" s="62"/>
      <c r="JR138" s="62"/>
      <c r="JS138" s="62"/>
      <c r="JT138" s="62"/>
      <c r="JU138" s="62"/>
      <c r="JV138" s="62"/>
      <c r="JW138" s="62"/>
      <c r="JX138" s="62"/>
      <c r="JY138" s="62"/>
      <c r="JZ138" s="62"/>
      <c r="KA138" s="62"/>
      <c r="KB138" s="62"/>
      <c r="KC138" s="62"/>
      <c r="KD138" s="62"/>
      <c r="KE138" s="62"/>
      <c r="KF138" s="62"/>
      <c r="KG138" s="62"/>
      <c r="KH138" s="62"/>
      <c r="KI138" s="62"/>
      <c r="KJ138" s="62"/>
      <c r="KK138" s="62"/>
      <c r="KL138" s="62"/>
      <c r="KM138" s="62"/>
      <c r="KN138" s="62"/>
      <c r="KO138" s="62"/>
      <c r="KP138" s="62"/>
      <c r="KQ138" s="62"/>
      <c r="KR138" s="62"/>
      <c r="KS138" s="62"/>
      <c r="KT138" s="62"/>
      <c r="KU138" s="62"/>
      <c r="KV138" s="62"/>
      <c r="KW138" s="62"/>
      <c r="KX138" s="62"/>
      <c r="KY138" s="62"/>
      <c r="KZ138" s="62"/>
      <c r="LA138" s="62"/>
      <c r="LB138" s="62"/>
      <c r="LC138" s="62"/>
      <c r="LD138" s="62"/>
      <c r="LE138" s="62"/>
      <c r="LF138" s="62"/>
      <c r="LG138" s="62"/>
      <c r="LH138" s="62"/>
      <c r="LI138" s="62"/>
    </row>
    <row r="139" spans="1:321" ht="30">
      <c r="D139" s="59">
        <v>4252</v>
      </c>
      <c r="E139" s="60" t="s">
        <v>441</v>
      </c>
      <c r="F139" s="67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9"/>
      <c r="R139" s="67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67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9"/>
      <c r="AP139" s="67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9"/>
      <c r="BB139" s="67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9"/>
      <c r="BN139" s="67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9"/>
      <c r="BZ139" s="67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7">
        <v>174980.17</v>
      </c>
      <c r="CM139" s="68">
        <v>162369.47</v>
      </c>
      <c r="CN139" s="68">
        <v>193871.93</v>
      </c>
      <c r="CO139" s="68">
        <v>132859.1</v>
      </c>
      <c r="CP139" s="68">
        <v>227031.56</v>
      </c>
      <c r="CQ139" s="68">
        <v>101788.92</v>
      </c>
      <c r="CR139" s="68">
        <v>238294</v>
      </c>
      <c r="CS139" s="68">
        <v>149111.75</v>
      </c>
      <c r="CT139" s="68">
        <v>294855.34999999998</v>
      </c>
      <c r="CU139" s="68">
        <v>169950.05</v>
      </c>
      <c r="CV139" s="68">
        <v>116301.25</v>
      </c>
      <c r="CW139" s="69">
        <v>363585.95</v>
      </c>
      <c r="CX139" s="67">
        <v>162563.72</v>
      </c>
      <c r="CY139" s="68">
        <v>121873.49</v>
      </c>
      <c r="CZ139" s="68">
        <v>211651.86</v>
      </c>
      <c r="DA139" s="68">
        <v>220780.25</v>
      </c>
      <c r="DB139" s="68">
        <v>231618.75</v>
      </c>
      <c r="DC139" s="68">
        <v>193594.78</v>
      </c>
      <c r="DD139" s="68">
        <v>147325.20000000001</v>
      </c>
      <c r="DE139" s="68">
        <v>260161.72</v>
      </c>
      <c r="DF139" s="68">
        <v>187127.37</v>
      </c>
      <c r="DG139" s="68">
        <v>200771.83</v>
      </c>
      <c r="DH139" s="68">
        <v>191005.1</v>
      </c>
      <c r="DI139" s="69">
        <v>196525.93</v>
      </c>
      <c r="DJ139" s="67">
        <v>202080.48</v>
      </c>
      <c r="DK139" s="68">
        <v>201538.78</v>
      </c>
      <c r="DL139" s="68">
        <v>202453.87</v>
      </c>
      <c r="DM139" s="68">
        <v>201417.68</v>
      </c>
      <c r="DN139" s="68">
        <v>202606.82</v>
      </c>
      <c r="DO139" s="68">
        <v>200826.3</v>
      </c>
      <c r="DP139" s="68">
        <v>203612.95</v>
      </c>
      <c r="DQ139" s="68">
        <v>202119.7</v>
      </c>
      <c r="DR139" s="68">
        <v>201440.21</v>
      </c>
      <c r="DS139" s="68">
        <v>202643.87</v>
      </c>
      <c r="DT139" s="68">
        <v>201958.03</v>
      </c>
      <c r="DU139" s="69">
        <v>202301.27</v>
      </c>
      <c r="DV139" s="61">
        <v>246156.83</v>
      </c>
      <c r="DW139" s="61">
        <v>218598.26</v>
      </c>
      <c r="DX139" s="61">
        <v>269256.68</v>
      </c>
      <c r="DY139" s="61">
        <v>226607.22</v>
      </c>
      <c r="DZ139" s="79">
        <v>277262.96000000002</v>
      </c>
      <c r="EB139" s="79"/>
      <c r="EC139" s="79"/>
      <c r="ED139" s="79"/>
      <c r="EE139" s="79"/>
      <c r="EF139" s="79"/>
      <c r="EG139" s="79"/>
      <c r="EH139" s="62"/>
      <c r="EI139" s="62"/>
      <c r="EJ139" s="62"/>
      <c r="EK139" s="62"/>
      <c r="EL139" s="62"/>
      <c r="EM139" s="62"/>
      <c r="EN139" s="62"/>
      <c r="EO139" s="62"/>
      <c r="EP139" s="62"/>
      <c r="EQ139" s="62"/>
      <c r="ER139" s="62"/>
      <c r="ES139" s="62"/>
      <c r="ET139" s="62"/>
      <c r="EU139" s="62"/>
      <c r="EV139" s="62"/>
      <c r="EW139" s="62"/>
      <c r="EX139" s="62"/>
      <c r="EY139" s="62"/>
      <c r="EZ139" s="62"/>
      <c r="FA139" s="62"/>
      <c r="FB139" s="62"/>
      <c r="FC139" s="62"/>
      <c r="FD139" s="62"/>
      <c r="FE139" s="62"/>
      <c r="FF139" s="62"/>
      <c r="FG139" s="62"/>
      <c r="FH139" s="62"/>
      <c r="FI139" s="62"/>
      <c r="FJ139" s="62"/>
      <c r="FK139" s="62"/>
      <c r="FL139" s="62"/>
      <c r="FM139" s="62"/>
      <c r="FN139" s="62"/>
      <c r="FO139" s="62"/>
      <c r="FP139" s="62"/>
      <c r="FQ139" s="62"/>
      <c r="FR139" s="62"/>
      <c r="FS139" s="62"/>
      <c r="FT139" s="62"/>
      <c r="FU139" s="62"/>
      <c r="FV139" s="62"/>
      <c r="FW139" s="62"/>
      <c r="FX139" s="62"/>
      <c r="FY139" s="62"/>
      <c r="FZ139" s="62"/>
      <c r="GA139" s="62"/>
      <c r="GB139" s="62"/>
      <c r="GC139" s="62"/>
      <c r="GD139" s="62"/>
      <c r="GF139" s="62"/>
      <c r="GG139" s="62"/>
      <c r="GH139" s="62"/>
      <c r="GI139" s="62"/>
      <c r="GJ139" s="62"/>
      <c r="GK139" s="62"/>
      <c r="GL139" s="62"/>
      <c r="GM139" s="62"/>
      <c r="GN139" s="62"/>
      <c r="GO139" s="62"/>
      <c r="GP139" s="62"/>
      <c r="GQ139" s="62"/>
      <c r="GR139" s="62"/>
      <c r="GS139" s="62"/>
      <c r="GT139" s="62"/>
      <c r="GU139" s="62"/>
      <c r="GV139" s="62"/>
      <c r="GW139" s="62"/>
      <c r="GX139" s="62"/>
      <c r="GY139" s="62"/>
      <c r="GZ139" s="62"/>
      <c r="HA139" s="62"/>
      <c r="HB139" s="62"/>
      <c r="HC139" s="62"/>
      <c r="HD139" s="62"/>
      <c r="HE139" s="62"/>
      <c r="HF139" s="62"/>
      <c r="HG139" s="62"/>
      <c r="HH139" s="62"/>
      <c r="HI139" s="62"/>
      <c r="HJ139" s="62"/>
      <c r="HK139" s="62"/>
      <c r="HL139" s="62"/>
      <c r="HM139" s="62"/>
      <c r="HN139" s="62"/>
      <c r="HO139" s="62"/>
      <c r="HP139" s="62"/>
      <c r="HQ139" s="62"/>
      <c r="HR139" s="62"/>
      <c r="HS139" s="62"/>
      <c r="HT139" s="62"/>
      <c r="HU139" s="62"/>
      <c r="HV139" s="62"/>
      <c r="HW139" s="62"/>
      <c r="HX139" s="62"/>
      <c r="HY139" s="62"/>
      <c r="HZ139" s="62"/>
      <c r="IA139" s="62"/>
      <c r="IB139" s="62"/>
      <c r="IC139" s="62"/>
      <c r="ID139" s="62"/>
      <c r="IE139" s="62"/>
      <c r="IF139" s="62"/>
      <c r="IG139" s="62"/>
      <c r="IH139" s="62"/>
      <c r="II139" s="62"/>
      <c r="IJ139" s="62"/>
      <c r="IK139" s="62"/>
      <c r="IL139" s="62"/>
      <c r="IM139" s="62"/>
      <c r="IN139" s="62"/>
      <c r="IO139" s="62"/>
      <c r="IP139" s="62"/>
      <c r="IQ139" s="62"/>
      <c r="IR139" s="62"/>
      <c r="IS139" s="62"/>
      <c r="IT139" s="62"/>
      <c r="IU139" s="62"/>
      <c r="IV139" s="62"/>
      <c r="IW139" s="62"/>
      <c r="IX139" s="62"/>
      <c r="IY139" s="62"/>
      <c r="IZ139" s="62"/>
      <c r="JA139" s="62"/>
      <c r="JB139" s="62"/>
      <c r="JC139" s="62"/>
      <c r="JD139" s="62"/>
      <c r="JE139" s="62"/>
      <c r="JF139" s="62"/>
      <c r="JG139" s="62"/>
      <c r="JH139" s="62"/>
      <c r="JI139" s="62"/>
      <c r="JJ139" s="62"/>
      <c r="JK139" s="62"/>
      <c r="JL139" s="62"/>
      <c r="JM139" s="62"/>
      <c r="JN139" s="62"/>
      <c r="JO139" s="62"/>
      <c r="JP139" s="62"/>
      <c r="JQ139" s="62"/>
      <c r="JR139" s="62"/>
      <c r="JS139" s="62"/>
      <c r="JT139" s="62"/>
      <c r="JU139" s="62"/>
      <c r="JV139" s="62"/>
      <c r="JW139" s="62"/>
      <c r="JX139" s="62"/>
      <c r="JY139" s="62"/>
      <c r="JZ139" s="62"/>
      <c r="KA139" s="62"/>
      <c r="KB139" s="62"/>
      <c r="KC139" s="62"/>
      <c r="KD139" s="62"/>
      <c r="KE139" s="62"/>
      <c r="KF139" s="62"/>
      <c r="KG139" s="62"/>
      <c r="KH139" s="62"/>
      <c r="KI139" s="62"/>
      <c r="KJ139" s="62"/>
      <c r="KK139" s="62"/>
      <c r="KL139" s="62"/>
      <c r="KM139" s="62"/>
      <c r="KN139" s="62"/>
      <c r="KO139" s="62"/>
      <c r="KP139" s="62"/>
      <c r="KQ139" s="62"/>
      <c r="KR139" s="62"/>
      <c r="KS139" s="62"/>
      <c r="KT139" s="62"/>
      <c r="KU139" s="62"/>
      <c r="KV139" s="62"/>
      <c r="KW139" s="62"/>
      <c r="KX139" s="62"/>
      <c r="KY139" s="62"/>
      <c r="KZ139" s="62"/>
      <c r="LA139" s="62"/>
      <c r="LB139" s="62"/>
      <c r="LC139" s="62"/>
      <c r="LD139" s="62"/>
      <c r="LE139" s="62"/>
      <c r="LF139" s="62"/>
      <c r="LG139" s="62"/>
      <c r="LH139" s="62"/>
      <c r="LI139" s="62"/>
    </row>
    <row r="140" spans="1:321" ht="30">
      <c r="D140" s="59">
        <v>4253</v>
      </c>
      <c r="E140" s="60" t="s">
        <v>442</v>
      </c>
      <c r="F140" s="67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9"/>
      <c r="R140" s="67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67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9"/>
      <c r="AP140" s="67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9"/>
      <c r="BB140" s="67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9"/>
      <c r="BN140" s="67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9"/>
      <c r="BZ140" s="67"/>
      <c r="CA140" s="68"/>
      <c r="CB140" s="68"/>
      <c r="CC140" s="68"/>
      <c r="CD140" s="68"/>
      <c r="CE140" s="68"/>
      <c r="CF140" s="68"/>
      <c r="CG140" s="68"/>
      <c r="CH140" s="68"/>
      <c r="CI140" s="68"/>
      <c r="CJ140" s="68"/>
      <c r="CK140" s="68"/>
      <c r="CL140" s="67">
        <v>190102.43</v>
      </c>
      <c r="CM140" s="68">
        <v>321988.05</v>
      </c>
      <c r="CN140" s="68">
        <v>331000.32000000001</v>
      </c>
      <c r="CO140" s="68">
        <v>224120.71</v>
      </c>
      <c r="CP140" s="68">
        <v>236532.18</v>
      </c>
      <c r="CQ140" s="68">
        <v>624884.43000000005</v>
      </c>
      <c r="CR140" s="68">
        <v>222553.84</v>
      </c>
      <c r="CS140" s="68">
        <v>323064.17</v>
      </c>
      <c r="CT140" s="68">
        <v>350156.54</v>
      </c>
      <c r="CU140" s="68">
        <v>313754.65999999997</v>
      </c>
      <c r="CV140" s="68">
        <v>186909.66</v>
      </c>
      <c r="CW140" s="69">
        <v>769338.09</v>
      </c>
      <c r="CX140" s="67">
        <v>235534.55</v>
      </c>
      <c r="CY140" s="68">
        <v>184125.16</v>
      </c>
      <c r="CZ140" s="68">
        <v>313162.78999999998</v>
      </c>
      <c r="DA140" s="68">
        <v>302689.13</v>
      </c>
      <c r="DB140" s="68">
        <v>320042.01</v>
      </c>
      <c r="DC140" s="68">
        <v>466086.19</v>
      </c>
      <c r="DD140" s="68">
        <v>372556.48</v>
      </c>
      <c r="DE140" s="68">
        <v>288149.52</v>
      </c>
      <c r="DF140" s="68">
        <v>350970.43</v>
      </c>
      <c r="DG140" s="68">
        <v>494685.34</v>
      </c>
      <c r="DH140" s="68">
        <v>593103.4</v>
      </c>
      <c r="DI140" s="69">
        <v>413235.11</v>
      </c>
      <c r="DJ140" s="67">
        <v>322027.87</v>
      </c>
      <c r="DK140" s="68">
        <v>316292.24</v>
      </c>
      <c r="DL140" s="68">
        <v>210059.75</v>
      </c>
      <c r="DM140" s="68">
        <v>333147.18</v>
      </c>
      <c r="DN140" s="68">
        <v>445618.63</v>
      </c>
      <c r="DO140" s="68">
        <v>366829.49</v>
      </c>
      <c r="DP140" s="68">
        <v>323743.17</v>
      </c>
      <c r="DQ140" s="68">
        <v>9902.7199999999993</v>
      </c>
      <c r="DR140" s="68">
        <v>739243.23</v>
      </c>
      <c r="DS140" s="68">
        <v>369703.42</v>
      </c>
      <c r="DT140" s="68">
        <v>463527.52</v>
      </c>
      <c r="DU140" s="69">
        <v>366446.89</v>
      </c>
      <c r="DV140" s="61">
        <v>296144.58</v>
      </c>
      <c r="DW140" s="61">
        <v>394658.67</v>
      </c>
      <c r="DX140" s="61">
        <v>324903.65999999997</v>
      </c>
      <c r="DY140" s="61">
        <v>403481.2</v>
      </c>
      <c r="DZ140" s="79">
        <v>351676.02</v>
      </c>
      <c r="EB140" s="79"/>
      <c r="EC140" s="79"/>
      <c r="ED140" s="79"/>
      <c r="EE140" s="79"/>
      <c r="EF140" s="79"/>
      <c r="EG140" s="79"/>
      <c r="ET140" s="62"/>
      <c r="EU140" s="62"/>
      <c r="EV140" s="62"/>
      <c r="EW140" s="62"/>
      <c r="EX140" s="62"/>
      <c r="EY140" s="62"/>
      <c r="EZ140" s="62"/>
      <c r="FA140" s="62"/>
      <c r="FB140" s="62"/>
      <c r="FC140" s="62"/>
      <c r="FD140" s="62"/>
      <c r="FE140" s="62"/>
      <c r="FF140" s="62"/>
      <c r="FG140" s="62"/>
      <c r="FH140" s="62"/>
      <c r="FI140" s="62"/>
      <c r="FJ140" s="62"/>
      <c r="FK140" s="62"/>
      <c r="FL140" s="62"/>
      <c r="FM140" s="62"/>
      <c r="FN140" s="62"/>
      <c r="FO140" s="62"/>
      <c r="FP140" s="62"/>
      <c r="FQ140" s="62"/>
      <c r="FR140" s="62"/>
      <c r="FS140" s="62"/>
      <c r="FT140" s="62"/>
      <c r="FU140" s="62"/>
      <c r="FV140" s="62"/>
      <c r="FW140" s="62"/>
      <c r="FX140" s="62"/>
      <c r="FY140" s="62"/>
      <c r="FZ140" s="62"/>
      <c r="GA140" s="62"/>
      <c r="GB140" s="62"/>
      <c r="GC140" s="62"/>
      <c r="GD140" s="62"/>
      <c r="GF140" s="62"/>
      <c r="GG140" s="62"/>
      <c r="GH140" s="62"/>
      <c r="GI140" s="62"/>
      <c r="GJ140" s="62"/>
      <c r="GK140" s="62"/>
      <c r="GL140" s="62"/>
      <c r="GM140" s="62"/>
      <c r="GN140" s="62"/>
      <c r="GO140" s="62"/>
      <c r="GP140" s="62"/>
      <c r="GQ140" s="62"/>
      <c r="GR140" s="62"/>
      <c r="GS140" s="62"/>
      <c r="GT140" s="62"/>
      <c r="GU140" s="62"/>
      <c r="GV140" s="62"/>
      <c r="GW140" s="62"/>
      <c r="GX140" s="62"/>
      <c r="GY140" s="62"/>
      <c r="GZ140" s="62"/>
      <c r="HA140" s="62"/>
      <c r="HB140" s="62"/>
      <c r="HC140" s="62"/>
      <c r="HD140" s="62"/>
      <c r="HE140" s="62"/>
      <c r="HF140" s="62"/>
      <c r="HG140" s="62"/>
      <c r="HH140" s="62"/>
      <c r="HI140" s="62"/>
      <c r="HJ140" s="62"/>
      <c r="HK140" s="62"/>
      <c r="HL140" s="62"/>
      <c r="HM140" s="62"/>
      <c r="HN140" s="62"/>
      <c r="HO140" s="62"/>
      <c r="HP140" s="62"/>
      <c r="HQ140" s="62"/>
      <c r="HR140" s="62"/>
      <c r="HS140" s="62"/>
      <c r="HT140" s="62"/>
      <c r="HU140" s="62"/>
      <c r="HV140" s="62"/>
      <c r="HW140" s="62"/>
      <c r="HX140" s="62"/>
      <c r="HY140" s="62"/>
      <c r="HZ140" s="62"/>
      <c r="IA140" s="62"/>
      <c r="IB140" s="62"/>
      <c r="IC140" s="62"/>
      <c r="ID140" s="62"/>
      <c r="IE140" s="62"/>
      <c r="IF140" s="62"/>
      <c r="IG140" s="62"/>
      <c r="IH140" s="62"/>
      <c r="II140" s="62"/>
      <c r="IJ140" s="62"/>
      <c r="IK140" s="62"/>
      <c r="IL140" s="62"/>
      <c r="IM140" s="62"/>
      <c r="IN140" s="62"/>
      <c r="IO140" s="62"/>
      <c r="IP140" s="62"/>
      <c r="IQ140" s="62"/>
      <c r="IR140" s="62"/>
      <c r="IS140" s="62"/>
      <c r="IT140" s="62"/>
      <c r="IU140" s="62"/>
      <c r="IV140" s="62"/>
      <c r="IW140" s="62"/>
      <c r="IX140" s="62"/>
      <c r="IY140" s="62"/>
      <c r="IZ140" s="62"/>
      <c r="JA140" s="62"/>
      <c r="JB140" s="62"/>
      <c r="JC140" s="62"/>
      <c r="JD140" s="62"/>
      <c r="JE140" s="62"/>
      <c r="JF140" s="62"/>
      <c r="JG140" s="62"/>
      <c r="JH140" s="62"/>
      <c r="JI140" s="62"/>
      <c r="JJ140" s="62"/>
      <c r="JK140" s="62"/>
      <c r="JL140" s="62"/>
      <c r="JM140" s="62"/>
      <c r="JN140" s="62"/>
      <c r="JO140" s="62"/>
      <c r="JP140" s="62"/>
      <c r="JQ140" s="62"/>
      <c r="JR140" s="62"/>
      <c r="JS140" s="62"/>
      <c r="JT140" s="62"/>
      <c r="JU140" s="62"/>
      <c r="JV140" s="62"/>
      <c r="JW140" s="62"/>
      <c r="JX140" s="62"/>
      <c r="JY140" s="62"/>
      <c r="JZ140" s="62"/>
      <c r="KA140" s="62"/>
      <c r="KB140" s="62"/>
      <c r="KC140" s="62"/>
      <c r="KD140" s="62"/>
      <c r="KE140" s="62"/>
      <c r="KF140" s="62"/>
      <c r="KG140" s="62"/>
      <c r="KH140" s="62"/>
      <c r="KI140" s="62"/>
      <c r="KJ140" s="62"/>
      <c r="KK140" s="62"/>
      <c r="KL140" s="62"/>
      <c r="KM140" s="62"/>
      <c r="KN140" s="62"/>
      <c r="KO140" s="62"/>
      <c r="KP140" s="62"/>
      <c r="KQ140" s="62"/>
      <c r="KR140" s="62"/>
      <c r="KS140" s="62"/>
      <c r="KT140" s="62"/>
      <c r="KU140" s="62"/>
      <c r="KV140" s="62"/>
      <c r="KW140" s="62"/>
      <c r="KX140" s="62"/>
      <c r="KY140" s="62"/>
      <c r="KZ140" s="62"/>
      <c r="LA140" s="62"/>
      <c r="LB140" s="62"/>
      <c r="LC140" s="62"/>
      <c r="LD140" s="62"/>
      <c r="LE140" s="62"/>
      <c r="LF140" s="62"/>
      <c r="LG140" s="62"/>
      <c r="LH140" s="62"/>
      <c r="LI140" s="62"/>
    </row>
    <row r="141" spans="1:321" ht="45">
      <c r="A141" s="59" t="s">
        <v>6</v>
      </c>
      <c r="B141" s="59">
        <v>43</v>
      </c>
      <c r="D141" s="59">
        <v>43</v>
      </c>
      <c r="E141" s="60" t="s">
        <v>162</v>
      </c>
      <c r="F141" s="67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9"/>
      <c r="R141" s="67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67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9"/>
      <c r="AP141" s="67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9"/>
      <c r="BB141" s="67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9"/>
      <c r="BN141" s="67"/>
      <c r="BO141" s="68"/>
      <c r="BP141" s="68"/>
      <c r="BQ141" s="68"/>
      <c r="BR141" s="68"/>
      <c r="BS141" s="68"/>
      <c r="BT141" s="68"/>
      <c r="BU141" s="68"/>
      <c r="BV141" s="68"/>
      <c r="BW141" s="68"/>
      <c r="BX141" s="68"/>
      <c r="BY141" s="69"/>
      <c r="BZ141" s="67"/>
      <c r="CA141" s="68"/>
      <c r="CB141" s="68"/>
      <c r="CC141" s="68"/>
      <c r="CD141" s="68"/>
      <c r="CE141" s="68"/>
      <c r="CF141" s="68"/>
      <c r="CG141" s="68"/>
      <c r="CH141" s="68"/>
      <c r="CI141" s="68"/>
      <c r="CJ141" s="68"/>
      <c r="CK141" s="68"/>
      <c r="CL141" s="67">
        <v>4766352.82</v>
      </c>
      <c r="CM141" s="68">
        <v>7183318.2800000003</v>
      </c>
      <c r="CN141" s="68">
        <v>8947545.6400000006</v>
      </c>
      <c r="CO141" s="68">
        <v>5884665.6100000003</v>
      </c>
      <c r="CP141" s="68">
        <v>7415737.6300000101</v>
      </c>
      <c r="CQ141" s="68">
        <v>7060820.2999999998</v>
      </c>
      <c r="CR141" s="68">
        <v>5861351.5199999996</v>
      </c>
      <c r="CS141" s="68">
        <v>9038041.9700000007</v>
      </c>
      <c r="CT141" s="68">
        <v>8245712.2599999998</v>
      </c>
      <c r="CU141" s="68">
        <v>7298462.0700000096</v>
      </c>
      <c r="CV141" s="68">
        <v>4753269.4800000004</v>
      </c>
      <c r="CW141" s="69">
        <v>17851748.629999999</v>
      </c>
      <c r="CX141" s="67">
        <v>4729453.0199999996</v>
      </c>
      <c r="CY141" s="68">
        <v>3668588.02</v>
      </c>
      <c r="CZ141" s="68">
        <v>11943087.779999999</v>
      </c>
      <c r="DA141" s="68">
        <v>8801515.4700000007</v>
      </c>
      <c r="DB141" s="68">
        <v>7959182.7300000098</v>
      </c>
      <c r="DC141" s="68">
        <v>8709222.3800000008</v>
      </c>
      <c r="DD141" s="68">
        <v>7344002.3300000001</v>
      </c>
      <c r="DE141" s="68">
        <v>8854476.2599999998</v>
      </c>
      <c r="DF141" s="68">
        <v>7105061.5</v>
      </c>
      <c r="DG141" s="68">
        <v>13729651.66</v>
      </c>
      <c r="DH141" s="68">
        <v>4705106.5999999996</v>
      </c>
      <c r="DI141" s="69">
        <v>11500398.33</v>
      </c>
      <c r="DJ141" s="67">
        <v>11457600.68</v>
      </c>
      <c r="DK141" s="68">
        <v>6752624.2699999996</v>
      </c>
      <c r="DL141" s="68">
        <v>11420501.77</v>
      </c>
      <c r="DM141" s="68">
        <v>14999479.220000001</v>
      </c>
      <c r="DN141" s="68">
        <v>7593694.9299999997</v>
      </c>
      <c r="DO141" s="68">
        <v>8426871.3800000008</v>
      </c>
      <c r="DP141" s="68">
        <v>10744092.74</v>
      </c>
      <c r="DQ141" s="68">
        <v>11333981.32</v>
      </c>
      <c r="DR141" s="68">
        <v>10383700.710000001</v>
      </c>
      <c r="DS141" s="68">
        <v>11050474.779999999</v>
      </c>
      <c r="DT141" s="68">
        <v>10760211.210000001</v>
      </c>
      <c r="DU141" s="69">
        <v>21302981.460000001</v>
      </c>
      <c r="DV141" s="61">
        <v>5182408.62</v>
      </c>
      <c r="DW141" s="61">
        <v>8548848.3000000007</v>
      </c>
      <c r="DX141" s="61">
        <v>21000988.850000001</v>
      </c>
      <c r="DY141" s="61">
        <v>15199940.68</v>
      </c>
      <c r="DZ141" s="79">
        <v>11045075.699999999</v>
      </c>
      <c r="EA141" s="79">
        <v>11676659.710000001</v>
      </c>
      <c r="EB141" s="79">
        <v>10057576.49</v>
      </c>
      <c r="EC141" s="84">
        <v>13191630.189999999</v>
      </c>
      <c r="ED141" s="79">
        <v>11618940.939999999</v>
      </c>
      <c r="EE141" s="79">
        <v>10639076.880000001</v>
      </c>
      <c r="EF141" s="79">
        <v>14397093.9</v>
      </c>
      <c r="EG141" s="79">
        <v>39257145.460000001</v>
      </c>
      <c r="EH141" s="62">
        <v>5367351.82</v>
      </c>
      <c r="EI141" s="62">
        <v>7878426.2999999998</v>
      </c>
      <c r="EJ141" s="62">
        <v>12624632.02</v>
      </c>
      <c r="EK141" s="62">
        <v>15717196.880000001</v>
      </c>
      <c r="EL141" s="62">
        <v>10712461.529999999</v>
      </c>
      <c r="EM141" s="62">
        <v>13589172.92</v>
      </c>
      <c r="EN141" s="62">
        <v>17165199.760000002</v>
      </c>
      <c r="EO141" s="62">
        <v>15793377.119999999</v>
      </c>
      <c r="EP141" s="62">
        <v>13743974.02</v>
      </c>
      <c r="EQ141" s="62">
        <v>13251144.24</v>
      </c>
      <c r="ER141" s="62">
        <v>11142113.050000001</v>
      </c>
      <c r="ES141" s="62">
        <v>29896675.100000001</v>
      </c>
      <c r="ET141" s="62">
        <v>11036841.98</v>
      </c>
      <c r="EU141" s="62">
        <v>13096709.15</v>
      </c>
      <c r="EV141" s="62">
        <v>16347312.470000001</v>
      </c>
      <c r="EW141" s="62">
        <v>15696656.369999999</v>
      </c>
      <c r="EX141" s="62">
        <v>13306183.48</v>
      </c>
      <c r="EY141" s="62">
        <v>17878544.43</v>
      </c>
      <c r="EZ141" s="62">
        <v>20218156.109999999</v>
      </c>
      <c r="FA141" s="62">
        <v>17179475.350000001</v>
      </c>
      <c r="FB141" s="62">
        <v>16100951.01</v>
      </c>
      <c r="FC141" s="62">
        <v>16865388.859999999</v>
      </c>
      <c r="FD141" s="62">
        <v>17575098.66</v>
      </c>
      <c r="FE141" s="62">
        <v>33425392.469999999</v>
      </c>
      <c r="FF141" s="62">
        <v>15740550.810000001</v>
      </c>
      <c r="FG141" s="62">
        <v>18630588.73</v>
      </c>
      <c r="FH141" s="62">
        <v>16694917.779999999</v>
      </c>
      <c r="FI141" s="62">
        <v>16108536.07</v>
      </c>
      <c r="FJ141" s="62">
        <v>17254969.68</v>
      </c>
      <c r="FK141" s="62">
        <v>13582344.5</v>
      </c>
      <c r="FL141" s="1">
        <v>25674739.879999999</v>
      </c>
      <c r="FM141" s="62">
        <v>14807253.59</v>
      </c>
      <c r="FN141" s="62">
        <v>22891347.969999999</v>
      </c>
      <c r="FO141" s="62">
        <v>17069504.329999998</v>
      </c>
      <c r="FP141" s="62">
        <v>17615895</v>
      </c>
      <c r="FQ141" s="62">
        <v>23619301.27</v>
      </c>
      <c r="FR141" s="62">
        <v>23631566.68</v>
      </c>
      <c r="FS141" s="62">
        <v>23904975.98</v>
      </c>
      <c r="FT141" s="62">
        <v>31910693.890000001</v>
      </c>
      <c r="FU141" s="62">
        <v>17323075.199999999</v>
      </c>
      <c r="FV141" s="62">
        <v>15552980.33</v>
      </c>
      <c r="FW141" s="62">
        <v>18901990.300000001</v>
      </c>
      <c r="FX141" s="62">
        <v>35655547.57</v>
      </c>
      <c r="FY141" s="62">
        <v>21486991.629999999</v>
      </c>
      <c r="FZ141" s="62">
        <v>29910249.559999999</v>
      </c>
      <c r="GA141" s="62">
        <v>21288409.039999999</v>
      </c>
      <c r="GB141" s="62">
        <v>17496982.879999999</v>
      </c>
      <c r="GC141" s="62">
        <v>24185439.440000001</v>
      </c>
      <c r="GD141" s="62"/>
      <c r="GF141" s="62"/>
      <c r="GG141" s="62"/>
      <c r="GH141" s="62"/>
      <c r="GI141" s="62"/>
      <c r="GJ141" s="62"/>
      <c r="GK141" s="62"/>
      <c r="GL141" s="62"/>
      <c r="GM141" s="62"/>
      <c r="GN141" s="62"/>
      <c r="GO141" s="62"/>
      <c r="GP141" s="62"/>
      <c r="GQ141" s="62"/>
      <c r="GR141" s="62"/>
      <c r="GS141" s="62"/>
      <c r="GT141" s="62"/>
      <c r="GU141" s="62"/>
      <c r="GV141" s="62"/>
      <c r="GW141" s="62"/>
      <c r="GX141" s="62"/>
      <c r="GY141" s="62"/>
      <c r="GZ141" s="62"/>
      <c r="HA141" s="62"/>
      <c r="HB141" s="62"/>
      <c r="HC141" s="62"/>
      <c r="HD141" s="62"/>
      <c r="HE141" s="62"/>
      <c r="HF141" s="62"/>
      <c r="HG141" s="62"/>
      <c r="HH141" s="62"/>
      <c r="HI141" s="62"/>
      <c r="HJ141" s="62"/>
      <c r="HK141" s="62"/>
      <c r="HL141" s="62"/>
      <c r="HM141" s="62"/>
      <c r="HN141" s="62"/>
      <c r="HO141" s="62"/>
      <c r="HP141" s="62"/>
      <c r="HQ141" s="62"/>
      <c r="HR141" s="62"/>
      <c r="HS141" s="62"/>
      <c r="HT141" s="62"/>
      <c r="HU141" s="62"/>
      <c r="HV141" s="62"/>
      <c r="HW141" s="62"/>
      <c r="HX141" s="62"/>
      <c r="HY141" s="62"/>
      <c r="HZ141" s="62"/>
      <c r="IA141" s="62"/>
      <c r="IB141" s="62"/>
      <c r="IC141" s="62"/>
      <c r="ID141" s="62"/>
      <c r="IE141" s="62"/>
      <c r="IF141" s="62"/>
      <c r="IG141" s="62"/>
      <c r="IH141" s="62"/>
      <c r="II141" s="62"/>
      <c r="IJ141" s="62"/>
      <c r="IK141" s="62"/>
      <c r="IL141" s="62"/>
      <c r="IM141" s="62"/>
      <c r="IN141" s="62"/>
      <c r="IO141" s="62"/>
      <c r="IP141" s="62"/>
      <c r="IQ141" s="62"/>
      <c r="IR141" s="62"/>
      <c r="IS141" s="62"/>
      <c r="IT141" s="62"/>
      <c r="IU141" s="62"/>
      <c r="IV141" s="62"/>
      <c r="IW141" s="62"/>
      <c r="IX141" s="62"/>
      <c r="IY141" s="62"/>
      <c r="IZ141" s="62"/>
      <c r="JA141" s="62"/>
      <c r="JB141" s="62"/>
      <c r="JC141" s="62"/>
      <c r="JD141" s="62"/>
      <c r="JE141" s="62"/>
      <c r="JF141" s="62"/>
      <c r="JG141" s="62"/>
      <c r="JH141" s="62"/>
      <c r="JI141" s="62"/>
      <c r="JJ141" s="62"/>
      <c r="JK141" s="62"/>
      <c r="JL141" s="62"/>
      <c r="JM141" s="62"/>
      <c r="JN141" s="62"/>
      <c r="JO141" s="62"/>
      <c r="JP141" s="62"/>
      <c r="JQ141" s="62"/>
      <c r="JR141" s="62"/>
      <c r="JS141" s="62"/>
      <c r="JT141" s="62"/>
      <c r="JU141" s="62"/>
      <c r="JV141" s="62"/>
      <c r="JW141" s="62"/>
      <c r="JX141" s="62"/>
      <c r="JY141" s="62"/>
      <c r="JZ141" s="62"/>
      <c r="KA141" s="62"/>
      <c r="KB141" s="62"/>
      <c r="KC141" s="62"/>
      <c r="KD141" s="62"/>
      <c r="KE141" s="62"/>
      <c r="KF141" s="62"/>
      <c r="KG141" s="62"/>
      <c r="KH141" s="62"/>
      <c r="KI141" s="62"/>
      <c r="KJ141" s="62"/>
      <c r="KK141" s="62"/>
      <c r="KL141" s="62"/>
      <c r="KM141" s="62"/>
      <c r="KN141" s="62"/>
      <c r="KO141" s="62"/>
      <c r="KP141" s="62"/>
      <c r="KQ141" s="62"/>
      <c r="KR141" s="62"/>
      <c r="KS141" s="62"/>
      <c r="KT141" s="62"/>
      <c r="KU141" s="62"/>
      <c r="KV141" s="62"/>
      <c r="KW141" s="62"/>
      <c r="KX141" s="62"/>
      <c r="KY141" s="62"/>
      <c r="KZ141" s="62"/>
      <c r="LA141" s="62"/>
      <c r="LB141" s="62"/>
      <c r="LC141" s="62"/>
      <c r="LD141" s="62"/>
      <c r="LE141" s="62"/>
      <c r="LF141" s="62"/>
      <c r="LG141" s="62"/>
      <c r="LH141" s="62"/>
      <c r="LI141" s="62"/>
    </row>
    <row r="142" spans="1:321" ht="45">
      <c r="A142" s="59" t="s">
        <v>6</v>
      </c>
      <c r="B142" s="59" t="s">
        <v>6</v>
      </c>
      <c r="C142" s="59">
        <v>431</v>
      </c>
      <c r="D142" s="59">
        <v>431</v>
      </c>
      <c r="E142" s="60" t="s">
        <v>162</v>
      </c>
      <c r="F142" s="67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9"/>
      <c r="R142" s="67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67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9"/>
      <c r="AP142" s="67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9"/>
      <c r="BB142" s="67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9"/>
      <c r="BN142" s="67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9"/>
      <c r="BZ142" s="67"/>
      <c r="CA142" s="68"/>
      <c r="CB142" s="68"/>
      <c r="CC142" s="68"/>
      <c r="CD142" s="68"/>
      <c r="CE142" s="68"/>
      <c r="CF142" s="68"/>
      <c r="CG142" s="68"/>
      <c r="CH142" s="68"/>
      <c r="CI142" s="68"/>
      <c r="CJ142" s="68"/>
      <c r="CK142" s="68"/>
      <c r="CL142" s="67">
        <v>4766352.82</v>
      </c>
      <c r="CM142" s="68">
        <v>7183318.2800000003</v>
      </c>
      <c r="CN142" s="68">
        <v>8945045.6400000006</v>
      </c>
      <c r="CO142" s="68">
        <v>5880665.6100000003</v>
      </c>
      <c r="CP142" s="68">
        <v>7415737.6300000101</v>
      </c>
      <c r="CQ142" s="68">
        <v>7060820.2999999998</v>
      </c>
      <c r="CR142" s="68">
        <v>5860351.5199999996</v>
      </c>
      <c r="CS142" s="68">
        <v>9017741.9700000007</v>
      </c>
      <c r="CT142" s="68">
        <v>8242712.2599999998</v>
      </c>
      <c r="CU142" s="68">
        <v>7282489.8800000101</v>
      </c>
      <c r="CV142" s="68">
        <v>4546653.24</v>
      </c>
      <c r="CW142" s="69">
        <v>16619491.83</v>
      </c>
      <c r="CX142" s="67">
        <v>4729453.0199999996</v>
      </c>
      <c r="CY142" s="68">
        <v>3668588.02</v>
      </c>
      <c r="CZ142" s="68">
        <v>11943087.779999999</v>
      </c>
      <c r="DA142" s="68">
        <v>8801515.4700000007</v>
      </c>
      <c r="DB142" s="68">
        <v>7959182.7300000098</v>
      </c>
      <c r="DC142" s="68">
        <v>8474803.7700000107</v>
      </c>
      <c r="DD142" s="68">
        <v>7344002.3300000001</v>
      </c>
      <c r="DE142" s="68">
        <v>8688828.7300000004</v>
      </c>
      <c r="DF142" s="68">
        <v>7098548.0999999996</v>
      </c>
      <c r="DG142" s="68">
        <v>13257486.939999999</v>
      </c>
      <c r="DH142" s="68">
        <v>4644206.5999999996</v>
      </c>
      <c r="DI142" s="69">
        <v>10253278.470000001</v>
      </c>
      <c r="DJ142" s="67">
        <v>11457600.68</v>
      </c>
      <c r="DK142" s="68">
        <v>6752624.2699999996</v>
      </c>
      <c r="DL142" s="68">
        <v>11210501.77</v>
      </c>
      <c r="DM142" s="68">
        <v>14999479.220000001</v>
      </c>
      <c r="DN142" s="68">
        <v>7593694.9299999997</v>
      </c>
      <c r="DO142" s="68">
        <v>8416871.3800000008</v>
      </c>
      <c r="DP142" s="68">
        <v>10541092.800000001</v>
      </c>
      <c r="DQ142" s="68">
        <v>11333981.32</v>
      </c>
      <c r="DR142" s="68">
        <v>10383700.710000001</v>
      </c>
      <c r="DS142" s="68">
        <v>11050474.779999999</v>
      </c>
      <c r="DT142" s="68">
        <v>10758211.210000001</v>
      </c>
      <c r="DU142" s="69">
        <v>21273051.030000001</v>
      </c>
      <c r="DV142" s="61">
        <v>5182408.62</v>
      </c>
      <c r="DW142" s="61">
        <v>8542348.3000000007</v>
      </c>
      <c r="DX142" s="61">
        <v>20704889.629999999</v>
      </c>
      <c r="DY142" s="61">
        <v>14867940.68</v>
      </c>
      <c r="DZ142" s="79">
        <v>11045075.699999999</v>
      </c>
      <c r="EA142" s="79">
        <v>11393659.710000001</v>
      </c>
      <c r="EB142" s="79">
        <v>10057576.49</v>
      </c>
      <c r="EC142" s="84">
        <v>13191630.189999999</v>
      </c>
      <c r="ED142" s="79">
        <v>11618940.939999999</v>
      </c>
      <c r="EE142" s="79">
        <v>10639076.880000001</v>
      </c>
      <c r="EF142" s="79">
        <v>14397093.9</v>
      </c>
      <c r="EG142" s="79">
        <v>38981145.460000001</v>
      </c>
      <c r="EH142" s="62"/>
      <c r="EI142" s="62">
        <v>7878426.2999999998</v>
      </c>
      <c r="EJ142" s="62">
        <v>12624632.02</v>
      </c>
      <c r="EK142" s="62">
        <v>15248396.880000001</v>
      </c>
      <c r="EL142" s="62">
        <v>10712461.529999999</v>
      </c>
      <c r="EM142" s="62">
        <v>13530839.57</v>
      </c>
      <c r="EN142" s="62">
        <v>16956874.25</v>
      </c>
      <c r="EO142" s="62">
        <v>15251339.6</v>
      </c>
      <c r="EP142" s="62"/>
      <c r="EQ142" s="62">
        <v>13129810.890000001</v>
      </c>
      <c r="ER142" s="62">
        <v>11137560.17</v>
      </c>
      <c r="ES142" s="62"/>
      <c r="ET142" s="62">
        <v>10553508.65</v>
      </c>
      <c r="EU142" s="62">
        <v>12813375.82</v>
      </c>
      <c r="EV142" s="62">
        <v>16064062.789999999</v>
      </c>
      <c r="EW142" s="62">
        <v>15105967.18</v>
      </c>
      <c r="EX142" s="62">
        <v>13005350.15</v>
      </c>
      <c r="EY142" s="62">
        <v>17522711.100000001</v>
      </c>
      <c r="EZ142" s="62">
        <v>19249518.940000001</v>
      </c>
      <c r="FA142" s="62">
        <v>16863227.57</v>
      </c>
      <c r="FB142" s="62">
        <v>15737223.15</v>
      </c>
      <c r="FC142" s="62">
        <v>16273114.359999999</v>
      </c>
      <c r="FD142" s="62">
        <v>17323478.239999998</v>
      </c>
      <c r="FE142" s="62">
        <v>33100597.25</v>
      </c>
      <c r="FF142" s="62"/>
      <c r="FG142" s="62"/>
      <c r="FH142" s="62"/>
      <c r="FI142" s="62"/>
      <c r="FJ142" s="62"/>
      <c r="FK142" s="62"/>
      <c r="FL142" s="62"/>
      <c r="FM142" s="62"/>
      <c r="FN142" s="62"/>
      <c r="FO142" s="62"/>
      <c r="FP142" s="62"/>
      <c r="FQ142" s="62"/>
      <c r="FR142" s="62"/>
      <c r="FS142" s="62"/>
      <c r="FT142" s="62"/>
      <c r="FU142" s="62"/>
      <c r="FV142" s="62"/>
      <c r="FW142" s="62"/>
      <c r="FX142" s="62"/>
      <c r="FY142" s="62"/>
      <c r="FZ142" s="62"/>
      <c r="GA142" s="62"/>
      <c r="GB142" s="62"/>
      <c r="GC142" s="62"/>
      <c r="GD142" s="62"/>
      <c r="GF142" s="62"/>
      <c r="GG142" s="62"/>
      <c r="GH142" s="62"/>
      <c r="GI142" s="62"/>
      <c r="GJ142" s="62"/>
      <c r="GK142" s="62"/>
      <c r="GL142" s="62"/>
      <c r="GM142" s="62"/>
      <c r="GN142" s="62"/>
      <c r="GO142" s="62"/>
      <c r="GP142" s="62"/>
      <c r="GQ142" s="62"/>
      <c r="GR142" s="62"/>
      <c r="GS142" s="62"/>
      <c r="GT142" s="62"/>
      <c r="GU142" s="62"/>
      <c r="GV142" s="62"/>
      <c r="GW142" s="62"/>
      <c r="GX142" s="62"/>
      <c r="GY142" s="62"/>
      <c r="GZ142" s="62"/>
      <c r="HA142" s="62"/>
      <c r="HB142" s="62"/>
      <c r="HC142" s="62"/>
      <c r="HD142" s="62"/>
      <c r="HE142" s="62"/>
      <c r="HF142" s="62"/>
      <c r="HG142" s="62"/>
      <c r="HH142" s="62"/>
      <c r="HI142" s="62"/>
      <c r="HJ142" s="62"/>
      <c r="HK142" s="62"/>
      <c r="HL142" s="62"/>
      <c r="HM142" s="62"/>
      <c r="HN142" s="62"/>
      <c r="HO142" s="62"/>
      <c r="HP142" s="62"/>
      <c r="HQ142" s="62"/>
      <c r="HR142" s="62"/>
      <c r="HS142" s="62"/>
      <c r="HT142" s="62"/>
      <c r="HU142" s="62"/>
      <c r="HV142" s="62"/>
      <c r="HW142" s="62"/>
      <c r="HX142" s="62"/>
      <c r="HY142" s="62"/>
      <c r="HZ142" s="62"/>
      <c r="IA142" s="62"/>
      <c r="IB142" s="62"/>
      <c r="IC142" s="62"/>
      <c r="ID142" s="62"/>
      <c r="IE142" s="62"/>
      <c r="IF142" s="62"/>
      <c r="IG142" s="62"/>
      <c r="IH142" s="62"/>
      <c r="II142" s="62"/>
      <c r="IJ142" s="62"/>
      <c r="IK142" s="62"/>
      <c r="IL142" s="62"/>
      <c r="IM142" s="62"/>
      <c r="IN142" s="62"/>
      <c r="IO142" s="62"/>
      <c r="IP142" s="62"/>
      <c r="IQ142" s="62"/>
      <c r="IR142" s="62"/>
      <c r="IS142" s="62"/>
      <c r="IT142" s="62"/>
      <c r="IU142" s="62"/>
      <c r="IV142" s="62"/>
      <c r="IW142" s="62"/>
      <c r="IX142" s="62"/>
      <c r="IY142" s="62"/>
      <c r="IZ142" s="62"/>
      <c r="JA142" s="62"/>
      <c r="JB142" s="62"/>
      <c r="JC142" s="62"/>
      <c r="JD142" s="62"/>
      <c r="JE142" s="62"/>
      <c r="JF142" s="62"/>
      <c r="JG142" s="62"/>
      <c r="JH142" s="62"/>
      <c r="JI142" s="62"/>
      <c r="JJ142" s="62"/>
      <c r="JK142" s="62"/>
      <c r="JL142" s="62"/>
      <c r="JM142" s="62"/>
      <c r="JN142" s="62"/>
      <c r="JO142" s="62"/>
      <c r="JP142" s="62"/>
      <c r="JQ142" s="62"/>
      <c r="JR142" s="62"/>
      <c r="JS142" s="62"/>
      <c r="JT142" s="62"/>
      <c r="JU142" s="62"/>
      <c r="JV142" s="62"/>
      <c r="JW142" s="62"/>
      <c r="JX142" s="62"/>
      <c r="JY142" s="62"/>
      <c r="JZ142" s="62"/>
      <c r="KA142" s="62"/>
      <c r="KB142" s="62"/>
      <c r="KC142" s="62"/>
      <c r="KD142" s="62"/>
      <c r="KE142" s="62"/>
      <c r="KF142" s="62"/>
      <c r="KG142" s="62"/>
      <c r="KH142" s="62"/>
      <c r="KI142" s="62"/>
      <c r="KJ142" s="62"/>
      <c r="KK142" s="62"/>
      <c r="KL142" s="62"/>
      <c r="KM142" s="62"/>
      <c r="KN142" s="62"/>
      <c r="KO142" s="62"/>
      <c r="KP142" s="62"/>
      <c r="KQ142" s="62"/>
      <c r="KR142" s="62"/>
      <c r="KS142" s="62"/>
      <c r="KT142" s="62"/>
      <c r="KU142" s="62"/>
      <c r="KV142" s="62"/>
      <c r="KW142" s="62"/>
      <c r="KX142" s="62"/>
      <c r="KY142" s="62"/>
      <c r="KZ142" s="62"/>
      <c r="LA142" s="62"/>
      <c r="LB142" s="62"/>
      <c r="LC142" s="62"/>
      <c r="LD142" s="62"/>
      <c r="LE142" s="62"/>
      <c r="LF142" s="62"/>
      <c r="LG142" s="62"/>
      <c r="LH142" s="62"/>
      <c r="LI142" s="62"/>
    </row>
    <row r="143" spans="1:321">
      <c r="D143" s="59">
        <v>4311</v>
      </c>
      <c r="E143" s="60" t="s">
        <v>443</v>
      </c>
      <c r="F143" s="67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9"/>
      <c r="R143" s="67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67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9"/>
      <c r="AP143" s="67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9"/>
      <c r="BB143" s="67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9"/>
      <c r="BN143" s="67"/>
      <c r="BO143" s="68"/>
      <c r="BP143" s="68"/>
      <c r="BQ143" s="68"/>
      <c r="BR143" s="68"/>
      <c r="BS143" s="68"/>
      <c r="BT143" s="68"/>
      <c r="BU143" s="68"/>
      <c r="BV143" s="68"/>
      <c r="BW143" s="68"/>
      <c r="BX143" s="68"/>
      <c r="BY143" s="69"/>
      <c r="BZ143" s="67"/>
      <c r="CA143" s="68"/>
      <c r="CB143" s="68"/>
      <c r="CC143" s="68"/>
      <c r="CD143" s="68"/>
      <c r="CE143" s="68"/>
      <c r="CF143" s="68"/>
      <c r="CG143" s="68"/>
      <c r="CH143" s="68"/>
      <c r="CI143" s="68"/>
      <c r="CJ143" s="68"/>
      <c r="CK143" s="68"/>
      <c r="CL143" s="67">
        <v>3573650.94</v>
      </c>
      <c r="CM143" s="68">
        <v>4505192.42</v>
      </c>
      <c r="CN143" s="68">
        <v>6025699.8300000001</v>
      </c>
      <c r="CO143" s="68">
        <v>2615352.12</v>
      </c>
      <c r="CP143" s="68">
        <v>5152536.1200000104</v>
      </c>
      <c r="CQ143" s="68">
        <v>4523363.5</v>
      </c>
      <c r="CR143" s="68">
        <v>2913767.95</v>
      </c>
      <c r="CS143" s="68">
        <v>6138065.4800000004</v>
      </c>
      <c r="CT143" s="68">
        <v>5872842.96</v>
      </c>
      <c r="CU143" s="68">
        <v>4772419.6500000004</v>
      </c>
      <c r="CV143" s="68">
        <v>3110152.77</v>
      </c>
      <c r="CW143" s="69">
        <v>9177617.6999999993</v>
      </c>
      <c r="CX143" s="67">
        <v>3853394.44</v>
      </c>
      <c r="CY143" s="68">
        <v>1640129.33</v>
      </c>
      <c r="CZ143" s="68">
        <v>8519754.9900000002</v>
      </c>
      <c r="DA143" s="68">
        <v>6327561.1900000004</v>
      </c>
      <c r="DB143" s="68">
        <v>5336289.8400000101</v>
      </c>
      <c r="DC143" s="68">
        <v>5156467.1200000104</v>
      </c>
      <c r="DD143" s="68">
        <v>4564730.5999999996</v>
      </c>
      <c r="DE143" s="68">
        <v>5589535.3499999996</v>
      </c>
      <c r="DF143" s="68">
        <v>4053275.86</v>
      </c>
      <c r="DG143" s="68">
        <v>9566505.1999999993</v>
      </c>
      <c r="DH143" s="68">
        <v>2162806.02</v>
      </c>
      <c r="DI143" s="69">
        <v>3175131.23</v>
      </c>
      <c r="DJ143" s="67">
        <v>5536673.8800000101</v>
      </c>
      <c r="DK143" s="68">
        <v>4300280.2699999996</v>
      </c>
      <c r="DL143" s="68">
        <v>5807149.2000000104</v>
      </c>
      <c r="DM143" s="68">
        <v>8234781.9800000098</v>
      </c>
      <c r="DN143" s="68">
        <v>2175484.1599999899</v>
      </c>
      <c r="DO143" s="68">
        <v>4610413.33</v>
      </c>
      <c r="DP143" s="68">
        <v>4653281.75</v>
      </c>
      <c r="DQ143" s="68">
        <v>4996181.6100000003</v>
      </c>
      <c r="DR143" s="68">
        <v>5017138.6900000097</v>
      </c>
      <c r="DS143" s="68">
        <v>5157752.22</v>
      </c>
      <c r="DT143" s="68">
        <v>6081931.5999999996</v>
      </c>
      <c r="DU143" s="69">
        <v>5914938.5800000001</v>
      </c>
      <c r="DV143" s="61">
        <v>3612271.65</v>
      </c>
      <c r="DW143" s="61">
        <v>3581008.55</v>
      </c>
      <c r="DX143" s="61">
        <v>10432641.289999999</v>
      </c>
      <c r="DY143" s="61">
        <v>7162067.3799999999</v>
      </c>
      <c r="DZ143" s="79">
        <v>5662218.6100000003</v>
      </c>
      <c r="EB143" s="79"/>
      <c r="EC143" s="79"/>
      <c r="ED143" s="79"/>
      <c r="EE143" s="79"/>
      <c r="EF143" s="79"/>
      <c r="EG143" s="79"/>
      <c r="EH143" s="62"/>
      <c r="EI143" s="62"/>
      <c r="EJ143" s="62"/>
      <c r="EK143" s="62"/>
      <c r="EL143" s="62"/>
      <c r="EM143" s="62"/>
      <c r="EN143" s="62"/>
      <c r="EO143" s="62"/>
      <c r="EP143" s="62"/>
      <c r="EQ143" s="62"/>
      <c r="ER143" s="62"/>
      <c r="ES143" s="62"/>
      <c r="ET143" s="62"/>
      <c r="EU143" s="62"/>
      <c r="EV143" s="62"/>
      <c r="EW143" s="62"/>
      <c r="EX143" s="62"/>
      <c r="EY143" s="62"/>
      <c r="EZ143" s="62"/>
      <c r="FA143" s="62"/>
      <c r="FB143" s="62"/>
      <c r="FC143" s="62"/>
      <c r="FD143" s="62"/>
      <c r="FE143" s="62"/>
      <c r="FF143" s="62"/>
      <c r="FG143" s="62"/>
      <c r="FH143" s="62"/>
      <c r="FI143" s="62"/>
      <c r="FJ143" s="62"/>
      <c r="FK143" s="62"/>
      <c r="FL143" s="62"/>
      <c r="FM143" s="62"/>
      <c r="FN143" s="62"/>
      <c r="FO143" s="62"/>
      <c r="FP143" s="62"/>
      <c r="FQ143" s="62"/>
      <c r="FR143" s="62"/>
      <c r="FS143" s="62"/>
      <c r="FT143" s="62"/>
      <c r="FU143" s="62"/>
      <c r="FV143" s="62"/>
      <c r="FW143" s="62"/>
      <c r="FX143" s="62"/>
      <c r="FY143" s="62"/>
      <c r="FZ143" s="62"/>
      <c r="GA143" s="62"/>
      <c r="GB143" s="62"/>
      <c r="GC143" s="62"/>
      <c r="GD143" s="62"/>
      <c r="GF143" s="62"/>
      <c r="GG143" s="62"/>
      <c r="GH143" s="62"/>
      <c r="GI143" s="62"/>
      <c r="GJ143" s="62"/>
      <c r="GK143" s="62"/>
      <c r="GL143" s="62"/>
      <c r="GM143" s="62"/>
      <c r="GN143" s="62"/>
      <c r="GO143" s="62"/>
      <c r="GP143" s="62"/>
      <c r="GQ143" s="62"/>
      <c r="GR143" s="62"/>
      <c r="GS143" s="62"/>
      <c r="GT143" s="62"/>
      <c r="GU143" s="62"/>
      <c r="GV143" s="62"/>
      <c r="GW143" s="62"/>
      <c r="GX143" s="62"/>
      <c r="GY143" s="62"/>
      <c r="GZ143" s="62"/>
      <c r="HA143" s="62"/>
      <c r="HB143" s="62"/>
      <c r="HC143" s="62"/>
      <c r="HD143" s="62"/>
      <c r="HE143" s="62"/>
      <c r="HF143" s="62"/>
      <c r="HG143" s="62"/>
      <c r="HH143" s="62"/>
      <c r="HI143" s="62"/>
      <c r="HJ143" s="62"/>
      <c r="HK143" s="62"/>
      <c r="HL143" s="62"/>
      <c r="HM143" s="62"/>
      <c r="HN143" s="62"/>
      <c r="HO143" s="62"/>
      <c r="HP143" s="62"/>
      <c r="HQ143" s="62"/>
      <c r="HR143" s="62"/>
      <c r="HS143" s="62"/>
      <c r="HT143" s="62"/>
      <c r="HU143" s="62"/>
      <c r="HV143" s="62"/>
      <c r="HW143" s="62"/>
      <c r="HX143" s="62"/>
      <c r="HY143" s="62"/>
      <c r="HZ143" s="62"/>
      <c r="IA143" s="62"/>
      <c r="IB143" s="62"/>
      <c r="IC143" s="62"/>
      <c r="ID143" s="62"/>
      <c r="IE143" s="62"/>
      <c r="IF143" s="62"/>
      <c r="IG143" s="62"/>
      <c r="IH143" s="62"/>
      <c r="II143" s="62"/>
      <c r="IJ143" s="62"/>
      <c r="IK143" s="62"/>
      <c r="IL143" s="62"/>
      <c r="IM143" s="62"/>
      <c r="IN143" s="62"/>
      <c r="IO143" s="62"/>
      <c r="IP143" s="62"/>
      <c r="IQ143" s="62"/>
      <c r="IR143" s="62"/>
      <c r="IS143" s="62"/>
      <c r="IT143" s="62"/>
      <c r="IU143" s="62"/>
      <c r="IV143" s="62"/>
      <c r="IW143" s="62"/>
      <c r="IX143" s="62"/>
      <c r="IY143" s="62"/>
      <c r="IZ143" s="62"/>
      <c r="JA143" s="62"/>
      <c r="JB143" s="62"/>
      <c r="JC143" s="62"/>
      <c r="JD143" s="62"/>
      <c r="JE143" s="62"/>
      <c r="JF143" s="62"/>
      <c r="JG143" s="62"/>
      <c r="JH143" s="62"/>
      <c r="JI143" s="62"/>
      <c r="JJ143" s="62"/>
      <c r="JK143" s="62"/>
      <c r="JL143" s="62"/>
      <c r="JM143" s="62"/>
      <c r="JN143" s="62"/>
      <c r="JO143" s="62"/>
      <c r="JP143" s="62"/>
      <c r="JQ143" s="62"/>
      <c r="JR143" s="62"/>
      <c r="JS143" s="62"/>
      <c r="JT143" s="62"/>
      <c r="JU143" s="62"/>
      <c r="JV143" s="62"/>
      <c r="JW143" s="62"/>
      <c r="JX143" s="62"/>
      <c r="JY143" s="62"/>
      <c r="JZ143" s="62"/>
      <c r="KA143" s="62"/>
      <c r="KB143" s="62"/>
      <c r="KC143" s="62"/>
      <c r="KD143" s="62"/>
      <c r="KE143" s="62"/>
      <c r="KF143" s="62"/>
      <c r="KG143" s="62"/>
      <c r="KH143" s="62"/>
      <c r="KI143" s="62"/>
      <c r="KJ143" s="62"/>
      <c r="KK143" s="62"/>
      <c r="KL143" s="62"/>
      <c r="KM143" s="62"/>
      <c r="KN143" s="62"/>
      <c r="KO143" s="62"/>
      <c r="KP143" s="62"/>
      <c r="KQ143" s="62"/>
      <c r="KR143" s="62"/>
      <c r="KS143" s="62"/>
      <c r="KT143" s="62"/>
      <c r="KU143" s="62"/>
      <c r="KV143" s="62"/>
      <c r="KW143" s="62"/>
      <c r="KX143" s="62"/>
      <c r="KY143" s="62"/>
      <c r="KZ143" s="62"/>
      <c r="LA143" s="62"/>
      <c r="LB143" s="62"/>
      <c r="LC143" s="62"/>
      <c r="LD143" s="62"/>
      <c r="LE143" s="62"/>
      <c r="LF143" s="62"/>
      <c r="LG143" s="62"/>
      <c r="LH143" s="62"/>
      <c r="LI143" s="62"/>
    </row>
    <row r="144" spans="1:321">
      <c r="D144" s="59">
        <v>4312</v>
      </c>
      <c r="E144" s="60" t="s">
        <v>444</v>
      </c>
      <c r="F144" s="67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9"/>
      <c r="R144" s="67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67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9"/>
      <c r="AP144" s="67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9"/>
      <c r="BB144" s="67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9"/>
      <c r="BN144" s="67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9"/>
      <c r="BZ144" s="67"/>
      <c r="CA144" s="68"/>
      <c r="CB144" s="68"/>
      <c r="CC144" s="68"/>
      <c r="CD144" s="68"/>
      <c r="CE144" s="68"/>
      <c r="CF144" s="68"/>
      <c r="CG144" s="68"/>
      <c r="CH144" s="68"/>
      <c r="CI144" s="68"/>
      <c r="CJ144" s="68"/>
      <c r="CK144" s="68"/>
      <c r="CL144" s="67">
        <v>248962.44</v>
      </c>
      <c r="CM144" s="68">
        <v>252365.31</v>
      </c>
      <c r="CN144" s="68">
        <v>0</v>
      </c>
      <c r="CO144" s="68">
        <v>259865.03</v>
      </c>
      <c r="CP144" s="68">
        <v>11196.53</v>
      </c>
      <c r="CQ144" s="68">
        <v>257246.21</v>
      </c>
      <c r="CR144" s="68">
        <v>200</v>
      </c>
      <c r="CS144" s="68">
        <v>268390.82</v>
      </c>
      <c r="CT144" s="68">
        <v>1757</v>
      </c>
      <c r="CU144" s="68">
        <v>450</v>
      </c>
      <c r="CV144" s="68">
        <v>53573.08</v>
      </c>
      <c r="CW144" s="69">
        <v>1500728.43</v>
      </c>
      <c r="CX144" s="67">
        <v>99665.95</v>
      </c>
      <c r="CY144" s="68">
        <v>381698.57</v>
      </c>
      <c r="CZ144" s="68">
        <v>433969.12</v>
      </c>
      <c r="DA144" s="68">
        <v>55645.07</v>
      </c>
      <c r="DB144" s="68">
        <v>469121.2</v>
      </c>
      <c r="DC144" s="68">
        <v>873450.42</v>
      </c>
      <c r="DD144" s="68">
        <v>383008.91</v>
      </c>
      <c r="DE144" s="68">
        <v>800416.67</v>
      </c>
      <c r="DF144" s="68">
        <v>311688.28999999998</v>
      </c>
      <c r="DG144" s="68">
        <v>745448.95999999996</v>
      </c>
      <c r="DH144" s="68">
        <v>9994.48</v>
      </c>
      <c r="DI144" s="69">
        <v>1998310.47</v>
      </c>
      <c r="DJ144" s="67">
        <v>1177476.83</v>
      </c>
      <c r="DK144" s="68">
        <v>416971.6</v>
      </c>
      <c r="DL144" s="68">
        <v>1545683.84</v>
      </c>
      <c r="DM144" s="68">
        <v>2973747.06</v>
      </c>
      <c r="DN144" s="68">
        <v>1626606.61</v>
      </c>
      <c r="DO144" s="68">
        <v>151911.45000000001</v>
      </c>
      <c r="DP144" s="68">
        <v>2854382.15</v>
      </c>
      <c r="DQ144" s="68">
        <v>1797132.86</v>
      </c>
      <c r="DR144" s="68">
        <v>1733810.68</v>
      </c>
      <c r="DS144" s="68">
        <v>1606402.17</v>
      </c>
      <c r="DT144" s="68">
        <v>493304.17</v>
      </c>
      <c r="DU144" s="69">
        <v>4673911.55</v>
      </c>
      <c r="DV144" s="61">
        <v>117683.84</v>
      </c>
      <c r="DW144" s="61">
        <v>1736761.83</v>
      </c>
      <c r="DX144" s="61">
        <v>2593457.83</v>
      </c>
      <c r="DY144" s="61">
        <v>3024939.89</v>
      </c>
      <c r="DZ144" s="79">
        <v>1118400.17</v>
      </c>
      <c r="EB144" s="79"/>
      <c r="EC144" s="79"/>
      <c r="ED144" s="79"/>
      <c r="EE144" s="79"/>
      <c r="EF144" s="79"/>
      <c r="EG144" s="79"/>
      <c r="EH144" s="62"/>
      <c r="EI144" s="62"/>
      <c r="EJ144" s="62"/>
      <c r="EK144" s="62"/>
      <c r="EL144" s="62"/>
      <c r="EM144" s="62"/>
      <c r="EN144" s="62"/>
      <c r="EO144" s="62"/>
      <c r="EP144" s="62"/>
      <c r="EQ144" s="62"/>
      <c r="ER144" s="62"/>
      <c r="ES144" s="62"/>
      <c r="ET144" s="62"/>
      <c r="EU144" s="62"/>
      <c r="EV144" s="62"/>
      <c r="EW144" s="62"/>
      <c r="EX144" s="62"/>
      <c r="EY144" s="62"/>
      <c r="EZ144" s="62"/>
      <c r="FA144" s="62"/>
      <c r="FB144" s="62"/>
      <c r="FC144" s="62"/>
      <c r="FD144" s="62"/>
      <c r="FE144" s="62"/>
      <c r="FF144" s="62"/>
      <c r="FG144" s="62"/>
      <c r="FH144" s="62"/>
      <c r="FI144" s="62"/>
      <c r="FJ144" s="62"/>
      <c r="FK144" s="62"/>
      <c r="FL144" s="62"/>
      <c r="FM144" s="62"/>
      <c r="FN144" s="62"/>
      <c r="FO144" s="62"/>
      <c r="FP144" s="62"/>
      <c r="FQ144" s="62"/>
      <c r="FR144" s="62"/>
      <c r="FS144" s="62"/>
      <c r="FT144" s="62"/>
      <c r="FU144" s="62"/>
      <c r="FV144" s="62"/>
      <c r="FW144" s="62"/>
      <c r="FX144" s="62"/>
      <c r="FY144" s="62"/>
      <c r="FZ144" s="62"/>
      <c r="GA144" s="62"/>
      <c r="GB144" s="62"/>
      <c r="GC144" s="62"/>
      <c r="GD144" s="62"/>
      <c r="GF144" s="62"/>
      <c r="GG144" s="62"/>
      <c r="GH144" s="62"/>
      <c r="GI144" s="62"/>
      <c r="GJ144" s="62"/>
      <c r="GK144" s="62"/>
      <c r="GL144" s="62"/>
      <c r="GM144" s="62"/>
      <c r="GN144" s="62"/>
      <c r="GO144" s="62"/>
      <c r="GP144" s="62"/>
      <c r="GQ144" s="62"/>
      <c r="GR144" s="62"/>
      <c r="GS144" s="62"/>
      <c r="GT144" s="62"/>
      <c r="GU144" s="62"/>
      <c r="GV144" s="62"/>
      <c r="GW144" s="62"/>
      <c r="GX144" s="62"/>
      <c r="GY144" s="62"/>
      <c r="GZ144" s="62"/>
      <c r="HA144" s="62"/>
      <c r="HB144" s="62"/>
      <c r="HC144" s="62"/>
      <c r="HD144" s="62"/>
      <c r="HE144" s="62"/>
      <c r="HF144" s="62"/>
      <c r="HG144" s="62"/>
      <c r="HH144" s="62"/>
      <c r="HI144" s="62"/>
      <c r="HJ144" s="62"/>
      <c r="HK144" s="62"/>
      <c r="HL144" s="62"/>
      <c r="HM144" s="62"/>
      <c r="HN144" s="62"/>
      <c r="HO144" s="62"/>
      <c r="HP144" s="62"/>
      <c r="HQ144" s="62"/>
      <c r="HR144" s="62"/>
      <c r="HS144" s="62"/>
      <c r="HT144" s="62"/>
      <c r="HU144" s="62"/>
      <c r="HV144" s="62"/>
      <c r="HW144" s="62"/>
      <c r="HX144" s="62"/>
      <c r="HY144" s="62"/>
      <c r="HZ144" s="62"/>
      <c r="IA144" s="62"/>
      <c r="IB144" s="62"/>
      <c r="IC144" s="62"/>
      <c r="ID144" s="62"/>
      <c r="IE144" s="62"/>
      <c r="IF144" s="62"/>
      <c r="IG144" s="62"/>
      <c r="IH144" s="62"/>
      <c r="II144" s="62"/>
      <c r="IJ144" s="62"/>
      <c r="IK144" s="62"/>
      <c r="IL144" s="62"/>
      <c r="IM144" s="62"/>
      <c r="IN144" s="62"/>
      <c r="IO144" s="62"/>
      <c r="IP144" s="62"/>
      <c r="IQ144" s="62"/>
      <c r="IR144" s="62"/>
      <c r="IS144" s="62"/>
      <c r="IT144" s="62"/>
      <c r="IU144" s="62"/>
      <c r="IV144" s="62"/>
      <c r="IW144" s="62"/>
      <c r="IX144" s="62"/>
      <c r="IY144" s="62"/>
      <c r="IZ144" s="62"/>
      <c r="JA144" s="62"/>
      <c r="JB144" s="62"/>
      <c r="JC144" s="62"/>
      <c r="JD144" s="62"/>
      <c r="JE144" s="62"/>
      <c r="JF144" s="62"/>
      <c r="JG144" s="62"/>
      <c r="JH144" s="62"/>
      <c r="JI144" s="62"/>
      <c r="JJ144" s="62"/>
      <c r="JK144" s="62"/>
      <c r="JL144" s="62"/>
      <c r="JM144" s="62"/>
      <c r="JN144" s="62"/>
      <c r="JO144" s="62"/>
      <c r="JP144" s="62"/>
      <c r="JQ144" s="62"/>
      <c r="JR144" s="62"/>
      <c r="JS144" s="62"/>
      <c r="JT144" s="62"/>
      <c r="JU144" s="62"/>
      <c r="JV144" s="62"/>
      <c r="JW144" s="62"/>
      <c r="JX144" s="62"/>
      <c r="JY144" s="62"/>
      <c r="JZ144" s="62"/>
      <c r="KA144" s="62"/>
      <c r="KB144" s="62"/>
      <c r="KC144" s="62"/>
      <c r="KD144" s="62"/>
      <c r="KE144" s="62"/>
      <c r="KF144" s="62"/>
      <c r="KG144" s="62"/>
      <c r="KH144" s="62"/>
      <c r="KI144" s="62"/>
      <c r="KJ144" s="62"/>
      <c r="KK144" s="62"/>
      <c r="KL144" s="62"/>
      <c r="KM144" s="62"/>
      <c r="KN144" s="62"/>
      <c r="KO144" s="62"/>
      <c r="KP144" s="62"/>
      <c r="KQ144" s="62"/>
      <c r="KR144" s="62"/>
      <c r="KS144" s="62"/>
      <c r="KT144" s="62"/>
      <c r="KU144" s="62"/>
      <c r="KV144" s="62"/>
      <c r="KW144" s="62"/>
      <c r="KX144" s="62"/>
      <c r="KY144" s="62"/>
      <c r="KZ144" s="62"/>
      <c r="LA144" s="62"/>
      <c r="LB144" s="62"/>
      <c r="LC144" s="62"/>
      <c r="LD144" s="62"/>
      <c r="LE144" s="62"/>
      <c r="LF144" s="62"/>
      <c r="LG144" s="62"/>
      <c r="LH144" s="62"/>
      <c r="LI144" s="62"/>
    </row>
    <row r="145" spans="1:321" ht="30">
      <c r="D145" s="59">
        <v>4313</v>
      </c>
      <c r="E145" s="60" t="s">
        <v>445</v>
      </c>
      <c r="F145" s="67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9"/>
      <c r="R145" s="67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67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9"/>
      <c r="AP145" s="67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9"/>
      <c r="BB145" s="67"/>
      <c r="BC145" s="68"/>
      <c r="BD145" s="68"/>
      <c r="BE145" s="68"/>
      <c r="BF145" s="68"/>
      <c r="BG145" s="68"/>
      <c r="BH145" s="68"/>
      <c r="BI145" s="68"/>
      <c r="BJ145" s="68"/>
      <c r="BK145" s="68"/>
      <c r="BL145" s="68"/>
      <c r="BM145" s="69"/>
      <c r="BN145" s="67"/>
      <c r="BO145" s="68"/>
      <c r="BP145" s="68"/>
      <c r="BQ145" s="68"/>
      <c r="BR145" s="68"/>
      <c r="BS145" s="68"/>
      <c r="BT145" s="68"/>
      <c r="BU145" s="68"/>
      <c r="BV145" s="68"/>
      <c r="BW145" s="68"/>
      <c r="BX145" s="68"/>
      <c r="BY145" s="69"/>
      <c r="BZ145" s="67"/>
      <c r="CA145" s="68"/>
      <c r="CB145" s="68"/>
      <c r="CC145" s="68"/>
      <c r="CD145" s="68"/>
      <c r="CE145" s="68"/>
      <c r="CF145" s="68"/>
      <c r="CG145" s="68"/>
      <c r="CH145" s="68"/>
      <c r="CI145" s="68"/>
      <c r="CJ145" s="68"/>
      <c r="CK145" s="68"/>
      <c r="CL145" s="67">
        <v>246666.67</v>
      </c>
      <c r="CM145" s="68">
        <v>308916.67</v>
      </c>
      <c r="CN145" s="68">
        <v>385415.67</v>
      </c>
      <c r="CO145" s="68">
        <v>779576.67</v>
      </c>
      <c r="CP145" s="68">
        <v>457682.03</v>
      </c>
      <c r="CQ145" s="68">
        <v>285623.46999999997</v>
      </c>
      <c r="CR145" s="68">
        <v>363833.34</v>
      </c>
      <c r="CS145" s="68">
        <v>287350</v>
      </c>
      <c r="CT145" s="68">
        <v>500733.34</v>
      </c>
      <c r="CU145" s="68">
        <v>147416.67000000001</v>
      </c>
      <c r="CV145" s="68">
        <v>104666</v>
      </c>
      <c r="CW145" s="69">
        <v>141155</v>
      </c>
      <c r="CX145" s="67">
        <v>255500</v>
      </c>
      <c r="CY145" s="68">
        <v>233100</v>
      </c>
      <c r="CZ145" s="68">
        <v>232640</v>
      </c>
      <c r="DA145" s="68">
        <v>369303.35</v>
      </c>
      <c r="DB145" s="68">
        <v>347953.34</v>
      </c>
      <c r="DC145" s="68">
        <v>435633.33</v>
      </c>
      <c r="DD145" s="68">
        <v>276511.67</v>
      </c>
      <c r="DE145" s="68">
        <v>139333.5</v>
      </c>
      <c r="DF145" s="68">
        <v>364603.31</v>
      </c>
      <c r="DG145" s="68">
        <v>363353.02</v>
      </c>
      <c r="DH145" s="68">
        <v>624811.14</v>
      </c>
      <c r="DI145" s="69">
        <v>535620</v>
      </c>
      <c r="DJ145" s="67">
        <v>225520</v>
      </c>
      <c r="DK145" s="68">
        <v>245350</v>
      </c>
      <c r="DL145" s="68">
        <v>299100</v>
      </c>
      <c r="DM145" s="68">
        <v>460704</v>
      </c>
      <c r="DN145" s="68">
        <v>929500</v>
      </c>
      <c r="DO145" s="68">
        <v>178500</v>
      </c>
      <c r="DP145" s="68">
        <v>245700</v>
      </c>
      <c r="DQ145" s="68">
        <v>152220</v>
      </c>
      <c r="DR145" s="68">
        <v>412220</v>
      </c>
      <c r="DS145" s="68">
        <v>204373.3</v>
      </c>
      <c r="DT145" s="68">
        <v>1808570</v>
      </c>
      <c r="DU145" s="69">
        <v>1176730.98</v>
      </c>
      <c r="DV145" s="61">
        <v>150630</v>
      </c>
      <c r="DW145" s="61">
        <v>537020</v>
      </c>
      <c r="DX145" s="61">
        <v>896220</v>
      </c>
      <c r="DY145" s="61">
        <v>1033230</v>
      </c>
      <c r="DZ145" s="79">
        <v>880300</v>
      </c>
      <c r="EB145" s="79"/>
      <c r="EC145" s="79"/>
      <c r="ED145" s="79"/>
      <c r="EE145" s="79"/>
      <c r="EF145" s="79"/>
      <c r="EG145" s="79"/>
      <c r="EH145" s="62"/>
      <c r="EI145" s="62"/>
      <c r="EJ145" s="62"/>
      <c r="EK145" s="62"/>
      <c r="EL145" s="62"/>
      <c r="EM145" s="62"/>
      <c r="EN145" s="62"/>
      <c r="EO145" s="62"/>
      <c r="EP145" s="62"/>
      <c r="EQ145" s="62"/>
      <c r="ER145" s="62"/>
      <c r="ES145" s="62"/>
      <c r="ET145" s="62"/>
      <c r="EU145" s="62"/>
      <c r="EV145" s="62"/>
      <c r="EW145" s="62"/>
      <c r="EX145" s="62"/>
      <c r="EY145" s="62"/>
      <c r="EZ145" s="62"/>
      <c r="FA145" s="62"/>
      <c r="FB145" s="62"/>
      <c r="FC145" s="62"/>
      <c r="FD145" s="62"/>
      <c r="FE145" s="62"/>
      <c r="FF145" s="62"/>
      <c r="FG145" s="62"/>
      <c r="FH145" s="62"/>
      <c r="FI145" s="62"/>
      <c r="FJ145" s="62"/>
      <c r="FK145" s="62"/>
      <c r="FL145" s="62"/>
      <c r="FM145" s="62"/>
      <c r="FN145" s="62"/>
      <c r="FO145" s="62"/>
      <c r="FP145" s="62"/>
      <c r="FQ145" s="62"/>
      <c r="FR145" s="62"/>
      <c r="FS145" s="62"/>
      <c r="FT145" s="62"/>
      <c r="FU145" s="62"/>
      <c r="FV145" s="62"/>
      <c r="FW145" s="62"/>
      <c r="FX145" s="62"/>
      <c r="FY145" s="62"/>
      <c r="FZ145" s="62"/>
      <c r="GA145" s="62"/>
      <c r="GB145" s="62"/>
      <c r="GC145" s="62"/>
      <c r="GD145" s="62"/>
      <c r="GF145" s="62"/>
      <c r="GG145" s="62"/>
      <c r="GH145" s="62"/>
      <c r="GI145" s="62"/>
      <c r="GJ145" s="62"/>
      <c r="GK145" s="62"/>
      <c r="GL145" s="62"/>
      <c r="GM145" s="62"/>
      <c r="GN145" s="62"/>
      <c r="GO145" s="62"/>
      <c r="GP145" s="62"/>
      <c r="GQ145" s="62"/>
      <c r="GR145" s="62"/>
      <c r="GS145" s="62"/>
      <c r="GT145" s="62"/>
      <c r="GU145" s="62"/>
      <c r="GV145" s="62"/>
      <c r="GW145" s="62"/>
      <c r="GX145" s="62"/>
      <c r="GY145" s="62"/>
      <c r="GZ145" s="62"/>
      <c r="HA145" s="62"/>
      <c r="HB145" s="62"/>
      <c r="HC145" s="62"/>
      <c r="HD145" s="62"/>
      <c r="HE145" s="62"/>
      <c r="HF145" s="62"/>
      <c r="HG145" s="62"/>
      <c r="HH145" s="62"/>
      <c r="HI145" s="62"/>
      <c r="HJ145" s="62"/>
      <c r="HK145" s="62"/>
      <c r="HL145" s="62"/>
      <c r="HM145" s="62"/>
      <c r="HN145" s="62"/>
      <c r="HO145" s="62"/>
      <c r="HP145" s="62"/>
      <c r="HQ145" s="62"/>
      <c r="HR145" s="62"/>
      <c r="HS145" s="62"/>
      <c r="HT145" s="62"/>
      <c r="HU145" s="62"/>
      <c r="HV145" s="62"/>
      <c r="HW145" s="62"/>
      <c r="HX145" s="62"/>
      <c r="HY145" s="62"/>
      <c r="HZ145" s="62"/>
      <c r="IA145" s="62"/>
      <c r="IB145" s="62"/>
      <c r="IC145" s="62"/>
      <c r="ID145" s="62"/>
      <c r="IE145" s="62"/>
      <c r="IF145" s="62"/>
      <c r="IG145" s="62"/>
      <c r="IH145" s="62"/>
      <c r="II145" s="62"/>
      <c r="IJ145" s="62"/>
      <c r="IK145" s="62"/>
      <c r="IL145" s="62"/>
      <c r="IM145" s="62"/>
      <c r="IN145" s="62"/>
      <c r="IO145" s="62"/>
      <c r="IP145" s="62"/>
      <c r="IQ145" s="62"/>
      <c r="IR145" s="62"/>
      <c r="IS145" s="62"/>
      <c r="IT145" s="62"/>
      <c r="IU145" s="62"/>
      <c r="IV145" s="62"/>
      <c r="IW145" s="62"/>
      <c r="IX145" s="62"/>
      <c r="IY145" s="62"/>
      <c r="IZ145" s="62"/>
      <c r="JA145" s="62"/>
      <c r="JB145" s="62"/>
      <c r="JC145" s="62"/>
      <c r="JD145" s="62"/>
      <c r="JE145" s="62"/>
      <c r="JF145" s="62"/>
      <c r="JG145" s="62"/>
      <c r="JH145" s="62"/>
      <c r="JI145" s="62"/>
      <c r="JJ145" s="62"/>
      <c r="JK145" s="62"/>
      <c r="JL145" s="62"/>
      <c r="JM145" s="62"/>
      <c r="JN145" s="62"/>
      <c r="JO145" s="62"/>
      <c r="JP145" s="62"/>
      <c r="JQ145" s="62"/>
      <c r="JR145" s="62"/>
      <c r="JS145" s="62"/>
      <c r="JT145" s="62"/>
      <c r="JU145" s="62"/>
      <c r="JV145" s="62"/>
      <c r="JW145" s="62"/>
      <c r="JX145" s="62"/>
      <c r="JY145" s="62"/>
      <c r="JZ145" s="62"/>
      <c r="KA145" s="62"/>
      <c r="KB145" s="62"/>
      <c r="KC145" s="62"/>
      <c r="KD145" s="62"/>
      <c r="KE145" s="62"/>
      <c r="KF145" s="62"/>
      <c r="KG145" s="62"/>
      <c r="KH145" s="62"/>
      <c r="KI145" s="62"/>
      <c r="KJ145" s="62"/>
      <c r="KK145" s="62"/>
      <c r="KL145" s="62"/>
      <c r="KM145" s="62"/>
      <c r="KN145" s="62"/>
      <c r="KO145" s="62"/>
      <c r="KP145" s="62"/>
      <c r="KQ145" s="62"/>
      <c r="KR145" s="62"/>
      <c r="KS145" s="62"/>
      <c r="KT145" s="62"/>
      <c r="KU145" s="62"/>
      <c r="KV145" s="62"/>
      <c r="KW145" s="62"/>
      <c r="KX145" s="62"/>
      <c r="KY145" s="62"/>
      <c r="KZ145" s="62"/>
      <c r="LA145" s="62"/>
      <c r="LB145" s="62"/>
      <c r="LC145" s="62"/>
      <c r="LD145" s="62"/>
      <c r="LE145" s="62"/>
      <c r="LF145" s="62"/>
      <c r="LG145" s="62"/>
      <c r="LH145" s="62"/>
      <c r="LI145" s="62"/>
    </row>
    <row r="146" spans="1:321" ht="30">
      <c r="D146" s="59">
        <v>4314</v>
      </c>
      <c r="E146" s="60" t="s">
        <v>446</v>
      </c>
      <c r="F146" s="67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9"/>
      <c r="R146" s="67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67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9"/>
      <c r="AP146" s="67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9"/>
      <c r="BB146" s="67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9"/>
      <c r="BN146" s="67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9"/>
      <c r="BZ146" s="67"/>
      <c r="CA146" s="68"/>
      <c r="CB146" s="68"/>
      <c r="CC146" s="68"/>
      <c r="CD146" s="68"/>
      <c r="CE146" s="68"/>
      <c r="CF146" s="68"/>
      <c r="CG146" s="68"/>
      <c r="CH146" s="68"/>
      <c r="CI146" s="68"/>
      <c r="CJ146" s="68"/>
      <c r="CK146" s="68"/>
      <c r="CL146" s="67">
        <v>0</v>
      </c>
      <c r="CM146" s="68">
        <v>45833.34</v>
      </c>
      <c r="CN146" s="68">
        <v>23116.67</v>
      </c>
      <c r="CO146" s="68">
        <v>0</v>
      </c>
      <c r="CP146" s="68">
        <v>22916.67</v>
      </c>
      <c r="CQ146" s="68">
        <v>22916.67</v>
      </c>
      <c r="CR146" s="68">
        <v>69816.67</v>
      </c>
      <c r="CS146" s="68">
        <v>129466.67</v>
      </c>
      <c r="CT146" s="68">
        <v>136466.67000000001</v>
      </c>
      <c r="CU146" s="68">
        <v>67316.67</v>
      </c>
      <c r="CV146" s="68">
        <v>64700</v>
      </c>
      <c r="CW146" s="69">
        <v>1798665.99</v>
      </c>
      <c r="CX146" s="67">
        <v>9800</v>
      </c>
      <c r="CY146" s="68">
        <v>23187.5</v>
      </c>
      <c r="CZ146" s="68">
        <v>22687.5</v>
      </c>
      <c r="DA146" s="68">
        <v>22687.5</v>
      </c>
      <c r="DB146" s="68">
        <v>45375</v>
      </c>
      <c r="DC146" s="68">
        <v>23337.5</v>
      </c>
      <c r="DD146" s="68">
        <v>96000</v>
      </c>
      <c r="DE146" s="68">
        <v>197875</v>
      </c>
      <c r="DF146" s="68">
        <v>33100</v>
      </c>
      <c r="DG146" s="68">
        <v>118875</v>
      </c>
      <c r="DH146" s="68">
        <v>71787.5</v>
      </c>
      <c r="DI146" s="69">
        <v>1675968.5</v>
      </c>
      <c r="DJ146" s="67">
        <v>0</v>
      </c>
      <c r="DK146" s="68">
        <v>0</v>
      </c>
      <c r="DL146" s="68">
        <v>4320</v>
      </c>
      <c r="DM146" s="68">
        <v>500</v>
      </c>
      <c r="DN146" s="68">
        <v>39480</v>
      </c>
      <c r="DO146" s="68">
        <v>148920</v>
      </c>
      <c r="DP146" s="68">
        <v>53100</v>
      </c>
      <c r="DQ146" s="68">
        <v>135160</v>
      </c>
      <c r="DR146" s="68">
        <v>44150</v>
      </c>
      <c r="DS146" s="68">
        <v>61760</v>
      </c>
      <c r="DT146" s="68">
        <v>95140</v>
      </c>
      <c r="DU146" s="69">
        <v>2352165.5499999998</v>
      </c>
      <c r="DV146" s="61">
        <v>0</v>
      </c>
      <c r="DW146" s="61">
        <v>6000</v>
      </c>
      <c r="DX146" s="61">
        <v>1720</v>
      </c>
      <c r="DY146" s="61">
        <v>32295</v>
      </c>
      <c r="DZ146" s="79">
        <v>131308.32999999999</v>
      </c>
      <c r="EB146" s="79"/>
      <c r="EC146" s="79"/>
      <c r="ED146" s="79"/>
      <c r="EE146" s="79"/>
      <c r="EF146" s="79"/>
      <c r="EG146" s="79"/>
      <c r="EH146" s="62"/>
      <c r="EI146" s="62"/>
      <c r="EJ146" s="62"/>
      <c r="EK146" s="62"/>
      <c r="EL146" s="62"/>
      <c r="EM146" s="62"/>
      <c r="EN146" s="62"/>
      <c r="EO146" s="62"/>
      <c r="EP146" s="62"/>
      <c r="EQ146" s="62"/>
      <c r="ER146" s="62"/>
      <c r="ES146" s="62"/>
      <c r="ET146" s="62"/>
      <c r="EU146" s="62"/>
      <c r="EV146" s="62"/>
      <c r="EW146" s="62"/>
      <c r="EX146" s="62"/>
      <c r="EY146" s="62"/>
      <c r="EZ146" s="62"/>
      <c r="FA146" s="62"/>
      <c r="FB146" s="62"/>
      <c r="FC146" s="62"/>
      <c r="FD146" s="62"/>
      <c r="FE146" s="62"/>
      <c r="FF146" s="62"/>
      <c r="FG146" s="62"/>
      <c r="FH146" s="62"/>
      <c r="FI146" s="62"/>
      <c r="FJ146" s="62"/>
      <c r="FK146" s="62"/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GC146" s="62"/>
      <c r="GD146" s="62"/>
      <c r="GF146" s="62"/>
      <c r="GG146" s="62"/>
      <c r="GH146" s="62"/>
      <c r="GI146" s="62"/>
      <c r="GJ146" s="62"/>
      <c r="GK146" s="62"/>
      <c r="GL146" s="62"/>
      <c r="GM146" s="62"/>
      <c r="GN146" s="62"/>
      <c r="GO146" s="62"/>
      <c r="GP146" s="62"/>
      <c r="GQ146" s="62"/>
      <c r="GR146" s="62"/>
      <c r="GS146" s="62"/>
      <c r="GT146" s="62"/>
      <c r="GU146" s="62"/>
      <c r="GV146" s="62"/>
      <c r="GW146" s="62"/>
      <c r="GX146" s="62"/>
      <c r="GY146" s="62"/>
      <c r="GZ146" s="62"/>
      <c r="HA146" s="62"/>
      <c r="HB146" s="62"/>
      <c r="HC146" s="62"/>
      <c r="HD146" s="62"/>
      <c r="HE146" s="62"/>
      <c r="HF146" s="62"/>
      <c r="HG146" s="62"/>
      <c r="HH146" s="62"/>
      <c r="HI146" s="62"/>
      <c r="HJ146" s="62"/>
      <c r="HK146" s="62"/>
      <c r="HL146" s="62"/>
      <c r="HM146" s="62"/>
      <c r="HN146" s="62"/>
      <c r="HO146" s="62"/>
      <c r="HP146" s="62"/>
      <c r="HQ146" s="62"/>
      <c r="HR146" s="62"/>
      <c r="HS146" s="62"/>
      <c r="HT146" s="62"/>
      <c r="HU146" s="62"/>
      <c r="HV146" s="62"/>
      <c r="HW146" s="62"/>
      <c r="HX146" s="62"/>
      <c r="HY146" s="62"/>
      <c r="HZ146" s="62"/>
      <c r="IA146" s="62"/>
      <c r="IB146" s="62"/>
      <c r="IC146" s="62"/>
      <c r="ID146" s="62"/>
      <c r="IE146" s="62"/>
      <c r="IF146" s="62"/>
      <c r="IG146" s="62"/>
      <c r="IH146" s="62"/>
      <c r="II146" s="62"/>
      <c r="IJ146" s="62"/>
      <c r="IK146" s="62"/>
      <c r="IL146" s="62"/>
      <c r="IM146" s="62"/>
      <c r="IN146" s="62"/>
      <c r="IO146" s="62"/>
      <c r="IP146" s="62"/>
      <c r="IQ146" s="62"/>
      <c r="IR146" s="62"/>
      <c r="IS146" s="62"/>
      <c r="IT146" s="62"/>
      <c r="IU146" s="62"/>
      <c r="IV146" s="62"/>
      <c r="IW146" s="62"/>
      <c r="IX146" s="62"/>
      <c r="IY146" s="62"/>
      <c r="IZ146" s="62"/>
      <c r="JA146" s="62"/>
      <c r="JB146" s="62"/>
      <c r="JC146" s="62"/>
      <c r="JD146" s="62"/>
      <c r="JE146" s="62"/>
      <c r="JF146" s="62"/>
      <c r="JG146" s="62"/>
      <c r="JH146" s="62"/>
      <c r="JI146" s="62"/>
      <c r="JJ146" s="62"/>
      <c r="JK146" s="62"/>
      <c r="JL146" s="62"/>
      <c r="JM146" s="62"/>
      <c r="JN146" s="62"/>
      <c r="JO146" s="62"/>
      <c r="JP146" s="62"/>
      <c r="JQ146" s="62"/>
      <c r="JR146" s="62"/>
      <c r="JS146" s="62"/>
      <c r="JT146" s="62"/>
      <c r="JU146" s="62"/>
      <c r="JV146" s="62"/>
      <c r="JW146" s="62"/>
      <c r="JX146" s="62"/>
      <c r="JY146" s="62"/>
      <c r="JZ146" s="62"/>
      <c r="KA146" s="62"/>
      <c r="KB146" s="62"/>
      <c r="KC146" s="62"/>
      <c r="KD146" s="62"/>
      <c r="KE146" s="62"/>
      <c r="KF146" s="62"/>
      <c r="KG146" s="62"/>
      <c r="KH146" s="62"/>
      <c r="KI146" s="62"/>
      <c r="KJ146" s="62"/>
      <c r="KK146" s="62"/>
      <c r="KL146" s="62"/>
      <c r="KM146" s="62"/>
      <c r="KN146" s="62"/>
      <c r="KO146" s="62"/>
      <c r="KP146" s="62"/>
      <c r="KQ146" s="62"/>
      <c r="KR146" s="62"/>
      <c r="KS146" s="62"/>
      <c r="KT146" s="62"/>
      <c r="KU146" s="62"/>
      <c r="KV146" s="62"/>
      <c r="KW146" s="62"/>
      <c r="KX146" s="62"/>
      <c r="KY146" s="62"/>
      <c r="KZ146" s="62"/>
      <c r="LA146" s="62"/>
      <c r="LB146" s="62"/>
      <c r="LC146" s="62"/>
      <c r="LD146" s="62"/>
      <c r="LE146" s="62"/>
      <c r="LF146" s="62"/>
      <c r="LG146" s="62"/>
      <c r="LH146" s="62"/>
      <c r="LI146" s="62"/>
    </row>
    <row r="147" spans="1:321" ht="30">
      <c r="D147" s="59">
        <v>4315</v>
      </c>
      <c r="E147" s="60" t="s">
        <v>447</v>
      </c>
      <c r="F147" s="67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9"/>
      <c r="R147" s="67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67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9"/>
      <c r="AP147" s="67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9"/>
      <c r="BB147" s="67"/>
      <c r="BC147" s="68"/>
      <c r="BD147" s="68"/>
      <c r="BE147" s="68"/>
      <c r="BF147" s="68"/>
      <c r="BG147" s="68"/>
      <c r="BH147" s="68"/>
      <c r="BI147" s="68"/>
      <c r="BJ147" s="68"/>
      <c r="BK147" s="68"/>
      <c r="BL147" s="68"/>
      <c r="BM147" s="69"/>
      <c r="BN147" s="67"/>
      <c r="BO147" s="68"/>
      <c r="BP147" s="68"/>
      <c r="BQ147" s="68"/>
      <c r="BR147" s="68"/>
      <c r="BS147" s="68"/>
      <c r="BT147" s="68"/>
      <c r="BU147" s="68"/>
      <c r="BV147" s="68"/>
      <c r="BW147" s="68"/>
      <c r="BX147" s="68"/>
      <c r="BY147" s="69"/>
      <c r="BZ147" s="67"/>
      <c r="CA147" s="68"/>
      <c r="CB147" s="68"/>
      <c r="CC147" s="68"/>
      <c r="CD147" s="68"/>
      <c r="CE147" s="68"/>
      <c r="CF147" s="68"/>
      <c r="CG147" s="68"/>
      <c r="CH147" s="68"/>
      <c r="CI147" s="68"/>
      <c r="CJ147" s="68"/>
      <c r="CK147" s="68"/>
      <c r="CL147" s="67">
        <v>266748.62</v>
      </c>
      <c r="CM147" s="68">
        <v>316898.53999999998</v>
      </c>
      <c r="CN147" s="68">
        <v>292348.58</v>
      </c>
      <c r="CO147" s="68">
        <v>291648.58</v>
      </c>
      <c r="CP147" s="68">
        <v>266748.62</v>
      </c>
      <c r="CQ147" s="68">
        <v>316748.53999999998</v>
      </c>
      <c r="CR147" s="68">
        <v>275481.90999999997</v>
      </c>
      <c r="CS147" s="68">
        <v>303848.59000000003</v>
      </c>
      <c r="CT147" s="68">
        <v>267648.59000000003</v>
      </c>
      <c r="CU147" s="68">
        <v>298848.58</v>
      </c>
      <c r="CV147" s="68">
        <v>270032.64000000001</v>
      </c>
      <c r="CW147" s="69">
        <v>314977.81</v>
      </c>
      <c r="CX147" s="67">
        <v>299820.38</v>
      </c>
      <c r="CY147" s="68">
        <v>313632.45</v>
      </c>
      <c r="CZ147" s="68">
        <v>320131.87</v>
      </c>
      <c r="DA147" s="68">
        <v>311194.90000000002</v>
      </c>
      <c r="DB147" s="68">
        <v>311194.90000000002</v>
      </c>
      <c r="DC147" s="68">
        <v>311194.90000000002</v>
      </c>
      <c r="DD147" s="68">
        <v>311194.90000000002</v>
      </c>
      <c r="DE147" s="68">
        <v>310591.25</v>
      </c>
      <c r="DF147" s="68">
        <v>311798.55</v>
      </c>
      <c r="DG147" s="68">
        <v>311894.90000000002</v>
      </c>
      <c r="DH147" s="68">
        <v>311844.90000000002</v>
      </c>
      <c r="DI147" s="69">
        <v>312245.31</v>
      </c>
      <c r="DJ147" s="67">
        <v>372755.47</v>
      </c>
      <c r="DK147" s="68">
        <v>372755.46</v>
      </c>
      <c r="DL147" s="68">
        <v>406190.3</v>
      </c>
      <c r="DM147" s="68">
        <v>373755.46</v>
      </c>
      <c r="DN147" s="68">
        <v>390912.02</v>
      </c>
      <c r="DO147" s="68">
        <v>381833.74</v>
      </c>
      <c r="DP147" s="68">
        <v>381383.74</v>
      </c>
      <c r="DQ147" s="68">
        <v>406333.7</v>
      </c>
      <c r="DR147" s="68">
        <v>348750.45</v>
      </c>
      <c r="DS147" s="68">
        <v>388917.07</v>
      </c>
      <c r="DT147" s="68">
        <v>381633.74</v>
      </c>
      <c r="DU147" s="69">
        <v>382732.66</v>
      </c>
      <c r="DV147" s="61">
        <v>428528.32</v>
      </c>
      <c r="DW147" s="61">
        <v>428528.34</v>
      </c>
      <c r="DX147" s="61">
        <v>435428.33</v>
      </c>
      <c r="DY147" s="61">
        <v>428528.33</v>
      </c>
      <c r="DZ147" s="79">
        <v>428528</v>
      </c>
      <c r="EB147" s="79"/>
      <c r="EC147" s="79"/>
      <c r="ED147" s="79"/>
      <c r="EE147" s="79"/>
      <c r="EF147" s="79"/>
      <c r="EG147" s="79"/>
      <c r="EH147" s="62"/>
      <c r="EI147" s="62"/>
      <c r="EJ147" s="62"/>
      <c r="EK147" s="62"/>
      <c r="EL147" s="62"/>
      <c r="EM147" s="62"/>
      <c r="EN147" s="62"/>
      <c r="EO147" s="62"/>
      <c r="EP147" s="62"/>
      <c r="EQ147" s="62"/>
      <c r="ER147" s="62"/>
      <c r="ES147" s="62"/>
      <c r="ET147" s="62"/>
      <c r="EU147" s="62"/>
      <c r="EV147" s="62"/>
      <c r="EW147" s="62"/>
      <c r="EX147" s="62"/>
      <c r="EY147" s="62"/>
      <c r="EZ147" s="62"/>
      <c r="FA147" s="62"/>
      <c r="FB147" s="62"/>
      <c r="FC147" s="62"/>
      <c r="FD147" s="62"/>
      <c r="FE147" s="62"/>
      <c r="FF147" s="62"/>
      <c r="FG147" s="62"/>
      <c r="FH147" s="62"/>
      <c r="FI147" s="62"/>
      <c r="FJ147" s="62"/>
      <c r="FK147" s="62"/>
      <c r="FL147" s="62"/>
      <c r="FM147" s="62"/>
      <c r="FN147" s="62"/>
      <c r="FO147" s="62"/>
      <c r="FP147" s="62"/>
      <c r="FQ147" s="62"/>
      <c r="FR147" s="62"/>
      <c r="FS147" s="62"/>
      <c r="FT147" s="62"/>
      <c r="FU147" s="62"/>
      <c r="FV147" s="62"/>
      <c r="FW147" s="62"/>
      <c r="FX147" s="62"/>
      <c r="FY147" s="62"/>
      <c r="FZ147" s="62"/>
      <c r="GA147" s="62"/>
      <c r="GB147" s="62"/>
      <c r="GC147" s="62"/>
      <c r="GD147" s="62"/>
      <c r="GF147" s="62"/>
      <c r="GG147" s="62"/>
      <c r="GH147" s="62"/>
      <c r="GI147" s="62"/>
      <c r="GJ147" s="62"/>
      <c r="GK147" s="62"/>
      <c r="GL147" s="62"/>
      <c r="GM147" s="62"/>
      <c r="GN147" s="62"/>
      <c r="GO147" s="62"/>
      <c r="GP147" s="62"/>
      <c r="GQ147" s="62"/>
      <c r="GR147" s="62"/>
      <c r="GS147" s="62"/>
      <c r="GT147" s="62"/>
      <c r="GU147" s="62"/>
      <c r="GV147" s="62"/>
      <c r="GW147" s="62"/>
      <c r="GX147" s="62"/>
      <c r="GY147" s="62"/>
      <c r="GZ147" s="62"/>
      <c r="HA147" s="62"/>
      <c r="HB147" s="62"/>
      <c r="HC147" s="62"/>
      <c r="HD147" s="62"/>
      <c r="HE147" s="62"/>
      <c r="HF147" s="62"/>
      <c r="HG147" s="62"/>
      <c r="HH147" s="62"/>
      <c r="HI147" s="62"/>
      <c r="HJ147" s="62"/>
      <c r="HK147" s="62"/>
      <c r="HL147" s="62"/>
      <c r="HM147" s="62"/>
      <c r="HN147" s="62"/>
      <c r="HO147" s="62"/>
      <c r="HP147" s="62"/>
      <c r="HQ147" s="62"/>
      <c r="HR147" s="62"/>
      <c r="HS147" s="62"/>
      <c r="HT147" s="62"/>
      <c r="HU147" s="62"/>
      <c r="HV147" s="62"/>
      <c r="HW147" s="62"/>
      <c r="HX147" s="62"/>
      <c r="HY147" s="62"/>
      <c r="HZ147" s="62"/>
      <c r="IA147" s="62"/>
      <c r="IB147" s="62"/>
      <c r="IC147" s="62"/>
      <c r="ID147" s="62"/>
      <c r="IE147" s="62"/>
      <c r="IF147" s="62"/>
      <c r="IG147" s="62"/>
      <c r="IH147" s="62"/>
      <c r="II147" s="62"/>
      <c r="IJ147" s="62"/>
      <c r="IK147" s="62"/>
      <c r="IL147" s="62"/>
      <c r="IM147" s="62"/>
      <c r="IN147" s="62"/>
      <c r="IO147" s="62"/>
      <c r="IP147" s="62"/>
      <c r="IQ147" s="62"/>
      <c r="IR147" s="62"/>
      <c r="IS147" s="62"/>
      <c r="IT147" s="62"/>
      <c r="IU147" s="62"/>
      <c r="IV147" s="62"/>
      <c r="IW147" s="62"/>
      <c r="IX147" s="62"/>
      <c r="IY147" s="62"/>
      <c r="IZ147" s="62"/>
      <c r="JA147" s="62"/>
      <c r="JB147" s="62"/>
      <c r="JC147" s="62"/>
      <c r="JD147" s="62"/>
      <c r="JE147" s="62"/>
      <c r="JF147" s="62"/>
      <c r="JG147" s="62"/>
      <c r="JH147" s="62"/>
      <c r="JI147" s="62"/>
      <c r="JJ147" s="62"/>
      <c r="JK147" s="62"/>
      <c r="JL147" s="62"/>
      <c r="JM147" s="62"/>
      <c r="JN147" s="62"/>
      <c r="JO147" s="62"/>
      <c r="JP147" s="62"/>
      <c r="JQ147" s="62"/>
      <c r="JR147" s="62"/>
      <c r="JS147" s="62"/>
      <c r="JT147" s="62"/>
      <c r="JU147" s="62"/>
      <c r="JV147" s="62"/>
      <c r="JW147" s="62"/>
      <c r="JX147" s="62"/>
      <c r="JY147" s="62"/>
      <c r="JZ147" s="62"/>
      <c r="KA147" s="62"/>
      <c r="KB147" s="62"/>
      <c r="KC147" s="62"/>
      <c r="KD147" s="62"/>
      <c r="KE147" s="62"/>
      <c r="KF147" s="62"/>
      <c r="KG147" s="62"/>
      <c r="KH147" s="62"/>
      <c r="KI147" s="62"/>
      <c r="KJ147" s="62"/>
      <c r="KK147" s="62"/>
      <c r="KL147" s="62"/>
      <c r="KM147" s="62"/>
      <c r="KN147" s="62"/>
      <c r="KO147" s="62"/>
      <c r="KP147" s="62"/>
      <c r="KQ147" s="62"/>
      <c r="KR147" s="62"/>
      <c r="KS147" s="62"/>
      <c r="KT147" s="62"/>
      <c r="KU147" s="62"/>
      <c r="KV147" s="62"/>
      <c r="KW147" s="62"/>
      <c r="KX147" s="62"/>
      <c r="KY147" s="62"/>
      <c r="KZ147" s="62"/>
      <c r="LA147" s="62"/>
      <c r="LB147" s="62"/>
      <c r="LC147" s="62"/>
      <c r="LD147" s="62"/>
      <c r="LE147" s="62"/>
      <c r="LF147" s="62"/>
      <c r="LG147" s="62"/>
      <c r="LH147" s="62"/>
      <c r="LI147" s="62"/>
    </row>
    <row r="148" spans="1:321" ht="30">
      <c r="D148" s="59">
        <v>4316</v>
      </c>
      <c r="E148" s="60" t="s">
        <v>448</v>
      </c>
      <c r="F148" s="67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9"/>
      <c r="R148" s="67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67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9"/>
      <c r="AP148" s="67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9"/>
      <c r="BB148" s="67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9"/>
      <c r="BN148" s="67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9"/>
      <c r="BZ148" s="67"/>
      <c r="CA148" s="68"/>
      <c r="CB148" s="68"/>
      <c r="CC148" s="68"/>
      <c r="CD148" s="68"/>
      <c r="CE148" s="68"/>
      <c r="CF148" s="68"/>
      <c r="CG148" s="68"/>
      <c r="CH148" s="68"/>
      <c r="CI148" s="68"/>
      <c r="CJ148" s="68"/>
      <c r="CK148" s="68"/>
      <c r="CL148" s="67">
        <v>0</v>
      </c>
      <c r="CM148" s="68">
        <v>10476.59</v>
      </c>
      <c r="CN148" s="68">
        <v>8230</v>
      </c>
      <c r="CO148" s="68">
        <v>3315</v>
      </c>
      <c r="CP148" s="68">
        <v>4472.75</v>
      </c>
      <c r="CQ148" s="68">
        <v>3325</v>
      </c>
      <c r="CR148" s="68">
        <v>310430</v>
      </c>
      <c r="CS148" s="68">
        <v>1370</v>
      </c>
      <c r="CT148" s="68">
        <v>880</v>
      </c>
      <c r="CU148" s="68">
        <v>6050</v>
      </c>
      <c r="CV148" s="68">
        <v>1310</v>
      </c>
      <c r="CW148" s="69">
        <v>324403.82</v>
      </c>
      <c r="CX148" s="67">
        <v>10200</v>
      </c>
      <c r="CY148" s="68">
        <v>22350</v>
      </c>
      <c r="CZ148" s="68">
        <v>47450.43</v>
      </c>
      <c r="DA148" s="68">
        <v>3850</v>
      </c>
      <c r="DB148" s="68">
        <v>1650</v>
      </c>
      <c r="DC148" s="68">
        <v>45270</v>
      </c>
      <c r="DD148" s="68">
        <v>55243.73</v>
      </c>
      <c r="DE148" s="68">
        <v>10048.69</v>
      </c>
      <c r="DF148" s="68">
        <v>427624</v>
      </c>
      <c r="DG148" s="68">
        <v>497989</v>
      </c>
      <c r="DH148" s="68">
        <v>43536</v>
      </c>
      <c r="DI148" s="69">
        <v>78394</v>
      </c>
      <c r="DJ148" s="67">
        <v>37890</v>
      </c>
      <c r="DK148" s="68">
        <v>16614</v>
      </c>
      <c r="DL148" s="68">
        <v>52898.68</v>
      </c>
      <c r="DM148" s="68">
        <v>157505.70000000001</v>
      </c>
      <c r="DN148" s="68">
        <v>38178.480000000003</v>
      </c>
      <c r="DO148" s="68">
        <v>67698.320000000007</v>
      </c>
      <c r="DP148" s="68">
        <v>78813.75</v>
      </c>
      <c r="DQ148" s="68">
        <v>582872.80000000005</v>
      </c>
      <c r="DR148" s="68">
        <v>76313.91</v>
      </c>
      <c r="DS148" s="68">
        <v>220363.2</v>
      </c>
      <c r="DT148" s="68">
        <v>133899.73000000001</v>
      </c>
      <c r="DU148" s="69">
        <v>364944.91</v>
      </c>
      <c r="DV148" s="61">
        <v>48117.74</v>
      </c>
      <c r="DW148" s="61">
        <v>205967.35</v>
      </c>
      <c r="DX148" s="61">
        <v>139628.79999999999</v>
      </c>
      <c r="DY148" s="61">
        <v>67970.5</v>
      </c>
      <c r="DZ148" s="79">
        <v>163659.67000000001</v>
      </c>
      <c r="EB148" s="79"/>
      <c r="EC148" s="79"/>
      <c r="ED148" s="79"/>
      <c r="EE148" s="79"/>
      <c r="EF148" s="79"/>
      <c r="EG148" s="79"/>
      <c r="EH148" s="62"/>
      <c r="EI148" s="62"/>
      <c r="EJ148" s="62"/>
      <c r="EK148" s="62"/>
      <c r="EL148" s="62"/>
      <c r="EM148" s="62"/>
      <c r="EN148" s="62"/>
      <c r="EO148" s="62"/>
      <c r="EP148" s="62"/>
      <c r="EQ148" s="62"/>
      <c r="ER148" s="62"/>
      <c r="ES148" s="62"/>
      <c r="ET148" s="62"/>
      <c r="EU148" s="62"/>
      <c r="EV148" s="62"/>
      <c r="EW148" s="62"/>
      <c r="EX148" s="62"/>
      <c r="EY148" s="62"/>
      <c r="EZ148" s="62"/>
      <c r="FA148" s="62"/>
      <c r="FB148" s="62"/>
      <c r="FC148" s="62"/>
      <c r="FD148" s="62"/>
      <c r="FE148" s="62"/>
      <c r="FF148" s="62"/>
      <c r="FG148" s="62"/>
      <c r="FH148" s="62"/>
      <c r="FI148" s="62"/>
      <c r="FJ148" s="62"/>
      <c r="FK148" s="62"/>
      <c r="FL148" s="62"/>
      <c r="FM148" s="62"/>
      <c r="FN148" s="62"/>
      <c r="FO148" s="62"/>
      <c r="FP148" s="62"/>
      <c r="FQ148" s="62"/>
      <c r="FR148" s="62"/>
      <c r="FS148" s="62"/>
      <c r="FT148" s="62"/>
      <c r="FU148" s="62"/>
      <c r="FV148" s="62"/>
      <c r="FW148" s="62"/>
      <c r="FX148" s="62"/>
      <c r="FY148" s="62"/>
      <c r="FZ148" s="62"/>
      <c r="GA148" s="62"/>
      <c r="GB148" s="62"/>
      <c r="GC148" s="62"/>
      <c r="GD148" s="62"/>
      <c r="GF148" s="62"/>
      <c r="GG148" s="62"/>
      <c r="GH148" s="62"/>
      <c r="GI148" s="62"/>
      <c r="GJ148" s="62"/>
      <c r="GK148" s="62"/>
      <c r="GL148" s="62"/>
      <c r="GM148" s="62"/>
      <c r="GN148" s="62"/>
      <c r="GO148" s="62"/>
      <c r="GP148" s="62"/>
      <c r="GQ148" s="62"/>
      <c r="GR148" s="62"/>
      <c r="GS148" s="62"/>
      <c r="GT148" s="62"/>
      <c r="GU148" s="62"/>
      <c r="GV148" s="62"/>
      <c r="GW148" s="62"/>
      <c r="GX148" s="62"/>
      <c r="GY148" s="62"/>
      <c r="GZ148" s="62"/>
      <c r="HA148" s="62"/>
      <c r="HB148" s="62"/>
      <c r="HC148" s="62"/>
      <c r="HD148" s="62"/>
      <c r="HE148" s="62"/>
      <c r="HF148" s="62"/>
      <c r="HG148" s="62"/>
      <c r="HH148" s="62"/>
      <c r="HI148" s="62"/>
      <c r="HJ148" s="62"/>
      <c r="HK148" s="62"/>
      <c r="HL148" s="62"/>
      <c r="HM148" s="62"/>
      <c r="HN148" s="62"/>
      <c r="HO148" s="62"/>
      <c r="HP148" s="62"/>
      <c r="HQ148" s="62"/>
      <c r="HR148" s="62"/>
      <c r="HS148" s="62"/>
      <c r="HT148" s="62"/>
      <c r="HU148" s="62"/>
      <c r="HV148" s="62"/>
      <c r="HW148" s="62"/>
      <c r="HX148" s="62"/>
      <c r="HY148" s="62"/>
      <c r="HZ148" s="62"/>
      <c r="IA148" s="62"/>
      <c r="IB148" s="62"/>
      <c r="IC148" s="62"/>
      <c r="ID148" s="62"/>
      <c r="IE148" s="62"/>
      <c r="IF148" s="62"/>
      <c r="IG148" s="62"/>
      <c r="IH148" s="62"/>
      <c r="II148" s="62"/>
      <c r="IJ148" s="62"/>
      <c r="IK148" s="62"/>
      <c r="IL148" s="62"/>
      <c r="IM148" s="62"/>
      <c r="IN148" s="62"/>
      <c r="IO148" s="62"/>
      <c r="IP148" s="62"/>
      <c r="IQ148" s="62"/>
      <c r="IR148" s="62"/>
      <c r="IS148" s="62"/>
      <c r="IT148" s="62"/>
      <c r="IU148" s="62"/>
      <c r="IV148" s="62"/>
      <c r="IW148" s="62"/>
      <c r="IX148" s="62"/>
      <c r="IY148" s="62"/>
      <c r="IZ148" s="62"/>
      <c r="JA148" s="62"/>
      <c r="JB148" s="62"/>
      <c r="JC148" s="62"/>
      <c r="JD148" s="62"/>
      <c r="JE148" s="62"/>
      <c r="JF148" s="62"/>
      <c r="JG148" s="62"/>
      <c r="JH148" s="62"/>
      <c r="JI148" s="62"/>
      <c r="JJ148" s="62"/>
      <c r="JK148" s="62"/>
      <c r="JL148" s="62"/>
      <c r="JM148" s="62"/>
      <c r="JN148" s="62"/>
      <c r="JO148" s="62"/>
      <c r="JP148" s="62"/>
      <c r="JQ148" s="62"/>
      <c r="JR148" s="62"/>
      <c r="JS148" s="62"/>
      <c r="JT148" s="62"/>
      <c r="JU148" s="62"/>
      <c r="JV148" s="62"/>
      <c r="JW148" s="62"/>
      <c r="JX148" s="62"/>
      <c r="JY148" s="62"/>
      <c r="JZ148" s="62"/>
      <c r="KA148" s="62"/>
      <c r="KB148" s="62"/>
      <c r="KC148" s="62"/>
      <c r="KD148" s="62"/>
      <c r="KE148" s="62"/>
      <c r="KF148" s="62"/>
      <c r="KG148" s="62"/>
      <c r="KH148" s="62"/>
      <c r="KI148" s="62"/>
      <c r="KJ148" s="62"/>
      <c r="KK148" s="62"/>
      <c r="KL148" s="62"/>
      <c r="KM148" s="62"/>
      <c r="KN148" s="62"/>
      <c r="KO148" s="62"/>
      <c r="KP148" s="62"/>
      <c r="KQ148" s="62"/>
      <c r="KR148" s="62"/>
      <c r="KS148" s="62"/>
      <c r="KT148" s="62"/>
      <c r="KU148" s="62"/>
      <c r="KV148" s="62"/>
      <c r="KW148" s="62"/>
      <c r="KX148" s="62"/>
      <c r="KY148" s="62"/>
      <c r="KZ148" s="62"/>
      <c r="LA148" s="62"/>
      <c r="LB148" s="62"/>
      <c r="LC148" s="62"/>
      <c r="LD148" s="62"/>
      <c r="LE148" s="62"/>
      <c r="LF148" s="62"/>
      <c r="LG148" s="62"/>
      <c r="LH148" s="62"/>
      <c r="LI148" s="62"/>
    </row>
    <row r="149" spans="1:321" ht="30">
      <c r="D149" s="59">
        <v>4317</v>
      </c>
      <c r="E149" s="60" t="s">
        <v>449</v>
      </c>
      <c r="F149" s="67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9"/>
      <c r="R149" s="67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67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9"/>
      <c r="AP149" s="67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9"/>
      <c r="BB149" s="67"/>
      <c r="BC149" s="68"/>
      <c r="BD149" s="68"/>
      <c r="BE149" s="68"/>
      <c r="BF149" s="68"/>
      <c r="BG149" s="68"/>
      <c r="BH149" s="68"/>
      <c r="BI149" s="68"/>
      <c r="BJ149" s="68"/>
      <c r="BK149" s="68"/>
      <c r="BL149" s="68"/>
      <c r="BM149" s="69"/>
      <c r="BN149" s="67"/>
      <c r="BO149" s="68"/>
      <c r="BP149" s="68"/>
      <c r="BQ149" s="68"/>
      <c r="BR149" s="68"/>
      <c r="BS149" s="68"/>
      <c r="BT149" s="68"/>
      <c r="BU149" s="68"/>
      <c r="BV149" s="68"/>
      <c r="BW149" s="68"/>
      <c r="BX149" s="68"/>
      <c r="BY149" s="69"/>
      <c r="BZ149" s="67"/>
      <c r="CA149" s="68"/>
      <c r="CB149" s="68"/>
      <c r="CC149" s="68"/>
      <c r="CD149" s="68"/>
      <c r="CE149" s="68"/>
      <c r="CF149" s="68"/>
      <c r="CG149" s="68"/>
      <c r="CH149" s="68"/>
      <c r="CI149" s="68"/>
      <c r="CJ149" s="68"/>
      <c r="CK149" s="68"/>
      <c r="CL149" s="67">
        <v>3237.41</v>
      </c>
      <c r="CM149" s="68">
        <v>96184.4</v>
      </c>
      <c r="CN149" s="68">
        <v>89346.05</v>
      </c>
      <c r="CO149" s="68">
        <v>145886.35999999999</v>
      </c>
      <c r="CP149" s="68">
        <v>3237.41</v>
      </c>
      <c r="CQ149" s="68">
        <v>82166.94</v>
      </c>
      <c r="CR149" s="68">
        <v>49107.6</v>
      </c>
      <c r="CS149" s="68">
        <v>52798.87</v>
      </c>
      <c r="CT149" s="68">
        <v>32492.76</v>
      </c>
      <c r="CU149" s="68">
        <v>28540.98</v>
      </c>
      <c r="CV149" s="68">
        <v>22385.61</v>
      </c>
      <c r="CW149" s="69">
        <v>389400.54</v>
      </c>
      <c r="CX149" s="67">
        <v>0</v>
      </c>
      <c r="CY149" s="68">
        <v>405707.5</v>
      </c>
      <c r="CZ149" s="68">
        <v>957720.88</v>
      </c>
      <c r="DA149" s="68">
        <v>928328.26</v>
      </c>
      <c r="DB149" s="68">
        <v>881192.29</v>
      </c>
      <c r="DC149" s="68">
        <v>936996.85</v>
      </c>
      <c r="DD149" s="68">
        <v>906223.42</v>
      </c>
      <c r="DE149" s="68">
        <v>1096158.44</v>
      </c>
      <c r="DF149" s="68">
        <v>889074.97</v>
      </c>
      <c r="DG149" s="68">
        <v>896285.75</v>
      </c>
      <c r="DH149" s="68">
        <v>454865.69</v>
      </c>
      <c r="DI149" s="69">
        <v>84429.43</v>
      </c>
      <c r="DJ149" s="67">
        <v>0</v>
      </c>
      <c r="DK149" s="68">
        <v>434202.28</v>
      </c>
      <c r="DL149" s="68">
        <v>867874.35</v>
      </c>
      <c r="DM149" s="68">
        <v>862676.81</v>
      </c>
      <c r="DN149" s="68">
        <v>848123.13</v>
      </c>
      <c r="DO149" s="68">
        <v>872521.21</v>
      </c>
      <c r="DP149" s="68">
        <v>828213.14</v>
      </c>
      <c r="DQ149" s="68">
        <v>857958.06</v>
      </c>
      <c r="DR149" s="68">
        <v>848986.99</v>
      </c>
      <c r="DS149" s="68">
        <v>834822.33</v>
      </c>
      <c r="DT149" s="68">
        <v>426163.12</v>
      </c>
      <c r="DU149" s="69">
        <v>175020.67</v>
      </c>
      <c r="DV149" s="61">
        <v>0</v>
      </c>
      <c r="DW149" s="61">
        <v>376004.54</v>
      </c>
      <c r="DX149" s="61">
        <v>869121.24</v>
      </c>
      <c r="DY149" s="61">
        <v>839366.55</v>
      </c>
      <c r="DZ149" s="79">
        <v>827960.69</v>
      </c>
      <c r="EB149" s="79"/>
      <c r="EC149" s="79"/>
      <c r="ED149" s="79"/>
      <c r="EE149" s="79"/>
      <c r="EF149" s="79"/>
      <c r="EG149" s="79"/>
      <c r="EH149" s="62"/>
      <c r="EI149" s="62"/>
      <c r="EJ149" s="62"/>
      <c r="EK149" s="62"/>
      <c r="EL149" s="62"/>
      <c r="EM149" s="62"/>
      <c r="EN149" s="62"/>
      <c r="EO149" s="62"/>
      <c r="EP149" s="62"/>
      <c r="EQ149" s="62"/>
      <c r="ER149" s="62"/>
      <c r="ES149" s="62"/>
      <c r="ET149" s="62"/>
      <c r="EU149" s="62"/>
      <c r="EV149" s="62"/>
      <c r="EW149" s="62"/>
      <c r="EX149" s="62"/>
      <c r="EY149" s="62"/>
      <c r="EZ149" s="62"/>
      <c r="FA149" s="62"/>
      <c r="FB149" s="62"/>
      <c r="FC149" s="62"/>
      <c r="FD149" s="62"/>
      <c r="FE149" s="62"/>
      <c r="FF149" s="62"/>
      <c r="FG149" s="62"/>
      <c r="FH149" s="62"/>
      <c r="FI149" s="62"/>
      <c r="FJ149" s="62"/>
      <c r="FK149" s="62"/>
      <c r="FL149" s="62"/>
      <c r="FM149" s="62"/>
      <c r="FN149" s="62"/>
      <c r="FO149" s="62"/>
      <c r="FP149" s="62"/>
      <c r="FQ149" s="62"/>
      <c r="FR149" s="62"/>
      <c r="FS149" s="62"/>
      <c r="FT149" s="62"/>
      <c r="FU149" s="62"/>
      <c r="FV149" s="62"/>
      <c r="FW149" s="62"/>
      <c r="FX149" s="62"/>
      <c r="FY149" s="62"/>
      <c r="FZ149" s="62"/>
      <c r="GA149" s="62"/>
      <c r="GB149" s="62"/>
      <c r="GC149" s="62"/>
      <c r="GD149" s="62"/>
      <c r="GF149" s="62"/>
      <c r="GG149" s="62"/>
      <c r="GH149" s="62"/>
      <c r="GI149" s="62"/>
      <c r="GJ149" s="62"/>
      <c r="GK149" s="62"/>
      <c r="GL149" s="62"/>
      <c r="GM149" s="62"/>
      <c r="GN149" s="62"/>
      <c r="GO149" s="62"/>
      <c r="GP149" s="62"/>
      <c r="GQ149" s="62"/>
      <c r="GR149" s="62"/>
      <c r="GS149" s="62"/>
      <c r="GT149" s="62"/>
      <c r="GU149" s="62"/>
      <c r="GV149" s="62"/>
      <c r="GW149" s="62"/>
      <c r="GX149" s="62"/>
      <c r="GY149" s="62"/>
      <c r="GZ149" s="62"/>
      <c r="HA149" s="62"/>
      <c r="HB149" s="62"/>
      <c r="HC149" s="62"/>
      <c r="HD149" s="62"/>
      <c r="HE149" s="62"/>
      <c r="HF149" s="62"/>
      <c r="HG149" s="62"/>
      <c r="HH149" s="62"/>
      <c r="HI149" s="62"/>
      <c r="HJ149" s="62"/>
      <c r="HK149" s="62"/>
      <c r="HL149" s="62"/>
      <c r="HM149" s="62"/>
      <c r="HN149" s="62"/>
      <c r="HO149" s="62"/>
      <c r="HP149" s="62"/>
      <c r="HQ149" s="62"/>
      <c r="HR149" s="62"/>
      <c r="HS149" s="62"/>
      <c r="HT149" s="62"/>
      <c r="HU149" s="62"/>
      <c r="HV149" s="62"/>
      <c r="HW149" s="62"/>
      <c r="HX149" s="62"/>
      <c r="HY149" s="62"/>
      <c r="HZ149" s="62"/>
      <c r="IA149" s="62"/>
      <c r="IB149" s="62"/>
      <c r="IC149" s="62"/>
      <c r="ID149" s="62"/>
      <c r="IE149" s="62"/>
      <c r="IF149" s="62"/>
      <c r="IG149" s="62"/>
      <c r="IH149" s="62"/>
      <c r="II149" s="62"/>
      <c r="IJ149" s="62"/>
      <c r="IK149" s="62"/>
      <c r="IL149" s="62"/>
      <c r="IM149" s="62"/>
      <c r="IN149" s="62"/>
      <c r="IO149" s="62"/>
      <c r="IP149" s="62"/>
      <c r="IQ149" s="62"/>
      <c r="IR149" s="62"/>
      <c r="IS149" s="62"/>
      <c r="IT149" s="62"/>
      <c r="IU149" s="62"/>
      <c r="IV149" s="62"/>
      <c r="IW149" s="62"/>
      <c r="IX149" s="62"/>
      <c r="IY149" s="62"/>
      <c r="IZ149" s="62"/>
      <c r="JA149" s="62"/>
      <c r="JB149" s="62"/>
      <c r="JC149" s="62"/>
      <c r="JD149" s="62"/>
      <c r="JE149" s="62"/>
      <c r="JF149" s="62"/>
      <c r="JG149" s="62"/>
      <c r="JH149" s="62"/>
      <c r="JI149" s="62"/>
      <c r="JJ149" s="62"/>
      <c r="JK149" s="62"/>
      <c r="JL149" s="62"/>
      <c r="JM149" s="62"/>
      <c r="JN149" s="62"/>
      <c r="JO149" s="62"/>
      <c r="JP149" s="62"/>
      <c r="JQ149" s="62"/>
      <c r="JR149" s="62"/>
      <c r="JS149" s="62"/>
      <c r="JT149" s="62"/>
      <c r="JU149" s="62"/>
      <c r="JV149" s="62"/>
      <c r="JW149" s="62"/>
      <c r="JX149" s="62"/>
      <c r="JY149" s="62"/>
      <c r="JZ149" s="62"/>
      <c r="KA149" s="62"/>
      <c r="KB149" s="62"/>
      <c r="KC149" s="62"/>
      <c r="KD149" s="62"/>
      <c r="KE149" s="62"/>
      <c r="KF149" s="62"/>
      <c r="KG149" s="62"/>
      <c r="KH149" s="62"/>
      <c r="KI149" s="62"/>
      <c r="KJ149" s="62"/>
      <c r="KK149" s="62"/>
      <c r="KL149" s="62"/>
      <c r="KM149" s="62"/>
      <c r="KN149" s="62"/>
      <c r="KO149" s="62"/>
      <c r="KP149" s="62"/>
      <c r="KQ149" s="62"/>
      <c r="KR149" s="62"/>
      <c r="KS149" s="62"/>
      <c r="KT149" s="62"/>
      <c r="KU149" s="62"/>
      <c r="KV149" s="62"/>
      <c r="KW149" s="62"/>
      <c r="KX149" s="62"/>
      <c r="KY149" s="62"/>
      <c r="KZ149" s="62"/>
      <c r="LA149" s="62"/>
      <c r="LB149" s="62"/>
      <c r="LC149" s="62"/>
      <c r="LD149" s="62"/>
      <c r="LE149" s="62"/>
      <c r="LF149" s="62"/>
      <c r="LG149" s="62"/>
      <c r="LH149" s="62"/>
      <c r="LI149" s="62"/>
    </row>
    <row r="150" spans="1:321">
      <c r="D150" s="59">
        <v>4318</v>
      </c>
      <c r="E150" s="60" t="s">
        <v>450</v>
      </c>
      <c r="F150" s="67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9"/>
      <c r="R150" s="67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9"/>
      <c r="AD150" s="67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9"/>
      <c r="AP150" s="67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9"/>
      <c r="BB150" s="67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9"/>
      <c r="BN150" s="67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9"/>
      <c r="BZ150" s="67"/>
      <c r="CA150" s="68"/>
      <c r="CB150" s="68"/>
      <c r="CC150" s="68"/>
      <c r="CD150" s="68"/>
      <c r="CE150" s="68"/>
      <c r="CF150" s="68"/>
      <c r="CG150" s="68"/>
      <c r="CH150" s="68"/>
      <c r="CI150" s="68"/>
      <c r="CJ150" s="68"/>
      <c r="CK150" s="68"/>
      <c r="CL150" s="67">
        <v>403695.67</v>
      </c>
      <c r="CM150" s="68">
        <v>1104292.8</v>
      </c>
      <c r="CN150" s="68">
        <v>2009659.23</v>
      </c>
      <c r="CO150" s="68">
        <v>1710678.08</v>
      </c>
      <c r="CP150" s="68">
        <v>1460705.24</v>
      </c>
      <c r="CQ150" s="68">
        <v>1441074.4</v>
      </c>
      <c r="CR150" s="68">
        <v>1808425.07</v>
      </c>
      <c r="CS150" s="68">
        <v>1772052.25</v>
      </c>
      <c r="CT150" s="68">
        <v>1343330.89</v>
      </c>
      <c r="CU150" s="68">
        <v>1849553.71</v>
      </c>
      <c r="CV150" s="68">
        <v>906550.39</v>
      </c>
      <c r="CW150" s="69">
        <v>2344583.7200000002</v>
      </c>
      <c r="CX150" s="67">
        <v>154210.70000000001</v>
      </c>
      <c r="CY150" s="68">
        <v>506535.48</v>
      </c>
      <c r="CZ150" s="68">
        <v>603849.34</v>
      </c>
      <c r="DA150" s="68">
        <v>726205.21</v>
      </c>
      <c r="DB150" s="68">
        <v>455906.81</v>
      </c>
      <c r="DC150" s="68">
        <v>585050.16</v>
      </c>
      <c r="DD150" s="68">
        <v>686132.44</v>
      </c>
      <c r="DE150" s="68">
        <v>475722.23999999999</v>
      </c>
      <c r="DF150" s="68">
        <v>607299.71000000101</v>
      </c>
      <c r="DG150" s="68">
        <v>560977.43999999994</v>
      </c>
      <c r="DH150" s="68">
        <v>713554.15</v>
      </c>
      <c r="DI150" s="69">
        <v>1031421.86</v>
      </c>
      <c r="DJ150" s="67">
        <v>298624.92</v>
      </c>
      <c r="DK150" s="68">
        <v>498809.93</v>
      </c>
      <c r="DL150" s="68">
        <v>852681.27</v>
      </c>
      <c r="DM150" s="68">
        <v>365615.21</v>
      </c>
      <c r="DN150" s="68">
        <v>522771.63000000099</v>
      </c>
      <c r="DO150" s="68">
        <v>972235.08000000101</v>
      </c>
      <c r="DP150" s="68">
        <v>786771.90000000095</v>
      </c>
      <c r="DQ150" s="68">
        <v>671148.39000000199</v>
      </c>
      <c r="DR150" s="68">
        <v>588789.36000000103</v>
      </c>
      <c r="DS150" s="68">
        <v>954967.48000000301</v>
      </c>
      <c r="DT150" s="68">
        <v>994040.65000000095</v>
      </c>
      <c r="DU150" s="69">
        <v>3593424.24</v>
      </c>
      <c r="DV150" s="61">
        <v>203334.19</v>
      </c>
      <c r="DW150" s="61">
        <v>568203.01</v>
      </c>
      <c r="DX150" s="61">
        <v>581566.51</v>
      </c>
      <c r="DY150" s="61">
        <v>848586.34</v>
      </c>
      <c r="DZ150" s="79">
        <v>997953.14</v>
      </c>
      <c r="EB150" s="79"/>
      <c r="EC150" s="79"/>
      <c r="ED150" s="79"/>
      <c r="EE150" s="79"/>
      <c r="EF150" s="79"/>
      <c r="EG150" s="79"/>
      <c r="EH150" s="62"/>
      <c r="EI150" s="62"/>
      <c r="EJ150" s="62"/>
      <c r="EK150" s="62"/>
      <c r="EL150" s="62"/>
      <c r="EM150" s="62"/>
      <c r="EN150" s="62"/>
      <c r="EO150" s="62"/>
      <c r="EP150" s="62"/>
      <c r="EQ150" s="62"/>
      <c r="ER150" s="62"/>
      <c r="ES150" s="62"/>
      <c r="ET150" s="62"/>
      <c r="EU150" s="62"/>
      <c r="EV150" s="62"/>
      <c r="EW150" s="62"/>
      <c r="EX150" s="62"/>
      <c r="EY150" s="62"/>
      <c r="EZ150" s="62"/>
      <c r="FA150" s="62"/>
      <c r="FB150" s="62"/>
      <c r="FC150" s="62"/>
      <c r="FD150" s="62"/>
      <c r="FE150" s="62"/>
      <c r="FF150" s="62"/>
      <c r="FG150" s="62"/>
      <c r="FH150" s="62"/>
      <c r="FI150" s="62"/>
      <c r="FJ150" s="62"/>
      <c r="FK150" s="62"/>
      <c r="FL150" s="62"/>
      <c r="FM150" s="62"/>
      <c r="FN150" s="62"/>
      <c r="FO150" s="62"/>
      <c r="FP150" s="62"/>
      <c r="FQ150" s="62"/>
      <c r="FR150" s="62"/>
      <c r="FS150" s="62"/>
      <c r="FT150" s="62"/>
      <c r="FU150" s="62"/>
      <c r="FV150" s="62"/>
      <c r="FW150" s="62"/>
      <c r="FX150" s="62"/>
      <c r="FY150" s="62"/>
      <c r="FZ150" s="62"/>
      <c r="GA150" s="62"/>
      <c r="GB150" s="62"/>
      <c r="GC150" s="62"/>
      <c r="GD150" s="62"/>
      <c r="GF150" s="62"/>
      <c r="GG150" s="62"/>
      <c r="GH150" s="62"/>
      <c r="GI150" s="62"/>
      <c r="GJ150" s="62"/>
      <c r="GK150" s="62"/>
      <c r="GL150" s="62"/>
      <c r="GM150" s="62"/>
      <c r="GN150" s="62"/>
      <c r="GO150" s="62"/>
      <c r="GP150" s="62"/>
      <c r="GQ150" s="62"/>
      <c r="GR150" s="62"/>
      <c r="GS150" s="62"/>
      <c r="GT150" s="62"/>
      <c r="GU150" s="62"/>
      <c r="GV150" s="62"/>
      <c r="GW150" s="62"/>
      <c r="GX150" s="62"/>
      <c r="GY150" s="62"/>
      <c r="GZ150" s="62"/>
      <c r="HA150" s="62"/>
      <c r="HB150" s="62"/>
      <c r="HC150" s="62"/>
      <c r="HD150" s="62"/>
      <c r="HE150" s="62"/>
      <c r="HF150" s="62"/>
      <c r="HG150" s="62"/>
      <c r="HH150" s="62"/>
      <c r="HI150" s="62"/>
      <c r="HJ150" s="62"/>
      <c r="HK150" s="62"/>
      <c r="HL150" s="62"/>
      <c r="HM150" s="62"/>
      <c r="HN150" s="62"/>
      <c r="HO150" s="62"/>
      <c r="HP150" s="62"/>
      <c r="HQ150" s="62"/>
      <c r="HR150" s="62"/>
      <c r="HS150" s="62"/>
      <c r="HT150" s="62"/>
      <c r="HU150" s="62"/>
      <c r="HV150" s="62"/>
      <c r="HW150" s="62"/>
      <c r="HX150" s="62"/>
      <c r="HY150" s="62"/>
      <c r="HZ150" s="62"/>
      <c r="IA150" s="62"/>
      <c r="IB150" s="62"/>
      <c r="IC150" s="62"/>
      <c r="ID150" s="62"/>
      <c r="IE150" s="62"/>
      <c r="IF150" s="62"/>
      <c r="IG150" s="62"/>
      <c r="IH150" s="62"/>
      <c r="II150" s="62"/>
      <c r="IJ150" s="62"/>
      <c r="IK150" s="62"/>
      <c r="IL150" s="62"/>
      <c r="IM150" s="62"/>
      <c r="IN150" s="62"/>
      <c r="IO150" s="62"/>
      <c r="IP150" s="62"/>
      <c r="IQ150" s="62"/>
      <c r="IR150" s="62"/>
      <c r="IS150" s="62"/>
      <c r="IT150" s="62"/>
      <c r="IU150" s="62"/>
      <c r="IV150" s="62"/>
      <c r="IW150" s="62"/>
      <c r="IX150" s="62"/>
      <c r="IY150" s="62"/>
      <c r="IZ150" s="62"/>
      <c r="JA150" s="62"/>
      <c r="JB150" s="62"/>
      <c r="JC150" s="62"/>
      <c r="JD150" s="62"/>
      <c r="JE150" s="62"/>
      <c r="JF150" s="62"/>
      <c r="JG150" s="62"/>
      <c r="JH150" s="62"/>
      <c r="JI150" s="62"/>
      <c r="JJ150" s="62"/>
      <c r="JK150" s="62"/>
      <c r="JL150" s="62"/>
      <c r="JM150" s="62"/>
      <c r="JN150" s="62"/>
      <c r="JO150" s="62"/>
      <c r="JP150" s="62"/>
      <c r="JQ150" s="62"/>
      <c r="JR150" s="62"/>
      <c r="JS150" s="62"/>
      <c r="JT150" s="62"/>
      <c r="JU150" s="62"/>
      <c r="JV150" s="62"/>
      <c r="JW150" s="62"/>
      <c r="JX150" s="62"/>
      <c r="JY150" s="62"/>
      <c r="JZ150" s="62"/>
      <c r="KA150" s="62"/>
      <c r="KB150" s="62"/>
      <c r="KC150" s="62"/>
      <c r="KD150" s="62"/>
      <c r="KE150" s="62"/>
      <c r="KF150" s="62"/>
      <c r="KG150" s="62"/>
      <c r="KH150" s="62"/>
      <c r="KI150" s="62"/>
      <c r="KJ150" s="62"/>
      <c r="KK150" s="62"/>
      <c r="KL150" s="62"/>
      <c r="KM150" s="62"/>
      <c r="KN150" s="62"/>
      <c r="KO150" s="62"/>
      <c r="KP150" s="62"/>
      <c r="KQ150" s="62"/>
      <c r="KR150" s="62"/>
      <c r="KS150" s="62"/>
      <c r="KT150" s="62"/>
      <c r="KU150" s="62"/>
      <c r="KV150" s="62"/>
      <c r="KW150" s="62"/>
      <c r="KX150" s="62"/>
      <c r="KY150" s="62"/>
      <c r="KZ150" s="62"/>
      <c r="LA150" s="62"/>
      <c r="LB150" s="62"/>
      <c r="LC150" s="62"/>
      <c r="LD150" s="62"/>
      <c r="LE150" s="62"/>
      <c r="LF150" s="62"/>
      <c r="LG150" s="62"/>
      <c r="LH150" s="62"/>
      <c r="LI150" s="62"/>
    </row>
    <row r="151" spans="1:321">
      <c r="D151" s="59">
        <v>4319</v>
      </c>
      <c r="E151" s="60" t="s">
        <v>451</v>
      </c>
      <c r="F151" s="67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9"/>
      <c r="R151" s="67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9"/>
      <c r="AD151" s="67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9"/>
      <c r="AP151" s="67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9"/>
      <c r="BB151" s="67"/>
      <c r="BC151" s="68"/>
      <c r="BD151" s="68"/>
      <c r="BE151" s="68"/>
      <c r="BF151" s="68"/>
      <c r="BG151" s="68"/>
      <c r="BH151" s="68"/>
      <c r="BI151" s="68"/>
      <c r="BJ151" s="68"/>
      <c r="BK151" s="68"/>
      <c r="BL151" s="68"/>
      <c r="BM151" s="69"/>
      <c r="BN151" s="67"/>
      <c r="BO151" s="68"/>
      <c r="BP151" s="68"/>
      <c r="BQ151" s="68"/>
      <c r="BR151" s="68"/>
      <c r="BS151" s="68"/>
      <c r="BT151" s="68"/>
      <c r="BU151" s="68"/>
      <c r="BV151" s="68"/>
      <c r="BW151" s="68"/>
      <c r="BX151" s="68"/>
      <c r="BY151" s="69"/>
      <c r="BZ151" s="67"/>
      <c r="CA151" s="68"/>
      <c r="CB151" s="68"/>
      <c r="CC151" s="68"/>
      <c r="CD151" s="68"/>
      <c r="CE151" s="68"/>
      <c r="CF151" s="68"/>
      <c r="CG151" s="68"/>
      <c r="CH151" s="68"/>
      <c r="CI151" s="68"/>
      <c r="CJ151" s="68"/>
      <c r="CK151" s="68"/>
      <c r="CL151" s="67">
        <v>23391.07</v>
      </c>
      <c r="CM151" s="68">
        <v>543158.21</v>
      </c>
      <c r="CN151" s="68">
        <v>111229.61</v>
      </c>
      <c r="CO151" s="68">
        <v>74343.77</v>
      </c>
      <c r="CP151" s="68">
        <v>36242.26</v>
      </c>
      <c r="CQ151" s="68">
        <v>128355.57</v>
      </c>
      <c r="CR151" s="68">
        <v>69288.98</v>
      </c>
      <c r="CS151" s="68">
        <v>64399.29</v>
      </c>
      <c r="CT151" s="68">
        <v>86560.05</v>
      </c>
      <c r="CU151" s="68">
        <v>111893.62</v>
      </c>
      <c r="CV151" s="68">
        <v>13282.75</v>
      </c>
      <c r="CW151" s="69">
        <v>627958.81999999995</v>
      </c>
      <c r="CX151" s="67">
        <v>46861.55</v>
      </c>
      <c r="CY151" s="68">
        <v>142247.19</v>
      </c>
      <c r="CZ151" s="68">
        <v>804883.65</v>
      </c>
      <c r="DA151" s="68">
        <v>56739.99</v>
      </c>
      <c r="DB151" s="68">
        <v>110499.35</v>
      </c>
      <c r="DC151" s="68">
        <v>107403.49</v>
      </c>
      <c r="DD151" s="68">
        <v>64956.66</v>
      </c>
      <c r="DE151" s="68">
        <v>69147.59</v>
      </c>
      <c r="DF151" s="68">
        <v>100083.41</v>
      </c>
      <c r="DG151" s="68">
        <v>196157.67</v>
      </c>
      <c r="DH151" s="68">
        <v>251006.72</v>
      </c>
      <c r="DI151" s="69">
        <v>1361757.67</v>
      </c>
      <c r="DJ151" s="67">
        <v>3808659.58</v>
      </c>
      <c r="DK151" s="68">
        <v>467640.73</v>
      </c>
      <c r="DL151" s="68">
        <v>1374604.13</v>
      </c>
      <c r="DM151" s="68">
        <v>1570193</v>
      </c>
      <c r="DN151" s="68">
        <v>1022638.9</v>
      </c>
      <c r="DO151" s="68">
        <v>1032838.25</v>
      </c>
      <c r="DP151" s="68">
        <v>659446.37</v>
      </c>
      <c r="DQ151" s="68">
        <v>1734973.9</v>
      </c>
      <c r="DR151" s="68">
        <v>1313540.6299999999</v>
      </c>
      <c r="DS151" s="68">
        <v>1621117.01</v>
      </c>
      <c r="DT151" s="68">
        <v>343528.2</v>
      </c>
      <c r="DU151" s="69">
        <v>2639181.89</v>
      </c>
      <c r="DV151" s="61">
        <v>621842.88</v>
      </c>
      <c r="DW151" s="61">
        <v>1102854.68</v>
      </c>
      <c r="DX151" s="61">
        <v>4755105.63</v>
      </c>
      <c r="DY151" s="61">
        <v>1430956.69</v>
      </c>
      <c r="DZ151" s="79">
        <v>922546.76</v>
      </c>
      <c r="EB151" s="79"/>
      <c r="EC151" s="79"/>
      <c r="ED151" s="79"/>
      <c r="EE151" s="79"/>
      <c r="EF151" s="79"/>
      <c r="EG151" s="79"/>
      <c r="ET151" s="62"/>
      <c r="EU151" s="62"/>
      <c r="EV151" s="62"/>
      <c r="EW151" s="62"/>
      <c r="EX151" s="62"/>
      <c r="EY151" s="62"/>
      <c r="EZ151" s="62"/>
      <c r="FA151" s="62"/>
      <c r="FB151" s="62"/>
      <c r="FC151" s="62"/>
      <c r="FD151" s="62"/>
      <c r="FE151" s="62"/>
      <c r="FF151" s="62"/>
      <c r="FG151" s="62"/>
      <c r="FH151" s="62"/>
      <c r="FI151" s="62"/>
      <c r="FJ151" s="62"/>
      <c r="FK151" s="62"/>
      <c r="FL151" s="62"/>
      <c r="FM151" s="62"/>
      <c r="FN151" s="62"/>
      <c r="FO151" s="62"/>
      <c r="FP151" s="62"/>
      <c r="FQ151" s="62"/>
      <c r="FR151" s="62"/>
      <c r="FS151" s="62"/>
      <c r="FT151" s="62"/>
      <c r="FU151" s="62"/>
      <c r="FV151" s="62"/>
      <c r="FW151" s="62"/>
      <c r="FX151" s="62"/>
      <c r="FY151" s="62"/>
      <c r="FZ151" s="62"/>
      <c r="GA151" s="62"/>
      <c r="GB151" s="62"/>
      <c r="GC151" s="62"/>
      <c r="GD151" s="62"/>
      <c r="GF151" s="62"/>
      <c r="GG151" s="62"/>
      <c r="GH151" s="62"/>
      <c r="GI151" s="62"/>
      <c r="GJ151" s="62"/>
      <c r="GK151" s="62"/>
      <c r="GL151" s="62"/>
      <c r="GM151" s="62"/>
      <c r="GN151" s="62"/>
      <c r="GO151" s="62"/>
      <c r="GP151" s="62"/>
      <c r="GQ151" s="62"/>
      <c r="GR151" s="62"/>
      <c r="GS151" s="62"/>
      <c r="GT151" s="62"/>
      <c r="GU151" s="62"/>
      <c r="GV151" s="62"/>
      <c r="GW151" s="62"/>
      <c r="GX151" s="62"/>
      <c r="GY151" s="62"/>
      <c r="GZ151" s="62"/>
      <c r="HA151" s="62"/>
      <c r="HB151" s="62"/>
      <c r="HC151" s="62"/>
      <c r="HD151" s="62"/>
      <c r="HE151" s="62"/>
      <c r="HF151" s="62"/>
      <c r="HG151" s="62"/>
      <c r="HH151" s="62"/>
      <c r="HI151" s="62"/>
      <c r="HJ151" s="62"/>
      <c r="HK151" s="62"/>
      <c r="HL151" s="62"/>
      <c r="HM151" s="62"/>
      <c r="HN151" s="62"/>
      <c r="HO151" s="62"/>
      <c r="HP151" s="62"/>
      <c r="HQ151" s="62"/>
      <c r="HR151" s="62"/>
      <c r="HS151" s="62"/>
      <c r="HT151" s="62"/>
      <c r="HU151" s="62"/>
      <c r="HV151" s="62"/>
      <c r="HW151" s="62"/>
      <c r="HX151" s="62"/>
      <c r="HY151" s="62"/>
      <c r="HZ151" s="62"/>
      <c r="IA151" s="62"/>
      <c r="IB151" s="62"/>
      <c r="IC151" s="62"/>
      <c r="ID151" s="62"/>
      <c r="IE151" s="62"/>
      <c r="IF151" s="62"/>
      <c r="IG151" s="62"/>
      <c r="IH151" s="62"/>
      <c r="II151" s="62"/>
      <c r="IJ151" s="62"/>
      <c r="IK151" s="62"/>
      <c r="IL151" s="62"/>
      <c r="IM151" s="62"/>
      <c r="IN151" s="62"/>
      <c r="IO151" s="62"/>
      <c r="IP151" s="62"/>
      <c r="IQ151" s="62"/>
      <c r="IR151" s="62"/>
      <c r="IS151" s="62"/>
      <c r="IT151" s="62"/>
      <c r="IU151" s="62"/>
      <c r="IV151" s="62"/>
      <c r="IW151" s="62"/>
      <c r="IX151" s="62"/>
      <c r="IY151" s="62"/>
      <c r="IZ151" s="62"/>
      <c r="JA151" s="62"/>
      <c r="JB151" s="62"/>
      <c r="JC151" s="62"/>
      <c r="JD151" s="62"/>
      <c r="JE151" s="62"/>
      <c r="JF151" s="62"/>
      <c r="JG151" s="62"/>
      <c r="JH151" s="62"/>
      <c r="JI151" s="62"/>
      <c r="JJ151" s="62"/>
      <c r="JK151" s="62"/>
      <c r="JL151" s="62"/>
      <c r="JM151" s="62"/>
      <c r="JN151" s="62"/>
      <c r="JO151" s="62"/>
      <c r="JP151" s="62"/>
      <c r="JQ151" s="62"/>
      <c r="JR151" s="62"/>
      <c r="JS151" s="62"/>
      <c r="JT151" s="62"/>
      <c r="JU151" s="62"/>
      <c r="JV151" s="62"/>
      <c r="JW151" s="62"/>
      <c r="JX151" s="62"/>
      <c r="JY151" s="62"/>
      <c r="JZ151" s="62"/>
      <c r="KA151" s="62"/>
      <c r="KB151" s="62"/>
      <c r="KC151" s="62"/>
      <c r="KD151" s="62"/>
      <c r="KE151" s="62"/>
      <c r="KF151" s="62"/>
      <c r="KG151" s="62"/>
      <c r="KH151" s="62"/>
      <c r="KI151" s="62"/>
      <c r="KJ151" s="62"/>
      <c r="KK151" s="62"/>
      <c r="KL151" s="62"/>
      <c r="KM151" s="62"/>
      <c r="KN151" s="62"/>
      <c r="KO151" s="62"/>
      <c r="KP151" s="62"/>
      <c r="KQ151" s="62"/>
      <c r="KR151" s="62"/>
      <c r="KS151" s="62"/>
      <c r="KT151" s="62"/>
      <c r="KU151" s="62"/>
      <c r="KV151" s="62"/>
      <c r="KW151" s="62"/>
      <c r="KX151" s="62"/>
      <c r="KY151" s="62"/>
      <c r="KZ151" s="62"/>
      <c r="LA151" s="62"/>
      <c r="LB151" s="62"/>
      <c r="LC151" s="62"/>
      <c r="LD151" s="62"/>
      <c r="LE151" s="62"/>
      <c r="LF151" s="62"/>
      <c r="LG151" s="62"/>
      <c r="LH151" s="62"/>
      <c r="LI151" s="62"/>
    </row>
    <row r="152" spans="1:321">
      <c r="A152" s="59" t="s">
        <v>6</v>
      </c>
      <c r="B152" s="59" t="s">
        <v>6</v>
      </c>
      <c r="C152" s="59">
        <v>432</v>
      </c>
      <c r="D152" s="59">
        <v>432</v>
      </c>
      <c r="E152" s="60" t="s">
        <v>452</v>
      </c>
      <c r="F152" s="67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9"/>
      <c r="R152" s="67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9"/>
      <c r="AD152" s="67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9"/>
      <c r="AP152" s="67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9"/>
      <c r="BB152" s="67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9"/>
      <c r="BN152" s="67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9"/>
      <c r="BZ152" s="67"/>
      <c r="CA152" s="68"/>
      <c r="CB152" s="68"/>
      <c r="CC152" s="68"/>
      <c r="CD152" s="68"/>
      <c r="CE152" s="68"/>
      <c r="CF152" s="68"/>
      <c r="CG152" s="68"/>
      <c r="CH152" s="68"/>
      <c r="CI152" s="68"/>
      <c r="CJ152" s="68"/>
      <c r="CK152" s="68"/>
      <c r="CL152" s="67">
        <v>0</v>
      </c>
      <c r="CM152" s="68">
        <v>0</v>
      </c>
      <c r="CN152" s="68">
        <v>2500</v>
      </c>
      <c r="CO152" s="68">
        <v>4000</v>
      </c>
      <c r="CP152" s="68">
        <v>0</v>
      </c>
      <c r="CQ152" s="68">
        <v>0</v>
      </c>
      <c r="CR152" s="68">
        <v>1000</v>
      </c>
      <c r="CS152" s="68">
        <v>20300</v>
      </c>
      <c r="CT152" s="68">
        <v>3000</v>
      </c>
      <c r="CU152" s="68">
        <v>15972.19</v>
      </c>
      <c r="CV152" s="68">
        <v>206616.24</v>
      </c>
      <c r="CW152" s="69">
        <v>1232256.8</v>
      </c>
      <c r="CX152" s="67">
        <v>0</v>
      </c>
      <c r="CY152" s="68">
        <v>0</v>
      </c>
      <c r="CZ152" s="68">
        <v>0</v>
      </c>
      <c r="DA152" s="68">
        <v>0</v>
      </c>
      <c r="DB152" s="68">
        <v>0</v>
      </c>
      <c r="DC152" s="68">
        <v>234418.61</v>
      </c>
      <c r="DD152" s="68">
        <v>0</v>
      </c>
      <c r="DE152" s="68">
        <v>165647.53</v>
      </c>
      <c r="DF152" s="68">
        <v>6513.4</v>
      </c>
      <c r="DG152" s="68">
        <v>472164.72</v>
      </c>
      <c r="DH152" s="68">
        <v>60900</v>
      </c>
      <c r="DI152" s="69">
        <v>1247119.8600000001</v>
      </c>
      <c r="DJ152" s="67">
        <v>0</v>
      </c>
      <c r="DK152" s="68">
        <v>0</v>
      </c>
      <c r="DL152" s="68">
        <v>210000</v>
      </c>
      <c r="DM152" s="68">
        <v>0</v>
      </c>
      <c r="DN152" s="68">
        <v>0</v>
      </c>
      <c r="DO152" s="68">
        <v>10000</v>
      </c>
      <c r="DP152" s="68">
        <v>202999.94</v>
      </c>
      <c r="DQ152" s="68">
        <v>0</v>
      </c>
      <c r="DR152" s="68">
        <v>0</v>
      </c>
      <c r="DS152" s="68">
        <v>0</v>
      </c>
      <c r="DT152" s="68">
        <v>2000</v>
      </c>
      <c r="DU152" s="69">
        <v>29930.43</v>
      </c>
      <c r="DV152" s="61">
        <v>0</v>
      </c>
      <c r="DW152" s="61">
        <v>6500</v>
      </c>
      <c r="DX152" s="61">
        <v>296099.21999999997</v>
      </c>
      <c r="DY152" s="61">
        <v>332000</v>
      </c>
      <c r="DZ152" s="79">
        <v>0</v>
      </c>
      <c r="EA152" s="61">
        <v>283000</v>
      </c>
      <c r="EB152" s="79">
        <v>0</v>
      </c>
      <c r="EC152" s="79">
        <v>0</v>
      </c>
      <c r="ED152" s="79">
        <v>0</v>
      </c>
      <c r="EE152" s="79">
        <v>0</v>
      </c>
      <c r="EF152" s="79">
        <v>0</v>
      </c>
      <c r="EG152" s="79">
        <v>276000</v>
      </c>
      <c r="EH152" s="62"/>
      <c r="EI152" s="62"/>
      <c r="EJ152" s="62"/>
      <c r="EK152" s="62">
        <v>468800</v>
      </c>
      <c r="EL152" s="62">
        <v>0</v>
      </c>
      <c r="EM152" s="62">
        <v>58333.35</v>
      </c>
      <c r="EN152" s="62">
        <v>208325.51</v>
      </c>
      <c r="EO152" s="62">
        <v>542037.52</v>
      </c>
      <c r="EP152" s="62"/>
      <c r="EQ152" s="62">
        <v>121333.35</v>
      </c>
      <c r="ER152" s="62">
        <v>4552.88</v>
      </c>
      <c r="ES152" s="62"/>
      <c r="ET152" s="62">
        <v>483333.33</v>
      </c>
      <c r="EU152" s="62">
        <v>283333.33</v>
      </c>
      <c r="EV152" s="62">
        <v>283333.33</v>
      </c>
      <c r="EW152" s="62">
        <v>583333.32999999996</v>
      </c>
      <c r="EX152" s="62">
        <v>300833.33</v>
      </c>
      <c r="EY152" s="62">
        <v>355833.33</v>
      </c>
      <c r="EZ152" s="62">
        <v>968637.17</v>
      </c>
      <c r="FA152" s="62">
        <v>316247.78000000003</v>
      </c>
      <c r="FB152" s="62">
        <v>363727.86</v>
      </c>
      <c r="FC152" s="62">
        <v>592317.5</v>
      </c>
      <c r="FD152" s="62">
        <v>251620.42</v>
      </c>
      <c r="FE152" s="62">
        <v>326140.42</v>
      </c>
      <c r="FF152" s="62"/>
      <c r="FG152" s="62"/>
      <c r="FH152" s="62"/>
      <c r="FI152" s="62"/>
      <c r="FJ152" s="62"/>
      <c r="FK152" s="62"/>
      <c r="FL152" s="62"/>
      <c r="FM152" s="62"/>
      <c r="FN152" s="62"/>
      <c r="FO152" s="62"/>
      <c r="FP152" s="62"/>
      <c r="FQ152" s="62"/>
      <c r="FR152" s="62"/>
      <c r="FS152" s="62"/>
      <c r="FT152" s="62"/>
      <c r="FU152" s="62"/>
      <c r="FV152" s="62"/>
      <c r="FW152" s="62"/>
      <c r="FX152" s="62"/>
      <c r="FY152" s="62"/>
      <c r="FZ152" s="62"/>
      <c r="GA152" s="62"/>
      <c r="GB152" s="62"/>
      <c r="GC152" s="62"/>
      <c r="GD152" s="62"/>
      <c r="GF152" s="62"/>
      <c r="GG152" s="62"/>
      <c r="GH152" s="62"/>
      <c r="GI152" s="62"/>
      <c r="GJ152" s="62"/>
      <c r="GK152" s="62"/>
      <c r="GL152" s="62"/>
      <c r="GM152" s="62"/>
      <c r="GN152" s="62"/>
      <c r="GO152" s="62"/>
      <c r="GP152" s="62"/>
      <c r="GQ152" s="62"/>
      <c r="GR152" s="62"/>
      <c r="GS152" s="62"/>
      <c r="GT152" s="62"/>
      <c r="GU152" s="62"/>
      <c r="GV152" s="62"/>
      <c r="GW152" s="62"/>
      <c r="GX152" s="62"/>
      <c r="GY152" s="62"/>
      <c r="GZ152" s="62"/>
      <c r="HA152" s="62"/>
      <c r="HB152" s="62"/>
      <c r="HC152" s="62"/>
      <c r="HD152" s="62"/>
      <c r="HE152" s="62"/>
      <c r="HF152" s="62"/>
      <c r="HG152" s="62"/>
      <c r="HH152" s="62"/>
      <c r="HI152" s="62"/>
      <c r="HJ152" s="62"/>
      <c r="HK152" s="62"/>
      <c r="HL152" s="62"/>
      <c r="HM152" s="62"/>
      <c r="HN152" s="62"/>
      <c r="HO152" s="62"/>
      <c r="HP152" s="62"/>
      <c r="HQ152" s="62"/>
      <c r="HR152" s="62"/>
      <c r="HS152" s="62"/>
      <c r="HT152" s="62"/>
      <c r="HU152" s="62"/>
      <c r="HV152" s="62"/>
      <c r="HW152" s="62"/>
      <c r="HX152" s="62"/>
      <c r="HY152" s="62"/>
      <c r="HZ152" s="62"/>
      <c r="IA152" s="62"/>
      <c r="IB152" s="62"/>
      <c r="IC152" s="62"/>
      <c r="ID152" s="62"/>
      <c r="IE152" s="62"/>
      <c r="IF152" s="62"/>
      <c r="IG152" s="62"/>
      <c r="IH152" s="62"/>
      <c r="II152" s="62"/>
      <c r="IJ152" s="62"/>
      <c r="IK152" s="62"/>
      <c r="IL152" s="62"/>
      <c r="IM152" s="62"/>
      <c r="IN152" s="62"/>
      <c r="IO152" s="62"/>
      <c r="IP152" s="62"/>
      <c r="IQ152" s="62"/>
      <c r="IR152" s="62"/>
      <c r="IS152" s="62"/>
      <c r="IT152" s="62"/>
      <c r="IU152" s="62"/>
      <c r="IV152" s="62"/>
      <c r="IW152" s="62"/>
      <c r="IX152" s="62"/>
      <c r="IY152" s="62"/>
      <c r="IZ152" s="62"/>
      <c r="JA152" s="62"/>
      <c r="JB152" s="62"/>
      <c r="JC152" s="62"/>
      <c r="JD152" s="62"/>
      <c r="JE152" s="62"/>
      <c r="JF152" s="62"/>
      <c r="JG152" s="62"/>
      <c r="JH152" s="62"/>
      <c r="JI152" s="62"/>
      <c r="JJ152" s="62"/>
      <c r="JK152" s="62"/>
      <c r="JL152" s="62"/>
      <c r="JM152" s="62"/>
      <c r="JN152" s="62"/>
      <c r="JO152" s="62"/>
      <c r="JP152" s="62"/>
      <c r="JQ152" s="62"/>
      <c r="JR152" s="62"/>
      <c r="JS152" s="62"/>
      <c r="JT152" s="62"/>
      <c r="JU152" s="62"/>
      <c r="JV152" s="62"/>
      <c r="JW152" s="62"/>
      <c r="JX152" s="62"/>
      <c r="JY152" s="62"/>
      <c r="JZ152" s="62"/>
      <c r="KA152" s="62"/>
      <c r="KB152" s="62"/>
      <c r="KC152" s="62"/>
      <c r="KD152" s="62"/>
      <c r="KE152" s="62"/>
      <c r="KF152" s="62"/>
      <c r="KG152" s="62"/>
      <c r="KH152" s="62"/>
      <c r="KI152" s="62"/>
      <c r="KJ152" s="62"/>
      <c r="KK152" s="62"/>
      <c r="KL152" s="62"/>
      <c r="KM152" s="62"/>
      <c r="KN152" s="62"/>
      <c r="KO152" s="62"/>
      <c r="KP152" s="62"/>
      <c r="KQ152" s="62"/>
      <c r="KR152" s="62"/>
      <c r="KS152" s="62"/>
      <c r="KT152" s="62"/>
      <c r="KU152" s="62"/>
      <c r="KV152" s="62"/>
      <c r="KW152" s="62"/>
      <c r="KX152" s="62"/>
      <c r="KY152" s="62"/>
      <c r="KZ152" s="62"/>
      <c r="LA152" s="62"/>
      <c r="LB152" s="62"/>
      <c r="LC152" s="62"/>
      <c r="LD152" s="62"/>
      <c r="LE152" s="62"/>
      <c r="LF152" s="62"/>
      <c r="LG152" s="62"/>
      <c r="LH152" s="62"/>
      <c r="LI152" s="62"/>
    </row>
    <row r="153" spans="1:321" ht="30">
      <c r="D153" s="59">
        <v>4321</v>
      </c>
      <c r="E153" s="60" t="s">
        <v>453</v>
      </c>
      <c r="F153" s="67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9"/>
      <c r="R153" s="67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9"/>
      <c r="AD153" s="67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9"/>
      <c r="AP153" s="67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9"/>
      <c r="BB153" s="67"/>
      <c r="BC153" s="68"/>
      <c r="BD153" s="68"/>
      <c r="BE153" s="68"/>
      <c r="BF153" s="68"/>
      <c r="BG153" s="68"/>
      <c r="BH153" s="68"/>
      <c r="BI153" s="68"/>
      <c r="BJ153" s="68"/>
      <c r="BK153" s="68"/>
      <c r="BL153" s="68"/>
      <c r="BM153" s="69"/>
      <c r="BN153" s="67"/>
      <c r="BO153" s="68"/>
      <c r="BP153" s="68"/>
      <c r="BQ153" s="68"/>
      <c r="BR153" s="68"/>
      <c r="BS153" s="68"/>
      <c r="BT153" s="68"/>
      <c r="BU153" s="68"/>
      <c r="BV153" s="68"/>
      <c r="BW153" s="68"/>
      <c r="BX153" s="68"/>
      <c r="BY153" s="69"/>
      <c r="BZ153" s="67"/>
      <c r="CA153" s="68"/>
      <c r="CB153" s="68"/>
      <c r="CC153" s="68"/>
      <c r="CD153" s="68"/>
      <c r="CE153" s="68"/>
      <c r="CF153" s="68"/>
      <c r="CG153" s="68"/>
      <c r="CH153" s="68"/>
      <c r="CI153" s="68"/>
      <c r="CJ153" s="68"/>
      <c r="CK153" s="68"/>
      <c r="CL153" s="67">
        <v>0</v>
      </c>
      <c r="CM153" s="68">
        <v>0</v>
      </c>
      <c r="CN153" s="68">
        <v>0</v>
      </c>
      <c r="CO153" s="68">
        <v>0</v>
      </c>
      <c r="CP153" s="68">
        <v>0</v>
      </c>
      <c r="CQ153" s="68">
        <v>0</v>
      </c>
      <c r="CR153" s="68">
        <v>0</v>
      </c>
      <c r="CS153" s="68">
        <v>0</v>
      </c>
      <c r="CT153" s="68">
        <v>0</v>
      </c>
      <c r="CU153" s="68">
        <v>0</v>
      </c>
      <c r="CV153" s="68">
        <v>0</v>
      </c>
      <c r="CW153" s="69">
        <v>0</v>
      </c>
      <c r="CX153" s="67">
        <v>0</v>
      </c>
      <c r="CY153" s="68">
        <v>0</v>
      </c>
      <c r="CZ153" s="68">
        <v>0</v>
      </c>
      <c r="DA153" s="68">
        <v>0</v>
      </c>
      <c r="DB153" s="68">
        <v>0</v>
      </c>
      <c r="DC153" s="68">
        <v>0</v>
      </c>
      <c r="DD153" s="68">
        <v>0</v>
      </c>
      <c r="DE153" s="68">
        <v>0</v>
      </c>
      <c r="DF153" s="68">
        <v>0</v>
      </c>
      <c r="DG153" s="68">
        <v>0</v>
      </c>
      <c r="DH153" s="68">
        <v>0</v>
      </c>
      <c r="DI153" s="69">
        <v>0</v>
      </c>
      <c r="DJ153" s="67">
        <v>0</v>
      </c>
      <c r="DK153" s="68">
        <v>0</v>
      </c>
      <c r="DL153" s="68">
        <v>0</v>
      </c>
      <c r="DM153" s="68">
        <v>0</v>
      </c>
      <c r="DN153" s="68">
        <v>0</v>
      </c>
      <c r="DO153" s="68">
        <v>0</v>
      </c>
      <c r="DP153" s="68">
        <v>0</v>
      </c>
      <c r="DQ153" s="68">
        <v>0</v>
      </c>
      <c r="DR153" s="68">
        <v>0</v>
      </c>
      <c r="DS153" s="68">
        <v>0</v>
      </c>
      <c r="DT153" s="68">
        <v>0</v>
      </c>
      <c r="DU153" s="69">
        <v>0</v>
      </c>
      <c r="DV153" s="61">
        <v>0</v>
      </c>
      <c r="DW153" s="61">
        <v>0</v>
      </c>
      <c r="DX153" s="61">
        <v>0</v>
      </c>
      <c r="DY153" s="61">
        <v>0</v>
      </c>
      <c r="DZ153" s="79"/>
      <c r="EB153" s="79"/>
      <c r="EC153" s="79"/>
      <c r="ED153" s="79"/>
      <c r="EE153" s="79"/>
      <c r="EF153" s="79"/>
      <c r="EG153" s="79"/>
      <c r="EH153" s="62"/>
      <c r="EI153" s="62"/>
      <c r="EJ153" s="62"/>
      <c r="EK153" s="62"/>
      <c r="EL153" s="62"/>
      <c r="EM153" s="62"/>
      <c r="EN153" s="62"/>
      <c r="EO153" s="62"/>
      <c r="EP153" s="62"/>
      <c r="EQ153" s="62"/>
      <c r="ER153" s="62"/>
      <c r="ES153" s="62"/>
      <c r="ET153" s="62"/>
      <c r="EU153" s="62"/>
      <c r="EV153" s="62"/>
      <c r="EW153" s="62"/>
      <c r="EX153" s="62"/>
      <c r="EY153" s="62"/>
      <c r="EZ153" s="62"/>
      <c r="FA153" s="62"/>
      <c r="FB153" s="62"/>
      <c r="FC153" s="62"/>
      <c r="FD153" s="62"/>
      <c r="FE153" s="62"/>
      <c r="FF153" s="62"/>
      <c r="FG153" s="62"/>
      <c r="FH153" s="62"/>
      <c r="FI153" s="62"/>
      <c r="FJ153" s="62"/>
      <c r="FK153" s="62"/>
      <c r="FL153" s="62"/>
      <c r="FM153" s="62"/>
      <c r="FN153" s="62"/>
      <c r="FO153" s="62"/>
      <c r="FP153" s="62"/>
      <c r="FQ153" s="62"/>
      <c r="FR153" s="62"/>
      <c r="FS153" s="62"/>
      <c r="FT153" s="62"/>
      <c r="FU153" s="62"/>
      <c r="FV153" s="62"/>
      <c r="FW153" s="62"/>
      <c r="FX153" s="62"/>
      <c r="FY153" s="62"/>
      <c r="FZ153" s="62"/>
      <c r="GA153" s="62"/>
      <c r="GB153" s="62"/>
      <c r="GC153" s="62"/>
      <c r="GD153" s="62"/>
      <c r="GF153" s="62"/>
      <c r="GG153" s="62"/>
      <c r="GH153" s="62"/>
      <c r="GI153" s="62"/>
      <c r="GJ153" s="62"/>
      <c r="GK153" s="62"/>
      <c r="GL153" s="62"/>
      <c r="GM153" s="62"/>
      <c r="GN153" s="62"/>
      <c r="GO153" s="62"/>
      <c r="GP153" s="62"/>
      <c r="GQ153" s="62"/>
      <c r="GR153" s="62"/>
      <c r="GS153" s="62"/>
      <c r="GT153" s="62"/>
      <c r="GU153" s="62"/>
      <c r="GV153" s="62"/>
      <c r="GW153" s="62"/>
      <c r="GX153" s="62"/>
      <c r="GY153" s="62"/>
      <c r="GZ153" s="62"/>
      <c r="HA153" s="62"/>
      <c r="HB153" s="62"/>
      <c r="HC153" s="62"/>
      <c r="HD153" s="62"/>
      <c r="HE153" s="62"/>
      <c r="HF153" s="62"/>
      <c r="HG153" s="62"/>
      <c r="HH153" s="62"/>
      <c r="HI153" s="62"/>
      <c r="HJ153" s="62"/>
      <c r="HK153" s="62"/>
      <c r="HL153" s="62"/>
      <c r="HM153" s="62"/>
      <c r="HN153" s="62"/>
      <c r="HO153" s="62"/>
      <c r="HP153" s="62"/>
      <c r="HQ153" s="62"/>
      <c r="HR153" s="62"/>
      <c r="HS153" s="62"/>
      <c r="HT153" s="62"/>
      <c r="HU153" s="62"/>
      <c r="HV153" s="62"/>
      <c r="HW153" s="62"/>
      <c r="HX153" s="62"/>
      <c r="HY153" s="62"/>
      <c r="HZ153" s="62"/>
      <c r="IA153" s="62"/>
      <c r="IB153" s="62"/>
      <c r="IC153" s="62"/>
      <c r="ID153" s="62"/>
      <c r="IE153" s="62"/>
      <c r="IF153" s="62"/>
      <c r="IG153" s="62"/>
      <c r="IH153" s="62"/>
      <c r="II153" s="62"/>
      <c r="IJ153" s="62"/>
      <c r="IK153" s="62"/>
      <c r="IL153" s="62"/>
      <c r="IM153" s="62"/>
      <c r="IN153" s="62"/>
      <c r="IO153" s="62"/>
      <c r="IP153" s="62"/>
      <c r="IQ153" s="62"/>
      <c r="IR153" s="62"/>
      <c r="IS153" s="62"/>
      <c r="IT153" s="62"/>
      <c r="IU153" s="62"/>
      <c r="IV153" s="62"/>
      <c r="IW153" s="62"/>
      <c r="IX153" s="62"/>
      <c r="IY153" s="62"/>
      <c r="IZ153" s="62"/>
      <c r="JA153" s="62"/>
      <c r="JB153" s="62"/>
      <c r="JC153" s="62"/>
      <c r="JD153" s="62"/>
      <c r="JE153" s="62"/>
      <c r="JF153" s="62"/>
      <c r="JG153" s="62"/>
      <c r="JH153" s="62"/>
      <c r="JI153" s="62"/>
      <c r="JJ153" s="62"/>
      <c r="JK153" s="62"/>
      <c r="JL153" s="62"/>
      <c r="JM153" s="62"/>
      <c r="JN153" s="62"/>
      <c r="JO153" s="62"/>
      <c r="JP153" s="62"/>
      <c r="JQ153" s="62"/>
      <c r="JR153" s="62"/>
      <c r="JS153" s="62"/>
      <c r="JT153" s="62"/>
      <c r="JU153" s="62"/>
      <c r="JV153" s="62"/>
      <c r="JW153" s="62"/>
      <c r="JX153" s="62"/>
      <c r="JY153" s="62"/>
      <c r="JZ153" s="62"/>
      <c r="KA153" s="62"/>
      <c r="KB153" s="62"/>
      <c r="KC153" s="62"/>
      <c r="KD153" s="62"/>
      <c r="KE153" s="62"/>
      <c r="KF153" s="62"/>
      <c r="KG153" s="62"/>
      <c r="KH153" s="62"/>
      <c r="KI153" s="62"/>
      <c r="KJ153" s="62"/>
      <c r="KK153" s="62"/>
      <c r="KL153" s="62"/>
      <c r="KM153" s="62"/>
      <c r="KN153" s="62"/>
      <c r="KO153" s="62"/>
      <c r="KP153" s="62"/>
      <c r="KQ153" s="62"/>
      <c r="KR153" s="62"/>
      <c r="KS153" s="62"/>
      <c r="KT153" s="62"/>
      <c r="KU153" s="62"/>
      <c r="KV153" s="62"/>
      <c r="KW153" s="62"/>
      <c r="KX153" s="62"/>
      <c r="KY153" s="62"/>
      <c r="KZ153" s="62"/>
      <c r="LA153" s="62"/>
      <c r="LB153" s="62"/>
      <c r="LC153" s="62"/>
      <c r="LD153" s="62"/>
      <c r="LE153" s="62"/>
      <c r="LF153" s="62"/>
      <c r="LG153" s="62"/>
      <c r="LH153" s="62"/>
      <c r="LI153" s="62"/>
    </row>
    <row r="154" spans="1:321">
      <c r="D154" s="59">
        <v>4322</v>
      </c>
      <c r="E154" s="60" t="s">
        <v>454</v>
      </c>
      <c r="F154" s="67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9"/>
      <c r="R154" s="67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9"/>
      <c r="AD154" s="67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9"/>
      <c r="AP154" s="67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9"/>
      <c r="BB154" s="67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9"/>
      <c r="BN154" s="67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9"/>
      <c r="BZ154" s="67"/>
      <c r="CA154" s="68"/>
      <c r="CB154" s="68"/>
      <c r="CC154" s="68"/>
      <c r="CD154" s="68"/>
      <c r="CE154" s="68"/>
      <c r="CF154" s="68"/>
      <c r="CG154" s="68"/>
      <c r="CH154" s="68"/>
      <c r="CI154" s="68"/>
      <c r="CJ154" s="68"/>
      <c r="CK154" s="68"/>
      <c r="CL154" s="67">
        <v>0</v>
      </c>
      <c r="CM154" s="68">
        <v>0</v>
      </c>
      <c r="CN154" s="68">
        <v>0</v>
      </c>
      <c r="CO154" s="68">
        <v>0</v>
      </c>
      <c r="CP154" s="68">
        <v>0</v>
      </c>
      <c r="CQ154" s="68">
        <v>0</v>
      </c>
      <c r="CR154" s="68">
        <v>0</v>
      </c>
      <c r="CS154" s="68">
        <v>0</v>
      </c>
      <c r="CT154" s="68">
        <v>0</v>
      </c>
      <c r="CU154" s="68">
        <v>0</v>
      </c>
      <c r="CV154" s="68">
        <v>0</v>
      </c>
      <c r="CW154" s="69">
        <v>0</v>
      </c>
      <c r="CX154" s="67">
        <v>0</v>
      </c>
      <c r="CY154" s="68">
        <v>0</v>
      </c>
      <c r="CZ154" s="68">
        <v>0</v>
      </c>
      <c r="DA154" s="68">
        <v>0</v>
      </c>
      <c r="DB154" s="68">
        <v>0</v>
      </c>
      <c r="DC154" s="68">
        <v>0</v>
      </c>
      <c r="DD154" s="68">
        <v>0</v>
      </c>
      <c r="DE154" s="68">
        <v>0</v>
      </c>
      <c r="DF154" s="68">
        <v>0</v>
      </c>
      <c r="DG154" s="68">
        <v>0</v>
      </c>
      <c r="DH154" s="68">
        <v>0</v>
      </c>
      <c r="DI154" s="69">
        <v>0</v>
      </c>
      <c r="DJ154" s="67">
        <v>0</v>
      </c>
      <c r="DK154" s="68">
        <v>0</v>
      </c>
      <c r="DL154" s="68">
        <v>0</v>
      </c>
      <c r="DM154" s="68">
        <v>0</v>
      </c>
      <c r="DN154" s="68">
        <v>0</v>
      </c>
      <c r="DO154" s="68">
        <v>0</v>
      </c>
      <c r="DP154" s="68">
        <v>0</v>
      </c>
      <c r="DQ154" s="68">
        <v>0</v>
      </c>
      <c r="DR154" s="68">
        <v>0</v>
      </c>
      <c r="DS154" s="68">
        <v>0</v>
      </c>
      <c r="DT154" s="68">
        <v>0</v>
      </c>
      <c r="DU154" s="69">
        <v>0</v>
      </c>
      <c r="DV154" s="61">
        <v>0</v>
      </c>
      <c r="DW154" s="61">
        <v>0</v>
      </c>
      <c r="DX154" s="61">
        <v>0</v>
      </c>
      <c r="DY154" s="61">
        <v>0</v>
      </c>
      <c r="DZ154" s="79"/>
      <c r="EB154" s="79"/>
      <c r="EC154" s="79"/>
      <c r="ED154" s="79"/>
      <c r="EE154" s="79"/>
      <c r="EF154" s="79"/>
      <c r="EG154" s="79"/>
      <c r="EH154" s="62"/>
      <c r="EI154" s="62"/>
      <c r="EJ154" s="62"/>
      <c r="EK154" s="62"/>
      <c r="EL154" s="62"/>
      <c r="EM154" s="62"/>
      <c r="EN154" s="62"/>
      <c r="EO154" s="62"/>
      <c r="EP154" s="62"/>
      <c r="EQ154" s="62"/>
      <c r="ER154" s="62"/>
      <c r="ES154" s="62"/>
      <c r="ET154" s="62"/>
      <c r="EU154" s="62"/>
      <c r="EV154" s="62"/>
      <c r="EW154" s="62"/>
      <c r="EX154" s="62"/>
      <c r="EY154" s="62"/>
      <c r="EZ154" s="62"/>
      <c r="FA154" s="62"/>
      <c r="FB154" s="62"/>
      <c r="FC154" s="62"/>
      <c r="FD154" s="62"/>
      <c r="FE154" s="62"/>
      <c r="FF154" s="62"/>
      <c r="FG154" s="62"/>
      <c r="FH154" s="62"/>
      <c r="FI154" s="62"/>
      <c r="FJ154" s="62"/>
      <c r="FK154" s="62"/>
      <c r="FL154" s="62"/>
      <c r="FM154" s="62"/>
      <c r="FN154" s="62"/>
      <c r="FO154" s="62"/>
      <c r="FP154" s="62"/>
      <c r="FQ154" s="62"/>
      <c r="FR154" s="62"/>
      <c r="FS154" s="62"/>
      <c r="FT154" s="62"/>
      <c r="FU154" s="62"/>
      <c r="FV154" s="62"/>
      <c r="FW154" s="62"/>
      <c r="FX154" s="62"/>
      <c r="FY154" s="62"/>
      <c r="FZ154" s="62"/>
      <c r="GA154" s="62"/>
      <c r="GB154" s="62"/>
      <c r="GC154" s="62"/>
      <c r="GD154" s="62"/>
      <c r="GF154" s="62"/>
      <c r="GG154" s="62"/>
      <c r="GH154" s="62"/>
      <c r="GI154" s="62"/>
      <c r="GJ154" s="62"/>
      <c r="GK154" s="62"/>
      <c r="GL154" s="62"/>
      <c r="GM154" s="62"/>
      <c r="GN154" s="62"/>
      <c r="GO154" s="62"/>
      <c r="GP154" s="62"/>
      <c r="GQ154" s="62"/>
      <c r="GR154" s="62"/>
      <c r="GS154" s="62"/>
      <c r="GT154" s="62"/>
      <c r="GU154" s="62"/>
      <c r="GV154" s="62"/>
      <c r="GW154" s="62"/>
      <c r="GX154" s="62"/>
      <c r="GY154" s="62"/>
      <c r="GZ154" s="62"/>
      <c r="HA154" s="62"/>
      <c r="HB154" s="62"/>
      <c r="HC154" s="62"/>
      <c r="HD154" s="62"/>
      <c r="HE154" s="62"/>
      <c r="HF154" s="62"/>
      <c r="HG154" s="62"/>
      <c r="HH154" s="62"/>
      <c r="HI154" s="62"/>
      <c r="HJ154" s="62"/>
      <c r="HK154" s="62"/>
      <c r="HL154" s="62"/>
      <c r="HM154" s="62"/>
      <c r="HN154" s="62"/>
      <c r="HO154" s="62"/>
      <c r="HP154" s="62"/>
      <c r="HQ154" s="62"/>
      <c r="HR154" s="62"/>
      <c r="HS154" s="62"/>
      <c r="HT154" s="62"/>
      <c r="HU154" s="62"/>
      <c r="HV154" s="62"/>
      <c r="HW154" s="62"/>
      <c r="HX154" s="62"/>
      <c r="HY154" s="62"/>
      <c r="HZ154" s="62"/>
      <c r="IA154" s="62"/>
      <c r="IB154" s="62"/>
      <c r="IC154" s="62"/>
      <c r="ID154" s="62"/>
      <c r="IE154" s="62"/>
      <c r="IF154" s="62"/>
      <c r="IG154" s="62"/>
      <c r="IH154" s="62"/>
      <c r="II154" s="62"/>
      <c r="IJ154" s="62"/>
      <c r="IK154" s="62"/>
      <c r="IL154" s="62"/>
      <c r="IM154" s="62"/>
      <c r="IN154" s="62"/>
      <c r="IO154" s="62"/>
      <c r="IP154" s="62"/>
      <c r="IQ154" s="62"/>
      <c r="IR154" s="62"/>
      <c r="IS154" s="62"/>
      <c r="IT154" s="62"/>
      <c r="IU154" s="62"/>
      <c r="IV154" s="62"/>
      <c r="IW154" s="62"/>
      <c r="IX154" s="62"/>
      <c r="IY154" s="62"/>
      <c r="IZ154" s="62"/>
      <c r="JA154" s="62"/>
      <c r="JB154" s="62"/>
      <c r="JC154" s="62"/>
      <c r="JD154" s="62"/>
      <c r="JE154" s="62"/>
      <c r="JF154" s="62"/>
      <c r="JG154" s="62"/>
      <c r="JH154" s="62"/>
      <c r="JI154" s="62"/>
      <c r="JJ154" s="62"/>
      <c r="JK154" s="62"/>
      <c r="JL154" s="62"/>
      <c r="JM154" s="62"/>
      <c r="JN154" s="62"/>
      <c r="JO154" s="62"/>
      <c r="JP154" s="62"/>
      <c r="JQ154" s="62"/>
      <c r="JR154" s="62"/>
      <c r="JS154" s="62"/>
      <c r="JT154" s="62"/>
      <c r="JU154" s="62"/>
      <c r="JV154" s="62"/>
      <c r="JW154" s="62"/>
      <c r="JX154" s="62"/>
      <c r="JY154" s="62"/>
      <c r="JZ154" s="62"/>
      <c r="KA154" s="62"/>
      <c r="KB154" s="62"/>
      <c r="KC154" s="62"/>
      <c r="KD154" s="62"/>
      <c r="KE154" s="62"/>
      <c r="KF154" s="62"/>
      <c r="KG154" s="62"/>
      <c r="KH154" s="62"/>
      <c r="KI154" s="62"/>
      <c r="KJ154" s="62"/>
      <c r="KK154" s="62"/>
      <c r="KL154" s="62"/>
      <c r="KM154" s="62"/>
      <c r="KN154" s="62"/>
      <c r="KO154" s="62"/>
      <c r="KP154" s="62"/>
      <c r="KQ154" s="62"/>
      <c r="KR154" s="62"/>
      <c r="KS154" s="62"/>
      <c r="KT154" s="62"/>
      <c r="KU154" s="62"/>
      <c r="KV154" s="62"/>
      <c r="KW154" s="62"/>
      <c r="KX154" s="62"/>
      <c r="KY154" s="62"/>
      <c r="KZ154" s="62"/>
      <c r="LA154" s="62"/>
      <c r="LB154" s="62"/>
      <c r="LC154" s="62"/>
      <c r="LD154" s="62"/>
      <c r="LE154" s="62"/>
      <c r="LF154" s="62"/>
      <c r="LG154" s="62"/>
      <c r="LH154" s="62"/>
      <c r="LI154" s="62"/>
    </row>
    <row r="155" spans="1:321" ht="30">
      <c r="D155" s="59">
        <v>4323</v>
      </c>
      <c r="E155" s="60" t="s">
        <v>455</v>
      </c>
      <c r="F155" s="67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9"/>
      <c r="R155" s="67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9"/>
      <c r="AD155" s="67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9"/>
      <c r="AP155" s="67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9"/>
      <c r="BB155" s="67"/>
      <c r="BC155" s="68"/>
      <c r="BD155" s="68"/>
      <c r="BE155" s="68"/>
      <c r="BF155" s="68"/>
      <c r="BG155" s="68"/>
      <c r="BH155" s="68"/>
      <c r="BI155" s="68"/>
      <c r="BJ155" s="68"/>
      <c r="BK155" s="68"/>
      <c r="BL155" s="68"/>
      <c r="BM155" s="69"/>
      <c r="BN155" s="67"/>
      <c r="BO155" s="68"/>
      <c r="BP155" s="68"/>
      <c r="BQ155" s="68"/>
      <c r="BR155" s="68"/>
      <c r="BS155" s="68"/>
      <c r="BT155" s="68"/>
      <c r="BU155" s="68"/>
      <c r="BV155" s="68"/>
      <c r="BW155" s="68"/>
      <c r="BX155" s="68"/>
      <c r="BY155" s="69"/>
      <c r="BZ155" s="67"/>
      <c r="CA155" s="68"/>
      <c r="CB155" s="68"/>
      <c r="CC155" s="68"/>
      <c r="CD155" s="68"/>
      <c r="CE155" s="68"/>
      <c r="CF155" s="68"/>
      <c r="CG155" s="68"/>
      <c r="CH155" s="68"/>
      <c r="CI155" s="68"/>
      <c r="CJ155" s="68"/>
      <c r="CK155" s="68"/>
      <c r="CL155" s="67">
        <v>0</v>
      </c>
      <c r="CM155" s="68">
        <v>0</v>
      </c>
      <c r="CN155" s="68">
        <v>0</v>
      </c>
      <c r="CO155" s="68">
        <v>0</v>
      </c>
      <c r="CP155" s="68">
        <v>0</v>
      </c>
      <c r="CQ155" s="68">
        <v>0</v>
      </c>
      <c r="CR155" s="68">
        <v>0</v>
      </c>
      <c r="CS155" s="68">
        <v>0</v>
      </c>
      <c r="CT155" s="68">
        <v>0</v>
      </c>
      <c r="CU155" s="68">
        <v>0</v>
      </c>
      <c r="CV155" s="68">
        <v>0</v>
      </c>
      <c r="CW155" s="69">
        <v>0</v>
      </c>
      <c r="CX155" s="67">
        <v>0</v>
      </c>
      <c r="CY155" s="68">
        <v>0</v>
      </c>
      <c r="CZ155" s="68">
        <v>0</v>
      </c>
      <c r="DA155" s="68">
        <v>0</v>
      </c>
      <c r="DB155" s="68">
        <v>0</v>
      </c>
      <c r="DC155" s="68">
        <v>0</v>
      </c>
      <c r="DD155" s="68">
        <v>0</v>
      </c>
      <c r="DE155" s="68">
        <v>0</v>
      </c>
      <c r="DF155" s="68">
        <v>0</v>
      </c>
      <c r="DG155" s="68">
        <v>0</v>
      </c>
      <c r="DH155" s="68">
        <v>0</v>
      </c>
      <c r="DI155" s="69">
        <v>0</v>
      </c>
      <c r="DJ155" s="67">
        <v>0</v>
      </c>
      <c r="DK155" s="68">
        <v>0</v>
      </c>
      <c r="DL155" s="68">
        <v>0</v>
      </c>
      <c r="DM155" s="68">
        <v>0</v>
      </c>
      <c r="DN155" s="68">
        <v>0</v>
      </c>
      <c r="DO155" s="68">
        <v>0</v>
      </c>
      <c r="DP155" s="68">
        <v>0</v>
      </c>
      <c r="DQ155" s="68">
        <v>0</v>
      </c>
      <c r="DR155" s="68">
        <v>0</v>
      </c>
      <c r="DS155" s="68">
        <v>0</v>
      </c>
      <c r="DT155" s="68">
        <v>0</v>
      </c>
      <c r="DU155" s="69">
        <v>0</v>
      </c>
      <c r="DV155" s="61">
        <v>0</v>
      </c>
      <c r="DW155" s="61">
        <v>0</v>
      </c>
      <c r="DX155" s="61">
        <v>0</v>
      </c>
      <c r="DY155" s="61">
        <v>0</v>
      </c>
      <c r="DZ155" s="79"/>
      <c r="EB155" s="79"/>
      <c r="EC155" s="79"/>
      <c r="ED155" s="79"/>
      <c r="EE155" s="79"/>
      <c r="EF155" s="79"/>
      <c r="EG155" s="79"/>
      <c r="EH155" s="62"/>
      <c r="EI155" s="62"/>
      <c r="EJ155" s="62"/>
      <c r="EK155" s="62"/>
      <c r="EL155" s="62"/>
      <c r="EM155" s="62"/>
      <c r="EN155" s="62"/>
      <c r="EO155" s="62"/>
      <c r="EP155" s="62"/>
      <c r="EQ155" s="62"/>
      <c r="ER155" s="62"/>
      <c r="ES155" s="62"/>
      <c r="ET155" s="62"/>
      <c r="EU155" s="62"/>
      <c r="EV155" s="62"/>
      <c r="EW155" s="62"/>
      <c r="EX155" s="62"/>
      <c r="EY155" s="62"/>
      <c r="EZ155" s="62"/>
      <c r="FA155" s="62"/>
      <c r="FB155" s="62"/>
      <c r="FC155" s="62"/>
      <c r="FD155" s="62"/>
      <c r="FE155" s="62"/>
      <c r="FF155" s="62"/>
      <c r="FG155" s="62"/>
      <c r="FH155" s="62"/>
      <c r="FI155" s="62"/>
      <c r="FJ155" s="62"/>
      <c r="FK155" s="62"/>
      <c r="FL155" s="62"/>
      <c r="FM155" s="62"/>
      <c r="FN155" s="62"/>
      <c r="FO155" s="62"/>
      <c r="FP155" s="62"/>
      <c r="FQ155" s="62"/>
      <c r="FR155" s="62"/>
      <c r="FS155" s="62"/>
      <c r="FT155" s="62"/>
      <c r="FU155" s="62"/>
      <c r="FV155" s="62"/>
      <c r="FW155" s="62"/>
      <c r="FX155" s="62"/>
      <c r="FY155" s="62"/>
      <c r="FZ155" s="62"/>
      <c r="GA155" s="62"/>
      <c r="GB155" s="62"/>
      <c r="GC155" s="62"/>
      <c r="GD155" s="62"/>
      <c r="GF155" s="62"/>
      <c r="GG155" s="62"/>
      <c r="GH155" s="62"/>
      <c r="GI155" s="62"/>
      <c r="GJ155" s="62"/>
      <c r="GK155" s="62"/>
      <c r="GL155" s="62"/>
      <c r="GM155" s="62"/>
      <c r="GN155" s="62"/>
      <c r="GO155" s="62"/>
      <c r="GP155" s="62"/>
      <c r="GQ155" s="62"/>
      <c r="GR155" s="62"/>
      <c r="GS155" s="62"/>
      <c r="GT155" s="62"/>
      <c r="GU155" s="62"/>
      <c r="GV155" s="62"/>
      <c r="GW155" s="62"/>
      <c r="GX155" s="62"/>
      <c r="GY155" s="62"/>
      <c r="GZ155" s="62"/>
      <c r="HA155" s="62"/>
      <c r="HB155" s="62"/>
      <c r="HC155" s="62"/>
      <c r="HD155" s="62"/>
      <c r="HE155" s="62"/>
      <c r="HF155" s="62"/>
      <c r="HG155" s="62"/>
      <c r="HH155" s="62"/>
      <c r="HI155" s="62"/>
      <c r="HJ155" s="62"/>
      <c r="HK155" s="62"/>
      <c r="HL155" s="62"/>
      <c r="HM155" s="62"/>
      <c r="HN155" s="62"/>
      <c r="HO155" s="62"/>
      <c r="HP155" s="62"/>
      <c r="HQ155" s="62"/>
      <c r="HR155" s="62"/>
      <c r="HS155" s="62"/>
      <c r="HT155" s="62"/>
      <c r="HU155" s="62"/>
      <c r="HV155" s="62"/>
      <c r="HW155" s="62"/>
      <c r="HX155" s="62"/>
      <c r="HY155" s="62"/>
      <c r="HZ155" s="62"/>
      <c r="IA155" s="62"/>
      <c r="IB155" s="62"/>
      <c r="IC155" s="62"/>
      <c r="ID155" s="62"/>
      <c r="IE155" s="62"/>
      <c r="IF155" s="62"/>
      <c r="IG155" s="62"/>
      <c r="IH155" s="62"/>
      <c r="II155" s="62"/>
      <c r="IJ155" s="62"/>
      <c r="IK155" s="62"/>
      <c r="IL155" s="62"/>
      <c r="IM155" s="62"/>
      <c r="IN155" s="62"/>
      <c r="IO155" s="62"/>
      <c r="IP155" s="62"/>
      <c r="IQ155" s="62"/>
      <c r="IR155" s="62"/>
      <c r="IS155" s="62"/>
      <c r="IT155" s="62"/>
      <c r="IU155" s="62"/>
      <c r="IV155" s="62"/>
      <c r="IW155" s="62"/>
      <c r="IX155" s="62"/>
      <c r="IY155" s="62"/>
      <c r="IZ155" s="62"/>
      <c r="JA155" s="62"/>
      <c r="JB155" s="62"/>
      <c r="JC155" s="62"/>
      <c r="JD155" s="62"/>
      <c r="JE155" s="62"/>
      <c r="JF155" s="62"/>
      <c r="JG155" s="62"/>
      <c r="JH155" s="62"/>
      <c r="JI155" s="62"/>
      <c r="JJ155" s="62"/>
      <c r="JK155" s="62"/>
      <c r="JL155" s="62"/>
      <c r="JM155" s="62"/>
      <c r="JN155" s="62"/>
      <c r="JO155" s="62"/>
      <c r="JP155" s="62"/>
      <c r="JQ155" s="62"/>
      <c r="JR155" s="62"/>
      <c r="JS155" s="62"/>
      <c r="JT155" s="62"/>
      <c r="JU155" s="62"/>
      <c r="JV155" s="62"/>
      <c r="JW155" s="62"/>
      <c r="JX155" s="62"/>
      <c r="JY155" s="62"/>
      <c r="JZ155" s="62"/>
      <c r="KA155" s="62"/>
      <c r="KB155" s="62"/>
      <c r="KC155" s="62"/>
      <c r="KD155" s="62"/>
      <c r="KE155" s="62"/>
      <c r="KF155" s="62"/>
      <c r="KG155" s="62"/>
      <c r="KH155" s="62"/>
      <c r="KI155" s="62"/>
      <c r="KJ155" s="62"/>
      <c r="KK155" s="62"/>
      <c r="KL155" s="62"/>
      <c r="KM155" s="62"/>
      <c r="KN155" s="62"/>
      <c r="KO155" s="62"/>
      <c r="KP155" s="62"/>
      <c r="KQ155" s="62"/>
      <c r="KR155" s="62"/>
      <c r="KS155" s="62"/>
      <c r="KT155" s="62"/>
      <c r="KU155" s="62"/>
      <c r="KV155" s="62"/>
      <c r="KW155" s="62"/>
      <c r="KX155" s="62"/>
      <c r="KY155" s="62"/>
      <c r="KZ155" s="62"/>
      <c r="LA155" s="62"/>
      <c r="LB155" s="62"/>
      <c r="LC155" s="62"/>
      <c r="LD155" s="62"/>
      <c r="LE155" s="62"/>
      <c r="LF155" s="62"/>
      <c r="LG155" s="62"/>
      <c r="LH155" s="62"/>
      <c r="LI155" s="62"/>
    </row>
    <row r="156" spans="1:321">
      <c r="D156" s="59">
        <v>4324</v>
      </c>
      <c r="E156" s="60" t="s">
        <v>456</v>
      </c>
      <c r="F156" s="67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9"/>
      <c r="R156" s="67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9"/>
      <c r="AD156" s="67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9"/>
      <c r="AP156" s="67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9"/>
      <c r="BB156" s="67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9"/>
      <c r="BN156" s="67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9"/>
      <c r="BZ156" s="67"/>
      <c r="CA156" s="68"/>
      <c r="CB156" s="68"/>
      <c r="CC156" s="68"/>
      <c r="CD156" s="68"/>
      <c r="CE156" s="68"/>
      <c r="CF156" s="68"/>
      <c r="CG156" s="68"/>
      <c r="CH156" s="68"/>
      <c r="CI156" s="68"/>
      <c r="CJ156" s="68"/>
      <c r="CK156" s="68"/>
      <c r="CL156" s="67">
        <v>0</v>
      </c>
      <c r="CM156" s="68">
        <v>0</v>
      </c>
      <c r="CN156" s="68">
        <v>2500</v>
      </c>
      <c r="CO156" s="68">
        <v>4000</v>
      </c>
      <c r="CP156" s="68">
        <v>0</v>
      </c>
      <c r="CQ156" s="68">
        <v>0</v>
      </c>
      <c r="CR156" s="68">
        <v>1000</v>
      </c>
      <c r="CS156" s="68">
        <v>20300</v>
      </c>
      <c r="CT156" s="68">
        <v>3000</v>
      </c>
      <c r="CU156" s="68">
        <v>15972.19</v>
      </c>
      <c r="CV156" s="68">
        <v>206616.24</v>
      </c>
      <c r="CW156" s="69">
        <v>1232256.8</v>
      </c>
      <c r="CX156" s="67">
        <v>0</v>
      </c>
      <c r="CY156" s="68">
        <v>0</v>
      </c>
      <c r="CZ156" s="68">
        <v>0</v>
      </c>
      <c r="DA156" s="68">
        <v>0</v>
      </c>
      <c r="DB156" s="68">
        <v>0</v>
      </c>
      <c r="DC156" s="68">
        <v>234418.61</v>
      </c>
      <c r="DD156" s="68">
        <v>0</v>
      </c>
      <c r="DE156" s="68">
        <v>165647.53</v>
      </c>
      <c r="DF156" s="68">
        <v>6513.4</v>
      </c>
      <c r="DG156" s="68">
        <v>472164.72</v>
      </c>
      <c r="DH156" s="68">
        <v>60900</v>
      </c>
      <c r="DI156" s="69">
        <v>897119.86</v>
      </c>
      <c r="DJ156" s="67">
        <v>0</v>
      </c>
      <c r="DK156" s="68">
        <v>0</v>
      </c>
      <c r="DL156" s="68">
        <v>210000</v>
      </c>
      <c r="DM156" s="68">
        <v>0</v>
      </c>
      <c r="DN156" s="68">
        <v>0</v>
      </c>
      <c r="DO156" s="68">
        <v>10000</v>
      </c>
      <c r="DP156" s="68">
        <v>202999.94</v>
      </c>
      <c r="DQ156" s="68">
        <v>0</v>
      </c>
      <c r="DR156" s="68">
        <v>0</v>
      </c>
      <c r="DS156" s="68">
        <v>0</v>
      </c>
      <c r="DT156" s="68">
        <v>2000</v>
      </c>
      <c r="DU156" s="69">
        <v>29930.43</v>
      </c>
      <c r="DV156" s="61">
        <v>0</v>
      </c>
      <c r="DW156" s="61">
        <v>6500</v>
      </c>
      <c r="DX156" s="61">
        <v>296099.21999999997</v>
      </c>
      <c r="DY156" s="61">
        <v>332000</v>
      </c>
      <c r="DZ156" s="79">
        <v>198000</v>
      </c>
      <c r="EB156" s="79"/>
      <c r="EC156" s="79"/>
      <c r="ED156" s="79"/>
      <c r="EE156" s="79"/>
      <c r="EF156" s="79"/>
      <c r="EG156" s="79"/>
      <c r="EH156" s="62"/>
      <c r="EI156" s="62"/>
      <c r="EJ156" s="62"/>
      <c r="EK156" s="62"/>
      <c r="EL156" s="62"/>
      <c r="EM156" s="62"/>
      <c r="EN156" s="62"/>
      <c r="EO156" s="62"/>
      <c r="EP156" s="62"/>
      <c r="EQ156" s="62"/>
      <c r="ER156" s="62"/>
      <c r="ES156" s="62"/>
      <c r="ET156" s="62"/>
      <c r="EU156" s="62"/>
      <c r="EV156" s="62"/>
      <c r="EW156" s="62"/>
      <c r="EX156" s="62"/>
      <c r="EY156" s="62"/>
      <c r="EZ156" s="62"/>
      <c r="FA156" s="62"/>
      <c r="FB156" s="62"/>
      <c r="FC156" s="62"/>
      <c r="FD156" s="62"/>
      <c r="FE156" s="62"/>
      <c r="FF156" s="62"/>
      <c r="FG156" s="62"/>
      <c r="FH156" s="62"/>
      <c r="FI156" s="62"/>
      <c r="FJ156" s="62"/>
      <c r="FK156" s="62"/>
      <c r="FL156" s="62"/>
      <c r="FM156" s="62"/>
      <c r="FN156" s="62"/>
      <c r="FO156" s="62"/>
      <c r="FP156" s="62"/>
      <c r="FQ156" s="62"/>
      <c r="FR156" s="62"/>
      <c r="FS156" s="62"/>
      <c r="FT156" s="62"/>
      <c r="FU156" s="62"/>
      <c r="FV156" s="62"/>
      <c r="FW156" s="62"/>
      <c r="FX156" s="62"/>
      <c r="FY156" s="62"/>
      <c r="FZ156" s="62"/>
      <c r="GA156" s="62"/>
      <c r="GB156" s="62"/>
      <c r="GC156" s="62"/>
      <c r="GD156" s="62"/>
      <c r="GF156" s="62"/>
      <c r="GG156" s="62"/>
      <c r="GH156" s="62"/>
      <c r="GI156" s="62"/>
      <c r="GJ156" s="62"/>
      <c r="GK156" s="62"/>
      <c r="GL156" s="62"/>
      <c r="GM156" s="62"/>
      <c r="GN156" s="62"/>
      <c r="GO156" s="62"/>
      <c r="GP156" s="62"/>
      <c r="GQ156" s="62"/>
      <c r="GR156" s="62"/>
      <c r="GS156" s="62"/>
      <c r="GT156" s="62"/>
      <c r="GU156" s="62"/>
      <c r="GV156" s="62"/>
      <c r="GW156" s="62"/>
      <c r="GX156" s="62"/>
      <c r="GY156" s="62"/>
      <c r="GZ156" s="62"/>
      <c r="HA156" s="62"/>
      <c r="HB156" s="62"/>
      <c r="HC156" s="62"/>
      <c r="HD156" s="62"/>
      <c r="HE156" s="62"/>
      <c r="HF156" s="62"/>
      <c r="HG156" s="62"/>
      <c r="HH156" s="62"/>
      <c r="HI156" s="62"/>
      <c r="HJ156" s="62"/>
      <c r="HK156" s="62"/>
      <c r="HL156" s="62"/>
      <c r="HM156" s="62"/>
      <c r="HN156" s="62"/>
      <c r="HO156" s="62"/>
      <c r="HP156" s="62"/>
      <c r="HQ156" s="62"/>
      <c r="HR156" s="62"/>
      <c r="HS156" s="62"/>
      <c r="HT156" s="62"/>
      <c r="HU156" s="62"/>
      <c r="HV156" s="62"/>
      <c r="HW156" s="62"/>
      <c r="HX156" s="62"/>
      <c r="HY156" s="62"/>
      <c r="HZ156" s="62"/>
      <c r="IA156" s="62"/>
      <c r="IB156" s="62"/>
      <c r="IC156" s="62"/>
      <c r="ID156" s="62"/>
      <c r="IE156" s="62"/>
      <c r="IF156" s="62"/>
      <c r="IG156" s="62"/>
      <c r="IH156" s="62"/>
      <c r="II156" s="62"/>
      <c r="IJ156" s="62"/>
      <c r="IK156" s="62"/>
      <c r="IL156" s="62"/>
      <c r="IM156" s="62"/>
      <c r="IN156" s="62"/>
      <c r="IO156" s="62"/>
      <c r="IP156" s="62"/>
      <c r="IQ156" s="62"/>
      <c r="IR156" s="62"/>
      <c r="IS156" s="62"/>
      <c r="IT156" s="62"/>
      <c r="IU156" s="62"/>
      <c r="IV156" s="62"/>
      <c r="IW156" s="62"/>
      <c r="IX156" s="62"/>
      <c r="IY156" s="62"/>
      <c r="IZ156" s="62"/>
      <c r="JA156" s="62"/>
      <c r="JB156" s="62"/>
      <c r="JC156" s="62"/>
      <c r="JD156" s="62"/>
      <c r="JE156" s="62"/>
      <c r="JF156" s="62"/>
      <c r="JG156" s="62"/>
      <c r="JH156" s="62"/>
      <c r="JI156" s="62"/>
      <c r="JJ156" s="62"/>
      <c r="JK156" s="62"/>
      <c r="JL156" s="62"/>
      <c r="JM156" s="62"/>
      <c r="JN156" s="62"/>
      <c r="JO156" s="62"/>
      <c r="JP156" s="62"/>
      <c r="JQ156" s="62"/>
      <c r="JR156" s="62"/>
      <c r="JS156" s="62"/>
      <c r="JT156" s="62"/>
      <c r="JU156" s="62"/>
      <c r="JV156" s="62"/>
      <c r="JW156" s="62"/>
      <c r="JX156" s="62"/>
      <c r="JY156" s="62"/>
      <c r="JZ156" s="62"/>
      <c r="KA156" s="62"/>
      <c r="KB156" s="62"/>
      <c r="KC156" s="62"/>
      <c r="KD156" s="62"/>
      <c r="KE156" s="62"/>
      <c r="KF156" s="62"/>
      <c r="KG156" s="62"/>
      <c r="KH156" s="62"/>
      <c r="KI156" s="62"/>
      <c r="KJ156" s="62"/>
      <c r="KK156" s="62"/>
      <c r="KL156" s="62"/>
      <c r="KM156" s="62"/>
      <c r="KN156" s="62"/>
      <c r="KO156" s="62"/>
      <c r="KP156" s="62"/>
      <c r="KQ156" s="62"/>
      <c r="KR156" s="62"/>
      <c r="KS156" s="62"/>
      <c r="KT156" s="62"/>
      <c r="KU156" s="62"/>
      <c r="KV156" s="62"/>
      <c r="KW156" s="62"/>
      <c r="KX156" s="62"/>
      <c r="KY156" s="62"/>
      <c r="KZ156" s="62"/>
      <c r="LA156" s="62"/>
      <c r="LB156" s="62"/>
      <c r="LC156" s="62"/>
      <c r="LD156" s="62"/>
      <c r="LE156" s="62"/>
      <c r="LF156" s="62"/>
      <c r="LG156" s="62"/>
      <c r="LH156" s="62"/>
      <c r="LI156" s="62"/>
    </row>
    <row r="157" spans="1:321">
      <c r="D157" s="59">
        <v>4325</v>
      </c>
      <c r="E157" s="60" t="s">
        <v>457</v>
      </c>
      <c r="F157" s="67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9"/>
      <c r="R157" s="67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9"/>
      <c r="AD157" s="67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9"/>
      <c r="AP157" s="67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9"/>
      <c r="BB157" s="67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9"/>
      <c r="BN157" s="67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9"/>
      <c r="BZ157" s="67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7">
        <v>0</v>
      </c>
      <c r="CM157" s="68">
        <v>0</v>
      </c>
      <c r="CN157" s="68">
        <v>0</v>
      </c>
      <c r="CO157" s="68">
        <v>0</v>
      </c>
      <c r="CP157" s="68">
        <v>0</v>
      </c>
      <c r="CQ157" s="68">
        <v>0</v>
      </c>
      <c r="CR157" s="68">
        <v>0</v>
      </c>
      <c r="CS157" s="68">
        <v>0</v>
      </c>
      <c r="CT157" s="68">
        <v>0</v>
      </c>
      <c r="CU157" s="68">
        <v>0</v>
      </c>
      <c r="CV157" s="68">
        <v>0</v>
      </c>
      <c r="CW157" s="69">
        <v>0</v>
      </c>
      <c r="CX157" s="67">
        <v>0</v>
      </c>
      <c r="CY157" s="68">
        <v>0</v>
      </c>
      <c r="CZ157" s="68">
        <v>0</v>
      </c>
      <c r="DA157" s="68">
        <v>0</v>
      </c>
      <c r="DB157" s="68">
        <v>0</v>
      </c>
      <c r="DC157" s="68">
        <v>0</v>
      </c>
      <c r="DD157" s="68">
        <v>0</v>
      </c>
      <c r="DE157" s="68">
        <v>0</v>
      </c>
      <c r="DF157" s="68">
        <v>0</v>
      </c>
      <c r="DG157" s="68">
        <v>0</v>
      </c>
      <c r="DH157" s="68">
        <v>0</v>
      </c>
      <c r="DI157" s="69">
        <v>0</v>
      </c>
      <c r="DJ157" s="67">
        <v>0</v>
      </c>
      <c r="DK157" s="68">
        <v>0</v>
      </c>
      <c r="DL157" s="68">
        <v>0</v>
      </c>
      <c r="DM157" s="68">
        <v>0</v>
      </c>
      <c r="DN157" s="68">
        <v>0</v>
      </c>
      <c r="DO157" s="68">
        <v>0</v>
      </c>
      <c r="DP157" s="68">
        <v>0</v>
      </c>
      <c r="DQ157" s="68">
        <v>0</v>
      </c>
      <c r="DR157" s="68">
        <v>0</v>
      </c>
      <c r="DS157" s="68">
        <v>0</v>
      </c>
      <c r="DT157" s="68">
        <v>0</v>
      </c>
      <c r="DU157" s="69">
        <v>0</v>
      </c>
      <c r="DV157" s="61">
        <v>0</v>
      </c>
      <c r="DW157" s="61">
        <v>0</v>
      </c>
      <c r="DX157" s="61">
        <v>0</v>
      </c>
      <c r="DY157" s="61">
        <v>0</v>
      </c>
      <c r="DZ157" s="79"/>
      <c r="EB157" s="79"/>
      <c r="EC157" s="79"/>
      <c r="ED157" s="79"/>
      <c r="EE157" s="79"/>
      <c r="EF157" s="79"/>
      <c r="EG157" s="79"/>
      <c r="EH157" s="62"/>
      <c r="EI157" s="62"/>
      <c r="EJ157" s="62"/>
      <c r="EK157" s="62"/>
      <c r="EL157" s="62"/>
      <c r="EM157" s="62"/>
      <c r="EN157" s="62"/>
      <c r="EO157" s="62"/>
      <c r="EP157" s="62"/>
      <c r="EQ157" s="62"/>
      <c r="ER157" s="62"/>
      <c r="ES157" s="62"/>
      <c r="ET157" s="62"/>
      <c r="EU157" s="62"/>
      <c r="EV157" s="62"/>
      <c r="EW157" s="62"/>
      <c r="EX157" s="62"/>
      <c r="EY157" s="62"/>
      <c r="EZ157" s="62"/>
      <c r="FA157" s="62"/>
      <c r="FB157" s="62"/>
      <c r="FC157" s="62"/>
      <c r="FD157" s="62"/>
      <c r="FE157" s="62"/>
      <c r="FF157" s="62"/>
      <c r="FG157" s="62"/>
      <c r="FH157" s="62"/>
      <c r="FI157" s="62"/>
      <c r="FJ157" s="62"/>
      <c r="FK157" s="62"/>
      <c r="FL157" s="62"/>
      <c r="FM157" s="62"/>
      <c r="FN157" s="62"/>
      <c r="FO157" s="62"/>
      <c r="FP157" s="62"/>
      <c r="FQ157" s="62"/>
      <c r="FR157" s="62"/>
      <c r="FS157" s="62"/>
      <c r="FT157" s="62"/>
      <c r="FU157" s="62"/>
      <c r="FV157" s="62"/>
      <c r="FW157" s="62"/>
      <c r="FX157" s="62"/>
      <c r="FY157" s="62"/>
      <c r="FZ157" s="62"/>
      <c r="GA157" s="62"/>
      <c r="GB157" s="62"/>
      <c r="GC157" s="62"/>
      <c r="GD157" s="62"/>
      <c r="GF157" s="62"/>
      <c r="GG157" s="62"/>
      <c r="GH157" s="62"/>
      <c r="GI157" s="62"/>
      <c r="GJ157" s="62"/>
      <c r="GK157" s="62"/>
      <c r="GL157" s="62"/>
      <c r="GM157" s="62"/>
      <c r="GN157" s="62"/>
      <c r="GO157" s="62"/>
      <c r="GP157" s="62"/>
      <c r="GQ157" s="62"/>
      <c r="GR157" s="62"/>
      <c r="GS157" s="62"/>
      <c r="GT157" s="62"/>
      <c r="GU157" s="62"/>
      <c r="GV157" s="62"/>
      <c r="GW157" s="62"/>
      <c r="GX157" s="62"/>
      <c r="GY157" s="62"/>
      <c r="GZ157" s="62"/>
      <c r="HA157" s="62"/>
      <c r="HB157" s="62"/>
      <c r="HC157" s="62"/>
      <c r="HD157" s="62"/>
      <c r="HE157" s="62"/>
      <c r="HF157" s="62"/>
      <c r="HG157" s="62"/>
      <c r="HH157" s="62"/>
      <c r="HI157" s="62"/>
      <c r="HJ157" s="62"/>
      <c r="HK157" s="62"/>
      <c r="HL157" s="62"/>
      <c r="HM157" s="62"/>
      <c r="HN157" s="62"/>
      <c r="HO157" s="62"/>
      <c r="HP157" s="62"/>
      <c r="HQ157" s="62"/>
      <c r="HR157" s="62"/>
      <c r="HS157" s="62"/>
      <c r="HT157" s="62"/>
      <c r="HU157" s="62"/>
      <c r="HV157" s="62"/>
      <c r="HW157" s="62"/>
      <c r="HX157" s="62"/>
      <c r="HY157" s="62"/>
      <c r="HZ157" s="62"/>
      <c r="IA157" s="62"/>
      <c r="IB157" s="62"/>
      <c r="IC157" s="62"/>
      <c r="ID157" s="62"/>
      <c r="IE157" s="62"/>
      <c r="IF157" s="62"/>
      <c r="IG157" s="62"/>
      <c r="IH157" s="62"/>
      <c r="II157" s="62"/>
      <c r="IJ157" s="62"/>
      <c r="IK157" s="62"/>
      <c r="IL157" s="62"/>
      <c r="IM157" s="62"/>
      <c r="IN157" s="62"/>
      <c r="IO157" s="62"/>
      <c r="IP157" s="62"/>
      <c r="IQ157" s="62"/>
      <c r="IR157" s="62"/>
      <c r="IS157" s="62"/>
      <c r="IT157" s="62"/>
      <c r="IU157" s="62"/>
      <c r="IV157" s="62"/>
      <c r="IW157" s="62"/>
      <c r="IX157" s="62"/>
      <c r="IY157" s="62"/>
      <c r="IZ157" s="62"/>
      <c r="JA157" s="62"/>
      <c r="JB157" s="62"/>
      <c r="JC157" s="62"/>
      <c r="JD157" s="62"/>
      <c r="JE157" s="62"/>
      <c r="JF157" s="62"/>
      <c r="JG157" s="62"/>
      <c r="JH157" s="62"/>
      <c r="JI157" s="62"/>
      <c r="JJ157" s="62"/>
      <c r="JK157" s="62"/>
      <c r="JL157" s="62"/>
      <c r="JM157" s="62"/>
      <c r="JN157" s="62"/>
      <c r="JO157" s="62"/>
      <c r="JP157" s="62"/>
      <c r="JQ157" s="62"/>
      <c r="JR157" s="62"/>
      <c r="JS157" s="62"/>
      <c r="JT157" s="62"/>
      <c r="JU157" s="62"/>
      <c r="JV157" s="62"/>
      <c r="JW157" s="62"/>
      <c r="JX157" s="62"/>
      <c r="JY157" s="62"/>
      <c r="JZ157" s="62"/>
      <c r="KA157" s="62"/>
      <c r="KB157" s="62"/>
      <c r="KC157" s="62"/>
      <c r="KD157" s="62"/>
      <c r="KE157" s="62"/>
      <c r="KF157" s="62"/>
      <c r="KG157" s="62"/>
      <c r="KH157" s="62"/>
      <c r="KI157" s="62"/>
      <c r="KJ157" s="62"/>
      <c r="KK157" s="62"/>
      <c r="KL157" s="62"/>
      <c r="KM157" s="62"/>
      <c r="KN157" s="62"/>
      <c r="KO157" s="62"/>
      <c r="KP157" s="62"/>
      <c r="KQ157" s="62"/>
      <c r="KR157" s="62"/>
      <c r="KS157" s="62"/>
      <c r="KT157" s="62"/>
      <c r="KU157" s="62"/>
      <c r="KV157" s="62"/>
      <c r="KW157" s="62"/>
      <c r="KX157" s="62"/>
      <c r="KY157" s="62"/>
      <c r="KZ157" s="62"/>
      <c r="LA157" s="62"/>
      <c r="LB157" s="62"/>
      <c r="LC157" s="62"/>
      <c r="LD157" s="62"/>
      <c r="LE157" s="62"/>
      <c r="LF157" s="62"/>
      <c r="LG157" s="62"/>
      <c r="LH157" s="62"/>
      <c r="LI157" s="62"/>
    </row>
    <row r="158" spans="1:321">
      <c r="D158" s="59">
        <v>4326</v>
      </c>
      <c r="E158" s="60" t="s">
        <v>458</v>
      </c>
      <c r="F158" s="67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9"/>
      <c r="R158" s="67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9"/>
      <c r="AD158" s="67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9"/>
      <c r="AP158" s="67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9"/>
      <c r="BB158" s="67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9"/>
      <c r="BN158" s="67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9"/>
      <c r="BZ158" s="67"/>
      <c r="CA158" s="68"/>
      <c r="CB158" s="68"/>
      <c r="CC158" s="68"/>
      <c r="CD158" s="68"/>
      <c r="CE158" s="68"/>
      <c r="CF158" s="68"/>
      <c r="CG158" s="68"/>
      <c r="CH158" s="68"/>
      <c r="CI158" s="68"/>
      <c r="CJ158" s="68"/>
      <c r="CK158" s="68"/>
      <c r="CL158" s="67">
        <v>0</v>
      </c>
      <c r="CM158" s="68">
        <v>0</v>
      </c>
      <c r="CN158" s="68">
        <v>0</v>
      </c>
      <c r="CO158" s="68">
        <v>0</v>
      </c>
      <c r="CP158" s="68">
        <v>0</v>
      </c>
      <c r="CQ158" s="68">
        <v>0</v>
      </c>
      <c r="CR158" s="68">
        <v>0</v>
      </c>
      <c r="CS158" s="68">
        <v>0</v>
      </c>
      <c r="CT158" s="68">
        <v>0</v>
      </c>
      <c r="CU158" s="68">
        <v>0</v>
      </c>
      <c r="CV158" s="68">
        <v>0</v>
      </c>
      <c r="CW158" s="69">
        <v>0</v>
      </c>
      <c r="CX158" s="67">
        <v>0</v>
      </c>
      <c r="CY158" s="68">
        <v>0</v>
      </c>
      <c r="CZ158" s="68">
        <v>0</v>
      </c>
      <c r="DA158" s="68">
        <v>0</v>
      </c>
      <c r="DB158" s="68">
        <v>0</v>
      </c>
      <c r="DC158" s="68">
        <v>0</v>
      </c>
      <c r="DD158" s="68">
        <v>0</v>
      </c>
      <c r="DE158" s="68">
        <v>0</v>
      </c>
      <c r="DF158" s="68">
        <v>0</v>
      </c>
      <c r="DG158" s="68">
        <v>0</v>
      </c>
      <c r="DH158" s="68">
        <v>0</v>
      </c>
      <c r="DI158" s="69">
        <v>350000</v>
      </c>
      <c r="DJ158" s="67">
        <v>0</v>
      </c>
      <c r="DK158" s="68">
        <v>0</v>
      </c>
      <c r="DL158" s="68">
        <v>0</v>
      </c>
      <c r="DM158" s="68">
        <v>0</v>
      </c>
      <c r="DN158" s="68">
        <v>0</v>
      </c>
      <c r="DO158" s="68">
        <v>0</v>
      </c>
      <c r="DP158" s="68">
        <v>0</v>
      </c>
      <c r="DQ158" s="68">
        <v>0</v>
      </c>
      <c r="DR158" s="68">
        <v>0</v>
      </c>
      <c r="DS158" s="68">
        <v>0</v>
      </c>
      <c r="DT158" s="68">
        <v>0</v>
      </c>
      <c r="DU158" s="69">
        <v>0</v>
      </c>
      <c r="DV158" s="61">
        <v>0</v>
      </c>
      <c r="DW158" s="61">
        <v>0</v>
      </c>
      <c r="DX158" s="61">
        <v>0</v>
      </c>
      <c r="DY158" s="61">
        <v>0</v>
      </c>
      <c r="DZ158" s="79"/>
      <c r="EB158" s="79"/>
      <c r="EC158" s="79"/>
      <c r="ED158" s="79"/>
      <c r="EE158" s="79"/>
      <c r="EF158" s="79"/>
      <c r="EG158" s="79"/>
      <c r="ET158" s="62"/>
      <c r="EU158" s="62"/>
      <c r="EV158" s="62"/>
      <c r="EW158" s="62"/>
      <c r="EX158" s="62"/>
      <c r="EY158" s="62"/>
      <c r="EZ158" s="62"/>
      <c r="FA158" s="62"/>
      <c r="FB158" s="62"/>
      <c r="FC158" s="62"/>
      <c r="FD158" s="62"/>
      <c r="FE158" s="62"/>
      <c r="FF158" s="62"/>
      <c r="FG158" s="62"/>
      <c r="FH158" s="62"/>
      <c r="FI158" s="62"/>
      <c r="FJ158" s="62"/>
      <c r="FK158" s="62"/>
      <c r="FL158" s="62"/>
      <c r="FM158" s="62"/>
      <c r="FN158" s="62"/>
      <c r="FO158" s="62"/>
      <c r="FP158" s="62"/>
      <c r="FQ158" s="62"/>
      <c r="FR158" s="62"/>
      <c r="FS158" s="62"/>
      <c r="FT158" s="62"/>
      <c r="FU158" s="62"/>
      <c r="FV158" s="62"/>
      <c r="FW158" s="62"/>
      <c r="FX158" s="62"/>
      <c r="FY158" s="62"/>
      <c r="FZ158" s="62"/>
      <c r="GA158" s="62"/>
      <c r="GB158" s="62"/>
      <c r="GC158" s="62"/>
      <c r="GD158" s="62"/>
      <c r="GF158" s="62"/>
      <c r="GG158" s="62"/>
      <c r="GH158" s="62"/>
      <c r="GI158" s="62"/>
      <c r="GJ158" s="62"/>
      <c r="GK158" s="62"/>
      <c r="GL158" s="62"/>
      <c r="GM158" s="62"/>
      <c r="GN158" s="62"/>
      <c r="GO158" s="62"/>
      <c r="GP158" s="62"/>
      <c r="GQ158" s="62"/>
      <c r="GR158" s="62"/>
      <c r="GS158" s="62"/>
      <c r="GT158" s="62"/>
      <c r="GU158" s="62"/>
      <c r="GV158" s="62"/>
      <c r="GW158" s="62"/>
      <c r="GX158" s="62"/>
      <c r="GY158" s="62"/>
      <c r="GZ158" s="62"/>
      <c r="HA158" s="62"/>
      <c r="HB158" s="62"/>
      <c r="HC158" s="62"/>
      <c r="HD158" s="62"/>
      <c r="HE158" s="62"/>
      <c r="HF158" s="62"/>
      <c r="HG158" s="62"/>
      <c r="HH158" s="62"/>
      <c r="HI158" s="62"/>
      <c r="HJ158" s="62"/>
      <c r="HK158" s="62"/>
      <c r="HL158" s="62"/>
      <c r="HM158" s="62"/>
      <c r="HN158" s="62"/>
      <c r="HO158" s="62"/>
      <c r="HP158" s="62"/>
      <c r="HQ158" s="62"/>
      <c r="HR158" s="62"/>
      <c r="HS158" s="62"/>
      <c r="HT158" s="62"/>
      <c r="HU158" s="62"/>
      <c r="HV158" s="62"/>
      <c r="HW158" s="62"/>
      <c r="HX158" s="62"/>
      <c r="HY158" s="62"/>
      <c r="HZ158" s="62"/>
      <c r="IA158" s="62"/>
      <c r="IB158" s="62"/>
      <c r="IC158" s="62"/>
      <c r="ID158" s="62"/>
      <c r="IE158" s="62"/>
      <c r="IF158" s="62"/>
      <c r="IG158" s="62"/>
      <c r="IH158" s="62"/>
      <c r="II158" s="62"/>
      <c r="IJ158" s="62"/>
      <c r="IK158" s="62"/>
      <c r="IL158" s="62"/>
      <c r="IM158" s="62"/>
      <c r="IN158" s="62"/>
      <c r="IO158" s="62"/>
      <c r="IP158" s="62"/>
      <c r="IQ158" s="62"/>
      <c r="IR158" s="62"/>
      <c r="IS158" s="62"/>
      <c r="IT158" s="62"/>
      <c r="IU158" s="62"/>
      <c r="IV158" s="62"/>
      <c r="IW158" s="62"/>
      <c r="IX158" s="62"/>
      <c r="IY158" s="62"/>
      <c r="IZ158" s="62"/>
      <c r="JA158" s="62"/>
      <c r="JB158" s="62"/>
      <c r="JC158" s="62"/>
      <c r="JD158" s="62"/>
      <c r="JE158" s="62"/>
      <c r="JF158" s="62"/>
      <c r="JG158" s="62"/>
      <c r="JH158" s="62"/>
      <c r="JI158" s="62"/>
      <c r="JJ158" s="62"/>
      <c r="JK158" s="62"/>
      <c r="JL158" s="62"/>
      <c r="JM158" s="62"/>
      <c r="JN158" s="62"/>
      <c r="JO158" s="62"/>
      <c r="JP158" s="62"/>
      <c r="JQ158" s="62"/>
      <c r="JR158" s="62"/>
      <c r="JS158" s="62"/>
      <c r="JT158" s="62"/>
      <c r="JU158" s="62"/>
      <c r="JV158" s="62"/>
      <c r="JW158" s="62"/>
      <c r="JX158" s="62"/>
      <c r="JY158" s="62"/>
      <c r="JZ158" s="62"/>
      <c r="KA158" s="62"/>
      <c r="KB158" s="62"/>
      <c r="KC158" s="62"/>
      <c r="KD158" s="62"/>
      <c r="KE158" s="62"/>
      <c r="KF158" s="62"/>
      <c r="KG158" s="62"/>
      <c r="KH158" s="62"/>
      <c r="KI158" s="62"/>
      <c r="KJ158" s="62"/>
      <c r="KK158" s="62"/>
      <c r="KL158" s="62"/>
      <c r="KM158" s="62"/>
      <c r="KN158" s="62"/>
      <c r="KO158" s="62"/>
      <c r="KP158" s="62"/>
      <c r="KQ158" s="62"/>
      <c r="KR158" s="62"/>
      <c r="KS158" s="62"/>
      <c r="KT158" s="62"/>
      <c r="KU158" s="62"/>
      <c r="KV158" s="62"/>
      <c r="KW158" s="62"/>
      <c r="KX158" s="62"/>
      <c r="KY158" s="62"/>
      <c r="KZ158" s="62"/>
      <c r="LA158" s="62"/>
      <c r="LB158" s="62"/>
      <c r="LC158" s="62"/>
      <c r="LD158" s="62"/>
      <c r="LE158" s="62"/>
      <c r="LF158" s="62"/>
      <c r="LG158" s="62"/>
      <c r="LH158" s="62"/>
      <c r="LI158" s="62"/>
    </row>
    <row r="159" spans="1:321">
      <c r="C159" s="59">
        <v>441</v>
      </c>
      <c r="D159" s="59">
        <v>44</v>
      </c>
      <c r="E159" s="60" t="s">
        <v>459</v>
      </c>
      <c r="F159" s="67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9"/>
      <c r="R159" s="67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9"/>
      <c r="AD159" s="67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9"/>
      <c r="AP159" s="67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9"/>
      <c r="BB159" s="67"/>
      <c r="BC159" s="68"/>
      <c r="BD159" s="68"/>
      <c r="BE159" s="68"/>
      <c r="BF159" s="68"/>
      <c r="BG159" s="68"/>
      <c r="BH159" s="68"/>
      <c r="BI159" s="68"/>
      <c r="BJ159" s="68"/>
      <c r="BK159" s="68"/>
      <c r="BL159" s="68"/>
      <c r="BM159" s="69"/>
      <c r="BN159" s="67"/>
      <c r="BO159" s="68"/>
      <c r="BP159" s="68"/>
      <c r="BQ159" s="68"/>
      <c r="BR159" s="68"/>
      <c r="BS159" s="68"/>
      <c r="BT159" s="68"/>
      <c r="BU159" s="68"/>
      <c r="BV159" s="68"/>
      <c r="BW159" s="68"/>
      <c r="BX159" s="68"/>
      <c r="BY159" s="69"/>
      <c r="BZ159" s="67"/>
      <c r="CA159" s="68"/>
      <c r="CB159" s="68"/>
      <c r="CC159" s="68"/>
      <c r="CD159" s="68"/>
      <c r="CE159" s="68"/>
      <c r="CF159" s="68"/>
      <c r="CG159" s="68"/>
      <c r="CH159" s="68"/>
      <c r="CI159" s="68"/>
      <c r="CJ159" s="68"/>
      <c r="CK159" s="68"/>
      <c r="CL159" s="67">
        <v>138077.81</v>
      </c>
      <c r="CM159" s="68">
        <v>2008065.02</v>
      </c>
      <c r="CN159" s="68">
        <v>4422241.25</v>
      </c>
      <c r="CO159" s="68">
        <v>4197672.67</v>
      </c>
      <c r="CP159" s="68">
        <v>4236917.4400000004</v>
      </c>
      <c r="CQ159" s="68">
        <v>4706155.42</v>
      </c>
      <c r="CR159" s="68">
        <v>4524523.57</v>
      </c>
      <c r="CS159" s="68">
        <v>4216317.49</v>
      </c>
      <c r="CT159" s="68">
        <v>3941356.57</v>
      </c>
      <c r="CU159" s="68">
        <v>5975320.6699999999</v>
      </c>
      <c r="CV159" s="68">
        <v>6045846.2699999996</v>
      </c>
      <c r="CW159" s="69">
        <v>17373008.68</v>
      </c>
      <c r="CX159" s="67">
        <v>1544541.12</v>
      </c>
      <c r="CY159" s="68">
        <v>676053.18</v>
      </c>
      <c r="CZ159" s="68">
        <v>5972267.1200000001</v>
      </c>
      <c r="DA159" s="68">
        <v>2875784.75</v>
      </c>
      <c r="DB159" s="86">
        <v>5376793.5700000003</v>
      </c>
      <c r="DC159" s="68">
        <v>5445736.7800000003</v>
      </c>
      <c r="DD159" s="68">
        <v>5000985.0599999996</v>
      </c>
      <c r="DE159" s="68">
        <v>6570419.7800000003</v>
      </c>
      <c r="DF159" s="68">
        <v>4052787.23</v>
      </c>
      <c r="DG159" s="68">
        <v>7777137.9400000004</v>
      </c>
      <c r="DH159" s="68">
        <v>5658951.3700000001</v>
      </c>
      <c r="DI159" s="69">
        <v>16774379.119999999</v>
      </c>
      <c r="DJ159" s="67">
        <v>0</v>
      </c>
      <c r="DK159" s="68">
        <v>12840221.199999999</v>
      </c>
      <c r="DL159" s="68">
        <v>3293827.45</v>
      </c>
      <c r="DM159" s="68">
        <v>84076303.790000007</v>
      </c>
      <c r="DN159" s="68">
        <v>2197089.6800000002</v>
      </c>
      <c r="DO159" s="68">
        <v>80170634.459999993</v>
      </c>
      <c r="DP159" s="68">
        <v>4353656.99</v>
      </c>
      <c r="DQ159" s="68">
        <v>3814784.81</v>
      </c>
      <c r="DR159" s="68">
        <v>4887605.1500000004</v>
      </c>
      <c r="DS159" s="68">
        <v>6070593.6200000001</v>
      </c>
      <c r="DT159" s="68">
        <v>4447685.13</v>
      </c>
      <c r="DU159" s="69">
        <v>21659671.370000001</v>
      </c>
      <c r="DV159" s="61">
        <v>350458.43</v>
      </c>
      <c r="DW159" s="61">
        <v>577489.29</v>
      </c>
      <c r="DX159" s="61">
        <v>1509977.22</v>
      </c>
      <c r="DY159" s="61">
        <v>3694215.71</v>
      </c>
      <c r="DZ159" s="79">
        <v>4725148.4400000004</v>
      </c>
      <c r="EA159" s="61">
        <v>2369058.61</v>
      </c>
      <c r="EB159" s="79">
        <v>4947585.26</v>
      </c>
      <c r="EC159" s="87">
        <v>3797015.83</v>
      </c>
      <c r="ED159" s="79">
        <v>3313025.22</v>
      </c>
      <c r="EE159" s="79">
        <v>3567484.19</v>
      </c>
      <c r="EF159" s="79">
        <v>6171281.3600000003</v>
      </c>
      <c r="EG159" s="79">
        <v>29796705.440000001</v>
      </c>
      <c r="EH159" s="62">
        <v>109644.44</v>
      </c>
      <c r="EI159" s="62">
        <v>1522597.04</v>
      </c>
      <c r="EJ159" s="62">
        <v>8434786.5999999996</v>
      </c>
      <c r="EK159" s="62">
        <v>6918517.2599999998</v>
      </c>
      <c r="EL159" s="62">
        <v>2561374.17</v>
      </c>
      <c r="EM159" s="62">
        <v>25163803.16</v>
      </c>
      <c r="EN159" s="62">
        <v>10754440.220000001</v>
      </c>
      <c r="EO159" s="62">
        <v>29296079.120000001</v>
      </c>
      <c r="EP159" s="62">
        <v>19940301.670000002</v>
      </c>
      <c r="EQ159" s="62">
        <v>29993285.289999999</v>
      </c>
      <c r="ER159" s="62">
        <v>37935759.630000003</v>
      </c>
      <c r="ES159" s="62">
        <v>82875761.950000003</v>
      </c>
      <c r="ET159" s="62">
        <v>2060574.27</v>
      </c>
      <c r="EU159" s="62">
        <v>2958395.49</v>
      </c>
      <c r="EV159" s="62">
        <v>10806505.67</v>
      </c>
      <c r="EW159" s="62">
        <v>28775491.48</v>
      </c>
      <c r="EX159" s="62">
        <v>12314358.92</v>
      </c>
      <c r="EY159" s="62">
        <v>22250596.559999999</v>
      </c>
      <c r="EZ159" s="62">
        <v>22219463.719999999</v>
      </c>
      <c r="FA159" s="62">
        <v>7067070.5700000003</v>
      </c>
      <c r="FB159" s="62">
        <v>38353416.07</v>
      </c>
      <c r="FC159" s="62">
        <v>27286098.32</v>
      </c>
      <c r="FD159" s="62">
        <v>24712008.18</v>
      </c>
      <c r="FE159" s="62">
        <v>44558470.93</v>
      </c>
      <c r="FF159" s="62">
        <v>27549269.34</v>
      </c>
      <c r="FG159" s="62">
        <v>7152587.8700000001</v>
      </c>
      <c r="FH159" s="62">
        <v>16703145.970000001</v>
      </c>
      <c r="FI159" s="62">
        <v>14162401.84</v>
      </c>
      <c r="FJ159" s="62">
        <v>13326416.060000001</v>
      </c>
      <c r="FK159" s="1">
        <v>15925931.16</v>
      </c>
      <c r="FL159" s="62">
        <v>25747912.550000001</v>
      </c>
      <c r="FM159" s="62">
        <v>45712758.009999998</v>
      </c>
      <c r="FN159" s="62">
        <v>16518029.949999999</v>
      </c>
      <c r="FO159" s="62">
        <v>38556251.049999997</v>
      </c>
      <c r="FP159" s="62">
        <v>62850369</v>
      </c>
      <c r="FQ159" s="62">
        <v>60680548.899999999</v>
      </c>
      <c r="FR159" s="62">
        <v>4152678.95</v>
      </c>
      <c r="FS159" s="62">
        <v>8910217.8200000003</v>
      </c>
      <c r="FT159" s="62">
        <v>13037958.210000001</v>
      </c>
      <c r="FU159" s="62">
        <v>17935572.800000001</v>
      </c>
      <c r="FV159" s="62">
        <v>15871730.18</v>
      </c>
      <c r="FW159" s="62">
        <v>24497607.260000002</v>
      </c>
      <c r="FX159" s="62">
        <v>24763301.23</v>
      </c>
      <c r="FY159" s="62">
        <v>20481740.649999999</v>
      </c>
      <c r="FZ159" s="62">
        <v>19123751.109999999</v>
      </c>
      <c r="GA159" s="62">
        <v>28780272.41</v>
      </c>
      <c r="GB159" s="62">
        <v>19501124.399999999</v>
      </c>
      <c r="GC159" s="62">
        <v>32880958.649999999</v>
      </c>
      <c r="GD159" s="62"/>
      <c r="GF159" s="62"/>
      <c r="GG159" s="62"/>
      <c r="GH159" s="62"/>
      <c r="GI159" s="62"/>
      <c r="GJ159" s="62"/>
      <c r="GK159" s="62"/>
      <c r="GL159" s="62"/>
      <c r="GM159" s="62"/>
      <c r="GN159" s="62"/>
      <c r="GO159" s="62"/>
      <c r="GP159" s="62"/>
      <c r="GQ159" s="62"/>
      <c r="GR159" s="62"/>
      <c r="GS159" s="62"/>
      <c r="GT159" s="62"/>
      <c r="GU159" s="62"/>
      <c r="GV159" s="62"/>
      <c r="GW159" s="62"/>
      <c r="GX159" s="62"/>
      <c r="GY159" s="62"/>
      <c r="GZ159" s="62"/>
      <c r="HA159" s="62"/>
      <c r="HB159" s="62"/>
      <c r="HC159" s="62"/>
      <c r="HD159" s="62"/>
      <c r="HE159" s="62"/>
      <c r="HF159" s="62"/>
      <c r="HG159" s="62"/>
      <c r="HH159" s="62"/>
      <c r="HI159" s="62"/>
      <c r="HJ159" s="62"/>
      <c r="HK159" s="62"/>
      <c r="HL159" s="62"/>
      <c r="HM159" s="62"/>
      <c r="HN159" s="62"/>
      <c r="HO159" s="62"/>
      <c r="HP159" s="62"/>
      <c r="HQ159" s="62"/>
      <c r="HR159" s="62"/>
      <c r="HS159" s="62"/>
      <c r="HT159" s="62"/>
      <c r="HU159" s="62"/>
      <c r="HV159" s="62"/>
      <c r="HW159" s="62"/>
      <c r="HX159" s="62"/>
      <c r="HY159" s="62"/>
      <c r="HZ159" s="62"/>
      <c r="IA159" s="62"/>
      <c r="IB159" s="62"/>
      <c r="IC159" s="62"/>
      <c r="ID159" s="62"/>
      <c r="IE159" s="62"/>
      <c r="IF159" s="62"/>
      <c r="IG159" s="62"/>
      <c r="IH159" s="62"/>
      <c r="II159" s="62"/>
      <c r="IJ159" s="62"/>
      <c r="IK159" s="62"/>
      <c r="IL159" s="62"/>
      <c r="IM159" s="62"/>
      <c r="IN159" s="62"/>
      <c r="IO159" s="62"/>
      <c r="IP159" s="62"/>
      <c r="IQ159" s="62"/>
      <c r="IR159" s="62"/>
      <c r="IS159" s="62"/>
      <c r="IT159" s="62"/>
      <c r="IU159" s="62"/>
      <c r="IV159" s="62"/>
      <c r="IW159" s="62"/>
      <c r="IX159" s="62"/>
      <c r="IY159" s="62"/>
      <c r="IZ159" s="62"/>
      <c r="JA159" s="62"/>
      <c r="JB159" s="62"/>
      <c r="JC159" s="62"/>
      <c r="JD159" s="62"/>
      <c r="JE159" s="62"/>
      <c r="JF159" s="62"/>
      <c r="JG159" s="62"/>
      <c r="JH159" s="62"/>
      <c r="JI159" s="62"/>
      <c r="JJ159" s="62"/>
      <c r="JK159" s="62"/>
      <c r="JL159" s="62"/>
      <c r="JM159" s="62"/>
      <c r="JN159" s="62"/>
      <c r="JO159" s="62"/>
      <c r="JP159" s="62"/>
      <c r="JQ159" s="62"/>
      <c r="JR159" s="62"/>
      <c r="JS159" s="62"/>
      <c r="JT159" s="62"/>
      <c r="JU159" s="62"/>
      <c r="JV159" s="62"/>
      <c r="JW159" s="62"/>
      <c r="JX159" s="62"/>
      <c r="JY159" s="62"/>
      <c r="JZ159" s="62"/>
      <c r="KA159" s="62"/>
      <c r="KB159" s="62"/>
      <c r="KC159" s="62"/>
      <c r="KD159" s="62"/>
      <c r="KE159" s="62"/>
      <c r="KF159" s="62"/>
      <c r="KG159" s="62"/>
      <c r="KH159" s="62"/>
      <c r="KI159" s="62"/>
      <c r="KJ159" s="62"/>
      <c r="KK159" s="62"/>
      <c r="KL159" s="62"/>
      <c r="KM159" s="62"/>
      <c r="KN159" s="62"/>
      <c r="KO159" s="62"/>
      <c r="KP159" s="62"/>
      <c r="KQ159" s="62"/>
      <c r="KR159" s="62"/>
      <c r="KS159" s="62"/>
      <c r="KT159" s="62"/>
      <c r="KU159" s="62"/>
      <c r="KV159" s="62"/>
      <c r="KW159" s="62"/>
      <c r="KX159" s="62"/>
      <c r="KY159" s="62"/>
      <c r="KZ159" s="62"/>
      <c r="LA159" s="62"/>
      <c r="LB159" s="62"/>
      <c r="LC159" s="62"/>
      <c r="LD159" s="62"/>
      <c r="LE159" s="62"/>
      <c r="LF159" s="62"/>
      <c r="LG159" s="62"/>
      <c r="LH159" s="62"/>
      <c r="LI159" s="62"/>
    </row>
    <row r="160" spans="1:321" ht="30">
      <c r="D160" s="59">
        <v>4411</v>
      </c>
      <c r="E160" s="60" t="s">
        <v>460</v>
      </c>
      <c r="F160" s="67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9"/>
      <c r="R160" s="67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9"/>
      <c r="AD160" s="67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9"/>
      <c r="AP160" s="67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9"/>
      <c r="BB160" s="67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9"/>
      <c r="BN160" s="67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9"/>
      <c r="BZ160" s="67"/>
      <c r="CA160" s="68"/>
      <c r="CB160" s="68"/>
      <c r="CC160" s="68"/>
      <c r="CD160" s="68"/>
      <c r="CE160" s="68"/>
      <c r="CF160" s="68"/>
      <c r="CG160" s="68"/>
      <c r="CH160" s="68"/>
      <c r="CI160" s="68"/>
      <c r="CJ160" s="68"/>
      <c r="CK160" s="68"/>
      <c r="CL160" s="67">
        <v>0</v>
      </c>
      <c r="CM160" s="68">
        <v>0</v>
      </c>
      <c r="CN160" s="68">
        <v>0</v>
      </c>
      <c r="CO160" s="68">
        <v>0</v>
      </c>
      <c r="CP160" s="68">
        <v>0</v>
      </c>
      <c r="CQ160" s="68">
        <v>0</v>
      </c>
      <c r="CR160" s="68">
        <v>0</v>
      </c>
      <c r="CS160" s="68">
        <v>0</v>
      </c>
      <c r="CT160" s="68">
        <v>0</v>
      </c>
      <c r="CU160" s="68">
        <v>0</v>
      </c>
      <c r="CV160" s="68">
        <v>0</v>
      </c>
      <c r="CW160" s="69">
        <v>0</v>
      </c>
      <c r="CX160" s="67">
        <v>0</v>
      </c>
      <c r="CY160" s="68">
        <v>0</v>
      </c>
      <c r="CZ160" s="68">
        <v>0</v>
      </c>
      <c r="DA160" s="68">
        <v>0</v>
      </c>
      <c r="DB160" s="68">
        <v>0</v>
      </c>
      <c r="DC160" s="68">
        <v>0</v>
      </c>
      <c r="DD160" s="68">
        <v>0</v>
      </c>
      <c r="DE160" s="68">
        <v>0</v>
      </c>
      <c r="DF160" s="68">
        <v>0</v>
      </c>
      <c r="DG160" s="68">
        <v>0</v>
      </c>
      <c r="DH160" s="68">
        <v>0</v>
      </c>
      <c r="DI160" s="69">
        <v>0</v>
      </c>
      <c r="DJ160" s="67">
        <v>1691.01</v>
      </c>
      <c r="DK160" s="68">
        <v>9313.43</v>
      </c>
      <c r="DL160" s="68">
        <v>4113.01</v>
      </c>
      <c r="DM160" s="68">
        <v>21506.959999999999</v>
      </c>
      <c r="DN160" s="68">
        <v>6491.63</v>
      </c>
      <c r="DO160" s="68">
        <v>21200</v>
      </c>
      <c r="DP160" s="68">
        <v>5391.01</v>
      </c>
      <c r="DQ160" s="68">
        <v>28625.75</v>
      </c>
      <c r="DR160" s="68">
        <v>11691.01</v>
      </c>
      <c r="DS160" s="68">
        <v>2000</v>
      </c>
      <c r="DT160" s="68">
        <v>3382.02</v>
      </c>
      <c r="DU160" s="69">
        <v>32094.17</v>
      </c>
      <c r="DV160" s="61">
        <v>0</v>
      </c>
      <c r="DW160" s="61">
        <v>2769.03</v>
      </c>
      <c r="DX160" s="61">
        <v>8086.78</v>
      </c>
      <c r="DY160" s="61">
        <v>19604.96</v>
      </c>
      <c r="DZ160" s="79"/>
      <c r="EB160" s="79"/>
      <c r="EC160" s="79"/>
      <c r="ED160" s="79"/>
      <c r="EE160" s="79"/>
      <c r="EF160" s="79"/>
      <c r="EG160" s="79"/>
      <c r="EH160" s="62"/>
      <c r="EI160" s="62"/>
      <c r="EJ160" s="62"/>
      <c r="EK160" s="62"/>
      <c r="EL160" s="62"/>
      <c r="EM160" s="62"/>
      <c r="EN160" s="62"/>
      <c r="EO160" s="62"/>
      <c r="EP160" s="62"/>
      <c r="EQ160" s="62"/>
      <c r="ER160" s="62"/>
      <c r="ES160" s="62"/>
      <c r="ET160" s="62"/>
      <c r="EU160" s="62"/>
      <c r="EV160" s="62"/>
      <c r="EW160" s="62"/>
      <c r="EX160" s="62"/>
      <c r="EY160" s="62"/>
      <c r="EZ160" s="62"/>
      <c r="FA160" s="62"/>
      <c r="FB160" s="62"/>
      <c r="FC160" s="62"/>
      <c r="FD160" s="62"/>
      <c r="FE160" s="88"/>
      <c r="FF160" s="62"/>
      <c r="FG160" s="62"/>
      <c r="FH160" s="62"/>
      <c r="FI160" s="62"/>
      <c r="FJ160" s="62"/>
      <c r="FK160" s="62"/>
      <c r="FL160" s="62"/>
      <c r="FM160" s="62"/>
      <c r="FN160" s="62"/>
      <c r="FO160" s="62"/>
      <c r="FP160" s="62"/>
      <c r="FQ160" s="62"/>
      <c r="FR160" s="62"/>
      <c r="FS160" s="62"/>
      <c r="FT160" s="62"/>
      <c r="FU160" s="62"/>
      <c r="FV160" s="62"/>
      <c r="FW160" s="62"/>
      <c r="FX160" s="62"/>
      <c r="FY160" s="62"/>
      <c r="FZ160" s="62"/>
      <c r="GA160" s="62"/>
      <c r="GB160" s="62"/>
      <c r="GC160" s="62"/>
      <c r="GD160" s="62"/>
      <c r="GF160" s="62"/>
      <c r="GG160" s="62"/>
      <c r="GH160" s="62"/>
      <c r="GI160" s="62"/>
      <c r="GJ160" s="62"/>
      <c r="GK160" s="62"/>
      <c r="GL160" s="62"/>
      <c r="GM160" s="62"/>
      <c r="GN160" s="62"/>
      <c r="GO160" s="62"/>
      <c r="GP160" s="62"/>
      <c r="GQ160" s="62"/>
      <c r="GR160" s="62"/>
      <c r="GS160" s="62"/>
      <c r="GT160" s="62"/>
      <c r="GU160" s="62"/>
      <c r="GV160" s="62"/>
      <c r="GW160" s="62"/>
      <c r="GX160" s="62"/>
      <c r="GY160" s="62"/>
      <c r="GZ160" s="62"/>
      <c r="HA160" s="62"/>
      <c r="HB160" s="62"/>
      <c r="HC160" s="62"/>
      <c r="HD160" s="62"/>
      <c r="HE160" s="62"/>
      <c r="HF160" s="62"/>
      <c r="HG160" s="62"/>
      <c r="HH160" s="62"/>
      <c r="HI160" s="62"/>
      <c r="HJ160" s="62"/>
      <c r="HK160" s="62"/>
      <c r="HL160" s="62"/>
      <c r="HM160" s="62"/>
      <c r="HN160" s="62"/>
      <c r="HO160" s="62"/>
      <c r="HP160" s="62"/>
      <c r="HQ160" s="62"/>
      <c r="HR160" s="62"/>
      <c r="HS160" s="62"/>
      <c r="HT160" s="62"/>
      <c r="HU160" s="62"/>
      <c r="HV160" s="62"/>
      <c r="HW160" s="62"/>
      <c r="HX160" s="62"/>
      <c r="HY160" s="62"/>
      <c r="HZ160" s="62"/>
      <c r="IA160" s="62"/>
      <c r="IB160" s="62"/>
      <c r="IC160" s="62"/>
      <c r="ID160" s="62"/>
      <c r="IE160" s="62"/>
      <c r="IF160" s="62"/>
      <c r="IG160" s="62"/>
      <c r="IH160" s="62"/>
      <c r="II160" s="62"/>
      <c r="IJ160" s="62"/>
      <c r="IK160" s="62"/>
      <c r="IL160" s="62"/>
      <c r="IM160" s="62"/>
      <c r="IN160" s="62"/>
      <c r="IO160" s="62"/>
      <c r="IP160" s="62"/>
      <c r="IQ160" s="62"/>
      <c r="IR160" s="62"/>
      <c r="IS160" s="62"/>
      <c r="IT160" s="62"/>
      <c r="IU160" s="62"/>
      <c r="IV160" s="62"/>
      <c r="IW160" s="62"/>
      <c r="IX160" s="62"/>
      <c r="IY160" s="62"/>
      <c r="IZ160" s="62"/>
      <c r="JA160" s="62"/>
      <c r="JB160" s="62"/>
      <c r="JC160" s="62"/>
      <c r="JD160" s="62"/>
      <c r="JE160" s="62"/>
      <c r="JF160" s="62"/>
      <c r="JG160" s="62"/>
      <c r="JH160" s="62"/>
      <c r="JI160" s="62"/>
      <c r="JJ160" s="62"/>
      <c r="JK160" s="62"/>
      <c r="JL160" s="62"/>
      <c r="JM160" s="62"/>
      <c r="JN160" s="62"/>
      <c r="JO160" s="62"/>
      <c r="JP160" s="62"/>
      <c r="JQ160" s="62"/>
      <c r="JR160" s="62"/>
      <c r="JS160" s="62"/>
      <c r="JT160" s="62"/>
      <c r="JU160" s="62"/>
      <c r="JV160" s="62"/>
      <c r="JW160" s="62"/>
      <c r="JX160" s="62"/>
      <c r="JY160" s="62"/>
      <c r="JZ160" s="62"/>
      <c r="KA160" s="62"/>
      <c r="KB160" s="62"/>
      <c r="KC160" s="62"/>
      <c r="KD160" s="62"/>
      <c r="KE160" s="62"/>
      <c r="KF160" s="62"/>
      <c r="KG160" s="62"/>
      <c r="KH160" s="62"/>
      <c r="KI160" s="62"/>
      <c r="KJ160" s="62"/>
      <c r="KK160" s="62"/>
      <c r="KL160" s="62"/>
      <c r="KM160" s="62"/>
      <c r="KN160" s="62"/>
      <c r="KO160" s="62"/>
      <c r="KP160" s="62"/>
      <c r="KQ160" s="62"/>
      <c r="KR160" s="62"/>
      <c r="KS160" s="62"/>
      <c r="KT160" s="62"/>
      <c r="KU160" s="62"/>
      <c r="KV160" s="62"/>
      <c r="KW160" s="62"/>
      <c r="KX160" s="62"/>
      <c r="KY160" s="62"/>
      <c r="KZ160" s="62"/>
      <c r="LA160" s="62"/>
      <c r="LB160" s="62"/>
      <c r="LC160" s="62"/>
      <c r="LD160" s="62"/>
      <c r="LE160" s="62"/>
      <c r="LF160" s="62"/>
      <c r="LG160" s="62"/>
      <c r="LH160" s="62"/>
      <c r="LI160" s="62"/>
    </row>
    <row r="161" spans="1:321">
      <c r="D161" s="59">
        <v>4412</v>
      </c>
      <c r="E161" s="60" t="s">
        <v>461</v>
      </c>
      <c r="F161" s="67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9"/>
      <c r="R161" s="67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9"/>
      <c r="AD161" s="67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9"/>
      <c r="AP161" s="67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9"/>
      <c r="BB161" s="67"/>
      <c r="BC161" s="68"/>
      <c r="BD161" s="68"/>
      <c r="BE161" s="68"/>
      <c r="BF161" s="68"/>
      <c r="BG161" s="68"/>
      <c r="BH161" s="68"/>
      <c r="BI161" s="68"/>
      <c r="BJ161" s="68"/>
      <c r="BK161" s="68"/>
      <c r="BL161" s="68"/>
      <c r="BM161" s="69"/>
      <c r="BN161" s="67"/>
      <c r="BO161" s="68"/>
      <c r="BP161" s="68"/>
      <c r="BQ161" s="68"/>
      <c r="BR161" s="68"/>
      <c r="BS161" s="68"/>
      <c r="BT161" s="68"/>
      <c r="BU161" s="68"/>
      <c r="BV161" s="68"/>
      <c r="BW161" s="68"/>
      <c r="BX161" s="68"/>
      <c r="BY161" s="69"/>
      <c r="BZ161" s="67"/>
      <c r="CA161" s="68"/>
      <c r="CB161" s="68"/>
      <c r="CC161" s="68"/>
      <c r="CD161" s="68"/>
      <c r="CE161" s="68"/>
      <c r="CF161" s="68"/>
      <c r="CG161" s="68"/>
      <c r="CH161" s="68"/>
      <c r="CI161" s="68"/>
      <c r="CJ161" s="68"/>
      <c r="CK161" s="68"/>
      <c r="CL161" s="67">
        <v>12.02</v>
      </c>
      <c r="CM161" s="68">
        <v>0</v>
      </c>
      <c r="CN161" s="68">
        <v>30226.03</v>
      </c>
      <c r="CO161" s="68">
        <v>15007.49</v>
      </c>
      <c r="CP161" s="68">
        <v>225490.4</v>
      </c>
      <c r="CQ161" s="68">
        <v>51444.08</v>
      </c>
      <c r="CR161" s="68">
        <v>74478.399999999994</v>
      </c>
      <c r="CS161" s="68">
        <v>100268.87</v>
      </c>
      <c r="CT161" s="68">
        <v>138821.51</v>
      </c>
      <c r="CU161" s="68">
        <v>81485.64</v>
      </c>
      <c r="CV161" s="68">
        <v>81667.289999999994</v>
      </c>
      <c r="CW161" s="69">
        <v>578627.44999999995</v>
      </c>
      <c r="CX161" s="67">
        <v>0</v>
      </c>
      <c r="CY161" s="68">
        <v>22379.27</v>
      </c>
      <c r="CZ161" s="68">
        <v>103653.71</v>
      </c>
      <c r="DA161" s="68">
        <v>20782.28</v>
      </c>
      <c r="DB161" s="68">
        <v>89077.27</v>
      </c>
      <c r="DC161" s="68">
        <v>139274.37</v>
      </c>
      <c r="DD161" s="68">
        <v>62406.84</v>
      </c>
      <c r="DE161" s="68">
        <v>202667.74</v>
      </c>
      <c r="DF161" s="68">
        <v>49724.23</v>
      </c>
      <c r="DG161" s="68">
        <v>60295.28</v>
      </c>
      <c r="DH161" s="68">
        <v>279165.02</v>
      </c>
      <c r="DI161" s="69">
        <v>373073.87</v>
      </c>
      <c r="DJ161" s="67">
        <v>0</v>
      </c>
      <c r="DK161" s="68">
        <v>43400</v>
      </c>
      <c r="DL161" s="68">
        <v>56179.9</v>
      </c>
      <c r="DM161" s="68">
        <v>65730</v>
      </c>
      <c r="DN161" s="68">
        <v>33304</v>
      </c>
      <c r="DO161" s="68">
        <v>192200</v>
      </c>
      <c r="DP161" s="68">
        <v>42500</v>
      </c>
      <c r="DQ161" s="68">
        <v>103100</v>
      </c>
      <c r="DR161" s="68">
        <v>12298.45</v>
      </c>
      <c r="DS161" s="68">
        <v>198096.5</v>
      </c>
      <c r="DT161" s="68">
        <v>60128.959999999999</v>
      </c>
      <c r="DU161" s="69">
        <v>533061.86</v>
      </c>
      <c r="DV161" s="61">
        <v>0</v>
      </c>
      <c r="DW161" s="61">
        <v>10000</v>
      </c>
      <c r="DX161" s="61">
        <v>77797.5</v>
      </c>
      <c r="DY161" s="61">
        <v>52400</v>
      </c>
      <c r="DZ161" s="79"/>
      <c r="EB161" s="79"/>
      <c r="EC161" s="79"/>
      <c r="ED161" s="79"/>
      <c r="EE161" s="79"/>
      <c r="EF161" s="79"/>
      <c r="EG161" s="79"/>
      <c r="EH161" s="62"/>
      <c r="EI161" s="62"/>
      <c r="EJ161" s="62"/>
      <c r="EK161" s="62"/>
      <c r="EL161" s="62"/>
      <c r="EM161" s="62"/>
      <c r="EN161" s="62"/>
      <c r="EO161" s="62"/>
      <c r="EP161" s="62"/>
      <c r="EQ161" s="62"/>
      <c r="ER161" s="62"/>
      <c r="ES161" s="62"/>
      <c r="ET161" s="62"/>
      <c r="EU161" s="62"/>
      <c r="EV161" s="62"/>
      <c r="EW161" s="62"/>
      <c r="EX161" s="62"/>
      <c r="EY161" s="62"/>
      <c r="EZ161" s="62"/>
      <c r="FA161" s="62"/>
      <c r="FB161" s="62"/>
      <c r="FC161" s="62"/>
      <c r="FD161" s="62"/>
      <c r="FE161" s="62"/>
      <c r="FF161" s="62"/>
      <c r="FG161" s="62"/>
      <c r="FH161" s="62"/>
      <c r="FI161" s="62"/>
      <c r="FJ161" s="62"/>
      <c r="FK161" s="62"/>
      <c r="FL161" s="62"/>
      <c r="FM161" s="62"/>
      <c r="FN161" s="62"/>
      <c r="FO161" s="62"/>
      <c r="FP161" s="62"/>
      <c r="FQ161" s="88"/>
      <c r="FR161" s="62"/>
      <c r="FS161" s="62"/>
      <c r="FT161" s="62"/>
      <c r="FU161" s="62"/>
      <c r="FV161" s="62"/>
      <c r="FW161" s="62"/>
      <c r="FX161" s="62"/>
      <c r="FY161" s="62"/>
      <c r="FZ161" s="62"/>
      <c r="GA161" s="62"/>
      <c r="GB161" s="62"/>
      <c r="GC161" s="62"/>
      <c r="GD161" s="62"/>
      <c r="GF161" s="62"/>
      <c r="GG161" s="62"/>
      <c r="GH161" s="62"/>
      <c r="GI161" s="62"/>
      <c r="GJ161" s="62"/>
      <c r="GK161" s="62"/>
      <c r="GL161" s="62"/>
      <c r="GM161" s="62"/>
      <c r="GN161" s="62"/>
      <c r="GO161" s="62"/>
      <c r="GP161" s="62"/>
      <c r="GQ161" s="62"/>
      <c r="GR161" s="62"/>
      <c r="GS161" s="62"/>
      <c r="GT161" s="62"/>
      <c r="GU161" s="62"/>
      <c r="GV161" s="62"/>
      <c r="GW161" s="62"/>
      <c r="GX161" s="62"/>
      <c r="GY161" s="62"/>
      <c r="GZ161" s="62"/>
      <c r="HA161" s="62"/>
      <c r="HB161" s="62"/>
      <c r="HC161" s="62"/>
      <c r="HD161" s="62"/>
      <c r="HE161" s="62"/>
      <c r="HF161" s="62"/>
      <c r="HG161" s="62"/>
      <c r="HH161" s="62"/>
      <c r="HI161" s="62"/>
      <c r="HJ161" s="62"/>
      <c r="HK161" s="62"/>
      <c r="HL161" s="62"/>
      <c r="HM161" s="62"/>
      <c r="HN161" s="62"/>
      <c r="HO161" s="62"/>
      <c r="HP161" s="62"/>
      <c r="HQ161" s="62"/>
      <c r="HR161" s="62"/>
      <c r="HS161" s="62"/>
      <c r="HT161" s="62"/>
      <c r="HU161" s="62"/>
      <c r="HV161" s="62"/>
      <c r="HW161" s="62"/>
      <c r="HX161" s="62"/>
      <c r="HY161" s="62"/>
      <c r="HZ161" s="62"/>
      <c r="IA161" s="62"/>
      <c r="IB161" s="62"/>
      <c r="IC161" s="62"/>
      <c r="ID161" s="62"/>
      <c r="IE161" s="62"/>
      <c r="IF161" s="62"/>
      <c r="IG161" s="62"/>
      <c r="IH161" s="62"/>
      <c r="II161" s="62"/>
      <c r="IJ161" s="62"/>
      <c r="IK161" s="62"/>
      <c r="IL161" s="62"/>
      <c r="IM161" s="62"/>
      <c r="IN161" s="62"/>
      <c r="IO161" s="62"/>
      <c r="IP161" s="62"/>
      <c r="IQ161" s="62"/>
      <c r="IR161" s="62"/>
      <c r="IS161" s="62"/>
      <c r="IT161" s="62"/>
      <c r="IU161" s="62"/>
      <c r="IV161" s="62"/>
      <c r="IW161" s="62"/>
      <c r="IX161" s="62"/>
      <c r="IY161" s="62"/>
      <c r="IZ161" s="62"/>
      <c r="JA161" s="62"/>
      <c r="JB161" s="62"/>
      <c r="JC161" s="62"/>
      <c r="JD161" s="62"/>
      <c r="JE161" s="62"/>
      <c r="JF161" s="62"/>
      <c r="JG161" s="62"/>
      <c r="JH161" s="62"/>
      <c r="JI161" s="62"/>
      <c r="JJ161" s="62"/>
      <c r="JK161" s="62"/>
      <c r="JL161" s="62"/>
      <c r="JM161" s="62"/>
      <c r="JN161" s="62"/>
      <c r="JO161" s="62"/>
      <c r="JP161" s="62"/>
      <c r="JQ161" s="62"/>
      <c r="JR161" s="62"/>
      <c r="JS161" s="62"/>
      <c r="JT161" s="62"/>
      <c r="JU161" s="62"/>
      <c r="JV161" s="62"/>
      <c r="JW161" s="62"/>
      <c r="JX161" s="62"/>
      <c r="JY161" s="62"/>
      <c r="JZ161" s="62"/>
      <c r="KA161" s="62"/>
      <c r="KB161" s="62"/>
      <c r="KC161" s="62"/>
      <c r="KD161" s="62"/>
      <c r="KE161" s="62"/>
      <c r="KF161" s="62"/>
      <c r="KG161" s="62"/>
      <c r="KH161" s="62"/>
      <c r="KI161" s="62"/>
      <c r="KJ161" s="62"/>
      <c r="KK161" s="62"/>
      <c r="KL161" s="62"/>
      <c r="KM161" s="62"/>
      <c r="KN161" s="62"/>
      <c r="KO161" s="62"/>
      <c r="KP161" s="62"/>
      <c r="KQ161" s="62"/>
      <c r="KR161" s="62"/>
      <c r="KS161" s="62"/>
      <c r="KT161" s="62"/>
      <c r="KU161" s="62"/>
      <c r="KV161" s="62"/>
      <c r="KW161" s="62"/>
      <c r="KX161" s="62"/>
      <c r="KY161" s="62"/>
      <c r="KZ161" s="62"/>
      <c r="LA161" s="62"/>
      <c r="LB161" s="62"/>
      <c r="LC161" s="62"/>
      <c r="LD161" s="62"/>
      <c r="LE161" s="62"/>
      <c r="LF161" s="62"/>
      <c r="LG161" s="62"/>
      <c r="LH161" s="62"/>
      <c r="LI161" s="62"/>
    </row>
    <row r="162" spans="1:321">
      <c r="D162" s="59">
        <v>4413</v>
      </c>
      <c r="E162" s="60" t="s">
        <v>462</v>
      </c>
      <c r="F162" s="67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9"/>
      <c r="R162" s="67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9"/>
      <c r="AD162" s="67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9"/>
      <c r="AP162" s="67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9"/>
      <c r="BB162" s="67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9"/>
      <c r="BN162" s="67"/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9"/>
      <c r="BZ162" s="67"/>
      <c r="CA162" s="68"/>
      <c r="CB162" s="68"/>
      <c r="CC162" s="68"/>
      <c r="CD162" s="68"/>
      <c r="CE162" s="68"/>
      <c r="CF162" s="68"/>
      <c r="CG162" s="68"/>
      <c r="CH162" s="68"/>
      <c r="CI162" s="68"/>
      <c r="CJ162" s="68"/>
      <c r="CK162" s="68"/>
      <c r="CL162" s="67">
        <v>93855.35</v>
      </c>
      <c r="CM162" s="68">
        <v>23663.71</v>
      </c>
      <c r="CN162" s="68">
        <v>293243.46999999997</v>
      </c>
      <c r="CO162" s="68">
        <v>282990.64</v>
      </c>
      <c r="CP162" s="68">
        <v>10496.16</v>
      </c>
      <c r="CQ162" s="68">
        <v>25738.06</v>
      </c>
      <c r="CR162" s="68">
        <v>12980</v>
      </c>
      <c r="CS162" s="68">
        <v>327258.42</v>
      </c>
      <c r="CT162" s="68">
        <v>228386.38</v>
      </c>
      <c r="CU162" s="68">
        <v>65713.600000000006</v>
      </c>
      <c r="CV162" s="68">
        <v>38780.81</v>
      </c>
      <c r="CW162" s="69">
        <v>536308.38</v>
      </c>
      <c r="CX162" s="67">
        <v>0</v>
      </c>
      <c r="CY162" s="68">
        <v>228499</v>
      </c>
      <c r="CZ162" s="68">
        <v>188928.97</v>
      </c>
      <c r="DA162" s="68">
        <v>2083.33</v>
      </c>
      <c r="DB162" s="68">
        <v>0</v>
      </c>
      <c r="DC162" s="68">
        <v>15662.42</v>
      </c>
      <c r="DD162" s="68">
        <v>79691.94</v>
      </c>
      <c r="DE162" s="68">
        <v>80534.69</v>
      </c>
      <c r="DF162" s="68">
        <v>67662.14</v>
      </c>
      <c r="DG162" s="68">
        <v>25612.17</v>
      </c>
      <c r="DH162" s="68">
        <v>1314.03</v>
      </c>
      <c r="DI162" s="69">
        <v>154939.32999999999</v>
      </c>
      <c r="DJ162" s="67">
        <v>0</v>
      </c>
      <c r="DK162" s="68">
        <v>49938.559999999998</v>
      </c>
      <c r="DL162" s="68">
        <v>42708.33</v>
      </c>
      <c r="DM162" s="68">
        <v>208.33</v>
      </c>
      <c r="DN162" s="68">
        <v>67464.479999999996</v>
      </c>
      <c r="DO162" s="68">
        <v>117658.33</v>
      </c>
      <c r="DP162" s="68">
        <v>127220.46</v>
      </c>
      <c r="DQ162" s="68">
        <v>46610.25</v>
      </c>
      <c r="DR162" s="68">
        <v>39085.33</v>
      </c>
      <c r="DS162" s="68">
        <v>42332.42</v>
      </c>
      <c r="DT162" s="68">
        <v>182946.09</v>
      </c>
      <c r="DU162" s="69">
        <v>330159.71999999997</v>
      </c>
      <c r="DV162" s="61">
        <v>13258.73</v>
      </c>
      <c r="DW162" s="61">
        <v>1846991.28</v>
      </c>
      <c r="DX162" s="61">
        <v>62776.69</v>
      </c>
      <c r="DY162" s="61">
        <v>36323.75</v>
      </c>
      <c r="DZ162" s="79"/>
      <c r="EB162" s="79"/>
      <c r="EC162" s="79"/>
      <c r="ED162" s="79"/>
      <c r="EE162" s="79"/>
      <c r="EF162" s="79"/>
      <c r="EG162" s="79"/>
      <c r="EH162" s="62"/>
      <c r="EI162" s="62"/>
      <c r="EJ162" s="62"/>
      <c r="EK162" s="62"/>
      <c r="EL162" s="62"/>
      <c r="EM162" s="62"/>
      <c r="EN162" s="62"/>
      <c r="EO162" s="62"/>
      <c r="EP162" s="62"/>
      <c r="EQ162" s="62"/>
      <c r="ER162" s="62"/>
      <c r="ES162" s="62"/>
      <c r="ET162" s="62"/>
      <c r="EU162" s="62"/>
      <c r="EV162" s="62"/>
      <c r="EW162" s="62"/>
      <c r="EX162" s="62"/>
      <c r="EY162" s="62"/>
      <c r="EZ162" s="62"/>
      <c r="FA162" s="62"/>
      <c r="FB162" s="62"/>
      <c r="FC162" s="62"/>
      <c r="FD162" s="64"/>
      <c r="FE162" s="62"/>
      <c r="FF162" s="62"/>
      <c r="FG162" s="62"/>
      <c r="FH162" s="62"/>
      <c r="FI162" s="62"/>
      <c r="FJ162" s="62"/>
      <c r="FK162" s="62"/>
      <c r="FL162" s="62"/>
      <c r="FM162" s="62"/>
      <c r="FN162" s="62"/>
      <c r="FO162" s="62"/>
      <c r="FP162" s="62"/>
      <c r="FQ162" s="62"/>
      <c r="FR162" s="62"/>
      <c r="FS162" s="62"/>
      <c r="FT162" s="62"/>
      <c r="FU162" s="62"/>
      <c r="FV162" s="62"/>
      <c r="FW162" s="62"/>
      <c r="FX162" s="62"/>
      <c r="FY162" s="62"/>
      <c r="FZ162" s="62"/>
      <c r="GA162" s="62"/>
      <c r="GB162" s="62"/>
      <c r="GC162" s="62"/>
      <c r="GD162" s="62"/>
      <c r="GF162" s="62"/>
      <c r="GG162" s="62"/>
      <c r="GH162" s="62"/>
      <c r="GI162" s="62"/>
      <c r="GJ162" s="62"/>
      <c r="GK162" s="62"/>
      <c r="GL162" s="62"/>
      <c r="GM162" s="62"/>
      <c r="GN162" s="62"/>
      <c r="GO162" s="62"/>
      <c r="GP162" s="62"/>
      <c r="GQ162" s="62"/>
      <c r="GR162" s="62"/>
      <c r="GS162" s="62"/>
      <c r="GT162" s="62"/>
      <c r="GU162" s="62"/>
      <c r="GV162" s="62"/>
      <c r="GW162" s="62"/>
      <c r="GX162" s="62"/>
      <c r="GY162" s="62"/>
      <c r="GZ162" s="62"/>
      <c r="HA162" s="62"/>
      <c r="HB162" s="62"/>
      <c r="HC162" s="62"/>
      <c r="HD162" s="62"/>
      <c r="HE162" s="62"/>
      <c r="HF162" s="62"/>
      <c r="HG162" s="62"/>
      <c r="HH162" s="62"/>
      <c r="HI162" s="62"/>
      <c r="HJ162" s="62"/>
      <c r="HK162" s="62"/>
      <c r="HL162" s="62"/>
      <c r="HM162" s="62"/>
      <c r="HN162" s="62"/>
      <c r="HO162" s="62"/>
      <c r="HP162" s="62"/>
      <c r="HQ162" s="62"/>
      <c r="HR162" s="62"/>
      <c r="HS162" s="62"/>
      <c r="HT162" s="62"/>
      <c r="HU162" s="62"/>
      <c r="HV162" s="62"/>
      <c r="HW162" s="62"/>
      <c r="HX162" s="62"/>
      <c r="HY162" s="62"/>
      <c r="HZ162" s="62"/>
      <c r="IA162" s="62"/>
      <c r="IB162" s="62"/>
      <c r="IC162" s="62"/>
      <c r="ID162" s="62"/>
      <c r="IE162" s="62"/>
      <c r="IF162" s="62"/>
      <c r="IG162" s="62"/>
      <c r="IH162" s="62"/>
      <c r="II162" s="62"/>
      <c r="IJ162" s="62"/>
      <c r="IK162" s="62"/>
      <c r="IL162" s="62"/>
      <c r="IM162" s="62"/>
      <c r="IN162" s="62"/>
      <c r="IO162" s="62"/>
      <c r="IP162" s="62"/>
      <c r="IQ162" s="62"/>
      <c r="IR162" s="62"/>
      <c r="IS162" s="62"/>
      <c r="IT162" s="62"/>
      <c r="IU162" s="62"/>
      <c r="IV162" s="62"/>
      <c r="IW162" s="62"/>
      <c r="IX162" s="62"/>
      <c r="IY162" s="62"/>
      <c r="IZ162" s="62"/>
      <c r="JA162" s="62"/>
      <c r="JB162" s="62"/>
      <c r="JC162" s="62"/>
      <c r="JD162" s="62"/>
      <c r="JE162" s="62"/>
      <c r="JF162" s="62"/>
      <c r="JG162" s="62"/>
      <c r="JH162" s="62"/>
      <c r="JI162" s="62"/>
      <c r="JJ162" s="62"/>
      <c r="JK162" s="62"/>
      <c r="JL162" s="62"/>
      <c r="JM162" s="62"/>
      <c r="JN162" s="62"/>
      <c r="JO162" s="62"/>
      <c r="JP162" s="62"/>
      <c r="JQ162" s="62"/>
      <c r="JR162" s="62"/>
      <c r="JS162" s="62"/>
      <c r="JT162" s="62"/>
      <c r="JU162" s="62"/>
      <c r="JV162" s="62"/>
      <c r="JW162" s="62"/>
      <c r="JX162" s="62"/>
      <c r="JY162" s="62"/>
      <c r="JZ162" s="62"/>
      <c r="KA162" s="62"/>
      <c r="KB162" s="62"/>
      <c r="KC162" s="62"/>
      <c r="KD162" s="62"/>
      <c r="KE162" s="62"/>
      <c r="KF162" s="62"/>
      <c r="KG162" s="62"/>
      <c r="KH162" s="62"/>
      <c r="KI162" s="62"/>
      <c r="KJ162" s="62"/>
      <c r="KK162" s="62"/>
      <c r="KL162" s="62"/>
      <c r="KM162" s="62"/>
      <c r="KN162" s="62"/>
      <c r="KO162" s="62"/>
      <c r="KP162" s="62"/>
      <c r="KQ162" s="62"/>
      <c r="KR162" s="62"/>
      <c r="KS162" s="62"/>
      <c r="KT162" s="62"/>
      <c r="KU162" s="62"/>
      <c r="KV162" s="62"/>
      <c r="KW162" s="62"/>
      <c r="KX162" s="62"/>
      <c r="KY162" s="62"/>
      <c r="KZ162" s="62"/>
      <c r="LA162" s="62"/>
      <c r="LB162" s="62"/>
      <c r="LC162" s="62"/>
      <c r="LD162" s="62"/>
      <c r="LE162" s="62"/>
      <c r="LF162" s="62"/>
      <c r="LG162" s="62"/>
      <c r="LH162" s="62"/>
      <c r="LI162" s="62"/>
    </row>
    <row r="163" spans="1:321">
      <c r="D163" s="59">
        <v>4414</v>
      </c>
      <c r="E163" s="60" t="s">
        <v>463</v>
      </c>
      <c r="F163" s="67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9"/>
      <c r="R163" s="67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9"/>
      <c r="AD163" s="67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9"/>
      <c r="AP163" s="67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9"/>
      <c r="BB163" s="67"/>
      <c r="BC163" s="68"/>
      <c r="BD163" s="68"/>
      <c r="BE163" s="68"/>
      <c r="BF163" s="68"/>
      <c r="BG163" s="68"/>
      <c r="BH163" s="68"/>
      <c r="BI163" s="68"/>
      <c r="BJ163" s="68"/>
      <c r="BK163" s="68"/>
      <c r="BL163" s="68"/>
      <c r="BM163" s="69"/>
      <c r="BN163" s="67"/>
      <c r="BO163" s="68"/>
      <c r="BP163" s="68"/>
      <c r="BQ163" s="68"/>
      <c r="BR163" s="68"/>
      <c r="BS163" s="68"/>
      <c r="BT163" s="68"/>
      <c r="BU163" s="68"/>
      <c r="BV163" s="68"/>
      <c r="BW163" s="68"/>
      <c r="BX163" s="68"/>
      <c r="BY163" s="69"/>
      <c r="BZ163" s="67"/>
      <c r="CA163" s="68"/>
      <c r="CB163" s="68"/>
      <c r="CC163" s="68"/>
      <c r="CD163" s="68"/>
      <c r="CE163" s="68"/>
      <c r="CF163" s="68"/>
      <c r="CG163" s="68"/>
      <c r="CH163" s="68"/>
      <c r="CI163" s="68"/>
      <c r="CJ163" s="68"/>
      <c r="CK163" s="68"/>
      <c r="CL163" s="67">
        <v>0</v>
      </c>
      <c r="CM163" s="68">
        <v>0</v>
      </c>
      <c r="CN163" s="68">
        <v>12315.5</v>
      </c>
      <c r="CO163" s="68">
        <v>45851.06</v>
      </c>
      <c r="CP163" s="68">
        <v>38875.64</v>
      </c>
      <c r="CQ163" s="68">
        <v>60705.1</v>
      </c>
      <c r="CR163" s="68">
        <v>69712.89</v>
      </c>
      <c r="CS163" s="68">
        <v>18895</v>
      </c>
      <c r="CT163" s="68">
        <v>3560</v>
      </c>
      <c r="CU163" s="68">
        <v>89302</v>
      </c>
      <c r="CV163" s="68">
        <v>46575.31</v>
      </c>
      <c r="CW163" s="69">
        <v>218073.42</v>
      </c>
      <c r="CX163" s="67">
        <v>0</v>
      </c>
      <c r="CY163" s="68">
        <v>0</v>
      </c>
      <c r="CZ163" s="68">
        <v>742.5</v>
      </c>
      <c r="DA163" s="68">
        <v>29402.080000000002</v>
      </c>
      <c r="DB163" s="68">
        <v>98636.09</v>
      </c>
      <c r="DC163" s="68">
        <v>15568.07</v>
      </c>
      <c r="DD163" s="68">
        <v>105222.57</v>
      </c>
      <c r="DE163" s="68">
        <v>20169.400000000001</v>
      </c>
      <c r="DF163" s="68">
        <v>32471.01</v>
      </c>
      <c r="DG163" s="68">
        <v>113821.04</v>
      </c>
      <c r="DH163" s="68">
        <v>51916.67</v>
      </c>
      <c r="DI163" s="69">
        <v>104331.2</v>
      </c>
      <c r="DJ163" s="67">
        <v>0</v>
      </c>
      <c r="DK163" s="68">
        <v>51282.8</v>
      </c>
      <c r="DL163" s="68">
        <v>47796.17</v>
      </c>
      <c r="DM163" s="68">
        <v>107260.9</v>
      </c>
      <c r="DN163" s="68">
        <v>109820.15</v>
      </c>
      <c r="DO163" s="68">
        <v>55683.25</v>
      </c>
      <c r="DP163" s="68">
        <v>72254.22</v>
      </c>
      <c r="DQ163" s="68">
        <v>48965.95</v>
      </c>
      <c r="DR163" s="68">
        <v>80900.41</v>
      </c>
      <c r="DS163" s="68">
        <v>59083.34</v>
      </c>
      <c r="DT163" s="68">
        <v>18761.45</v>
      </c>
      <c r="DU163" s="69">
        <v>322130.57</v>
      </c>
      <c r="DV163" s="61">
        <v>0</v>
      </c>
      <c r="DW163" s="61">
        <v>4237.8500000000004</v>
      </c>
      <c r="DX163" s="61">
        <v>6677.17</v>
      </c>
      <c r="DY163" s="61">
        <v>17567.04</v>
      </c>
      <c r="DZ163" s="79"/>
      <c r="EB163" s="79"/>
      <c r="EC163" s="79"/>
      <c r="ED163" s="79"/>
      <c r="EE163" s="79"/>
      <c r="EF163" s="79"/>
      <c r="EG163" s="79"/>
      <c r="EH163" s="62"/>
      <c r="EI163" s="62"/>
      <c r="EJ163" s="62"/>
      <c r="EK163" s="62"/>
      <c r="EL163" s="62"/>
      <c r="EM163" s="62"/>
      <c r="EN163" s="62"/>
      <c r="EO163" s="62"/>
      <c r="EP163" s="62"/>
      <c r="EQ163" s="62"/>
      <c r="ER163" s="62"/>
      <c r="ES163" s="62"/>
      <c r="ET163" s="62"/>
      <c r="EU163" s="62"/>
      <c r="EV163" s="62"/>
      <c r="EW163" s="62"/>
      <c r="EX163" s="62"/>
      <c r="EY163" s="62"/>
      <c r="EZ163" s="62"/>
      <c r="FA163" s="62"/>
      <c r="FB163" s="62"/>
      <c r="FC163" s="62"/>
      <c r="FD163" s="62"/>
      <c r="FE163" s="62"/>
      <c r="FF163" s="62"/>
      <c r="FG163" s="62"/>
      <c r="FH163" s="62"/>
      <c r="FI163" s="62"/>
      <c r="FJ163" s="62"/>
      <c r="FK163" s="62"/>
      <c r="FL163" s="62"/>
      <c r="FM163" s="62"/>
      <c r="FN163" s="62"/>
      <c r="FO163" s="62"/>
      <c r="FP163" s="62"/>
      <c r="FQ163" s="62"/>
      <c r="FR163" s="62"/>
      <c r="FS163" s="62"/>
      <c r="FT163" s="62"/>
      <c r="FU163" s="62"/>
      <c r="FV163" s="62"/>
      <c r="FW163" s="62"/>
      <c r="FX163" s="62"/>
      <c r="FY163" s="62"/>
      <c r="FZ163" s="62"/>
      <c r="GA163" s="62"/>
      <c r="GB163" s="62"/>
      <c r="GC163" s="62"/>
      <c r="GD163" s="62"/>
      <c r="GF163" s="62"/>
      <c r="GG163" s="62"/>
      <c r="GH163" s="62"/>
      <c r="GI163" s="62"/>
      <c r="GJ163" s="62"/>
      <c r="GK163" s="62"/>
      <c r="GL163" s="62"/>
      <c r="GM163" s="62"/>
      <c r="GN163" s="62"/>
      <c r="GO163" s="62"/>
      <c r="GP163" s="62"/>
      <c r="GQ163" s="62"/>
      <c r="GR163" s="62"/>
      <c r="GS163" s="62"/>
      <c r="GT163" s="62"/>
      <c r="GU163" s="62"/>
      <c r="GV163" s="62"/>
      <c r="GW163" s="62"/>
      <c r="GX163" s="62"/>
      <c r="GY163" s="62"/>
      <c r="GZ163" s="62"/>
      <c r="HA163" s="62"/>
      <c r="HB163" s="62"/>
      <c r="HC163" s="62"/>
      <c r="HD163" s="62"/>
      <c r="HE163" s="62"/>
      <c r="HF163" s="62"/>
      <c r="HG163" s="62"/>
      <c r="HH163" s="62"/>
      <c r="HI163" s="62"/>
      <c r="HJ163" s="62"/>
      <c r="HK163" s="62"/>
      <c r="HL163" s="62"/>
      <c r="HM163" s="62"/>
      <c r="HN163" s="62"/>
      <c r="HO163" s="62"/>
      <c r="HP163" s="62"/>
      <c r="HQ163" s="62"/>
      <c r="HR163" s="62"/>
      <c r="HS163" s="62"/>
      <c r="HT163" s="62"/>
      <c r="HU163" s="62"/>
      <c r="HV163" s="62"/>
      <c r="HW163" s="62"/>
      <c r="HX163" s="62"/>
      <c r="HY163" s="62"/>
      <c r="HZ163" s="62"/>
      <c r="IA163" s="62"/>
      <c r="IB163" s="62"/>
      <c r="IC163" s="62"/>
      <c r="ID163" s="62"/>
      <c r="IE163" s="62"/>
      <c r="IF163" s="62"/>
      <c r="IG163" s="62"/>
      <c r="IH163" s="62"/>
      <c r="II163" s="62"/>
      <c r="IJ163" s="62"/>
      <c r="IK163" s="62"/>
      <c r="IL163" s="62"/>
      <c r="IM163" s="62"/>
      <c r="IN163" s="62"/>
      <c r="IO163" s="62"/>
      <c r="IP163" s="62"/>
      <c r="IQ163" s="62"/>
      <c r="IR163" s="62"/>
      <c r="IS163" s="62"/>
      <c r="IT163" s="62"/>
      <c r="IU163" s="62"/>
      <c r="IV163" s="62"/>
      <c r="IW163" s="62"/>
      <c r="IX163" s="62"/>
      <c r="IY163" s="62"/>
      <c r="IZ163" s="62"/>
      <c r="JA163" s="62"/>
      <c r="JB163" s="62"/>
      <c r="JC163" s="62"/>
      <c r="JD163" s="62"/>
      <c r="JE163" s="62"/>
      <c r="JF163" s="62"/>
      <c r="JG163" s="62"/>
      <c r="JH163" s="62"/>
      <c r="JI163" s="62"/>
      <c r="JJ163" s="62"/>
      <c r="JK163" s="62"/>
      <c r="JL163" s="62"/>
      <c r="JM163" s="62"/>
      <c r="JN163" s="62"/>
      <c r="JO163" s="62"/>
      <c r="JP163" s="62"/>
      <c r="JQ163" s="62"/>
      <c r="JR163" s="62"/>
      <c r="JS163" s="62"/>
      <c r="JT163" s="62"/>
      <c r="JU163" s="62"/>
      <c r="JV163" s="62"/>
      <c r="JW163" s="62"/>
      <c r="JX163" s="62"/>
      <c r="JY163" s="62"/>
      <c r="JZ163" s="62"/>
      <c r="KA163" s="62"/>
      <c r="KB163" s="62"/>
      <c r="KC163" s="62"/>
      <c r="KD163" s="62"/>
      <c r="KE163" s="62"/>
      <c r="KF163" s="62"/>
      <c r="KG163" s="62"/>
      <c r="KH163" s="62"/>
      <c r="KI163" s="62"/>
      <c r="KJ163" s="62"/>
      <c r="KK163" s="62"/>
      <c r="KL163" s="62"/>
      <c r="KM163" s="62"/>
      <c r="KN163" s="62"/>
      <c r="KO163" s="62"/>
      <c r="KP163" s="62"/>
      <c r="KQ163" s="62"/>
      <c r="KR163" s="62"/>
      <c r="KS163" s="62"/>
      <c r="KT163" s="62"/>
      <c r="KU163" s="62"/>
      <c r="KV163" s="62"/>
      <c r="KW163" s="62"/>
      <c r="KX163" s="62"/>
      <c r="KY163" s="62"/>
      <c r="KZ163" s="62"/>
      <c r="LA163" s="62"/>
      <c r="LB163" s="62"/>
      <c r="LC163" s="62"/>
      <c r="LD163" s="62"/>
      <c r="LE163" s="62"/>
      <c r="LF163" s="62"/>
      <c r="LG163" s="62"/>
      <c r="LH163" s="62"/>
      <c r="LI163" s="62"/>
    </row>
    <row r="164" spans="1:321">
      <c r="D164" s="59">
        <v>4415</v>
      </c>
      <c r="E164" s="60" t="s">
        <v>464</v>
      </c>
      <c r="F164" s="67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9"/>
      <c r="R164" s="67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9"/>
      <c r="AD164" s="67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9"/>
      <c r="AP164" s="67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9"/>
      <c r="BB164" s="67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9"/>
      <c r="BN164" s="67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9"/>
      <c r="BZ164" s="67"/>
      <c r="CA164" s="68"/>
      <c r="CB164" s="68"/>
      <c r="CC164" s="68"/>
      <c r="CD164" s="68"/>
      <c r="CE164" s="68"/>
      <c r="CF164" s="68"/>
      <c r="CG164" s="68"/>
      <c r="CH164" s="68"/>
      <c r="CI164" s="68"/>
      <c r="CJ164" s="68"/>
      <c r="CK164" s="68"/>
      <c r="CL164" s="67">
        <v>55698.12</v>
      </c>
      <c r="CM164" s="68">
        <v>54286.36</v>
      </c>
      <c r="CN164" s="68">
        <v>169744.79</v>
      </c>
      <c r="CO164" s="68">
        <v>284790.03000000201</v>
      </c>
      <c r="CP164" s="68">
        <v>116365.65</v>
      </c>
      <c r="CQ164" s="68">
        <v>121538.83</v>
      </c>
      <c r="CR164" s="68">
        <v>205337.74</v>
      </c>
      <c r="CS164" s="68">
        <v>347666.56</v>
      </c>
      <c r="CT164" s="68">
        <v>441247.24</v>
      </c>
      <c r="CU164" s="68">
        <v>319322.42</v>
      </c>
      <c r="CV164" s="68">
        <v>160901.01</v>
      </c>
      <c r="CW164" s="69">
        <v>3051702.31</v>
      </c>
      <c r="CX164" s="67">
        <v>7906.58</v>
      </c>
      <c r="CY164" s="68">
        <v>93612.669999999795</v>
      </c>
      <c r="CZ164" s="68">
        <v>88391.78</v>
      </c>
      <c r="DA164" s="68">
        <v>277075.81</v>
      </c>
      <c r="DB164" s="68">
        <v>320405.96000000002</v>
      </c>
      <c r="DC164" s="68">
        <v>567005.84</v>
      </c>
      <c r="DD164" s="68">
        <v>164890.25</v>
      </c>
      <c r="DE164" s="68">
        <v>664939.11</v>
      </c>
      <c r="DF164" s="68">
        <v>304850.76</v>
      </c>
      <c r="DG164" s="68">
        <v>1421908.08</v>
      </c>
      <c r="DH164" s="68">
        <v>1251630.3899999999</v>
      </c>
      <c r="DI164" s="69">
        <v>5222510.1100000003</v>
      </c>
      <c r="DJ164" s="67">
        <v>53324.73</v>
      </c>
      <c r="DK164" s="68">
        <v>59601.919999999998</v>
      </c>
      <c r="DL164" s="68">
        <v>1060919.22</v>
      </c>
      <c r="DM164" s="68">
        <v>213284.44</v>
      </c>
      <c r="DN164" s="68">
        <v>465248.77</v>
      </c>
      <c r="DO164" s="68">
        <v>367759.7</v>
      </c>
      <c r="DP164" s="68">
        <v>406161.25</v>
      </c>
      <c r="DQ164" s="68">
        <v>1120390.28</v>
      </c>
      <c r="DR164" s="68">
        <v>921270.44999999902</v>
      </c>
      <c r="DS164" s="68">
        <v>1095442.6100000001</v>
      </c>
      <c r="DT164" s="68">
        <v>322216.68</v>
      </c>
      <c r="DU164" s="69">
        <v>6592706.4800000004</v>
      </c>
      <c r="DV164" s="61">
        <v>512069.65</v>
      </c>
      <c r="DW164" s="61">
        <v>520701.73</v>
      </c>
      <c r="DX164" s="61">
        <v>1302616.3999999999</v>
      </c>
      <c r="DY164" s="61">
        <v>711662.82</v>
      </c>
      <c r="DZ164" s="79"/>
      <c r="EB164" s="79"/>
      <c r="EC164" s="79"/>
      <c r="ED164" s="79"/>
      <c r="EE164" s="79"/>
      <c r="EF164" s="79"/>
      <c r="EG164" s="79"/>
      <c r="EH164" s="62"/>
      <c r="EI164" s="62"/>
      <c r="EJ164" s="62"/>
      <c r="EK164" s="62"/>
      <c r="EL164" s="62"/>
      <c r="EM164" s="62"/>
      <c r="EN164" s="62"/>
      <c r="EO164" s="62"/>
      <c r="EP164" s="62"/>
      <c r="EQ164" s="62"/>
      <c r="ER164" s="62"/>
      <c r="ES164" s="62"/>
      <c r="ET164" s="62"/>
      <c r="EU164" s="62"/>
      <c r="EV164" s="62"/>
      <c r="EW164" s="62"/>
      <c r="EX164" s="62"/>
      <c r="EY164" s="62"/>
      <c r="EZ164" s="62"/>
      <c r="FA164" s="62"/>
      <c r="FB164" s="62"/>
      <c r="FC164" s="62"/>
      <c r="FD164" s="62"/>
      <c r="FE164" s="62"/>
      <c r="FF164" s="62"/>
      <c r="FG164" s="62"/>
      <c r="FH164" s="62"/>
      <c r="FI164" s="62"/>
      <c r="FJ164" s="62"/>
      <c r="FK164" s="62"/>
      <c r="FL164" s="62"/>
      <c r="FM164" s="62"/>
      <c r="FN164" s="62"/>
      <c r="FO164" s="62"/>
      <c r="FP164" s="62"/>
      <c r="FQ164" s="62"/>
      <c r="FR164" s="62"/>
      <c r="FS164" s="62"/>
      <c r="FT164" s="62"/>
      <c r="FU164" s="62"/>
      <c r="FV164" s="62"/>
      <c r="FW164" s="62"/>
      <c r="FX164" s="62"/>
      <c r="FY164" s="62"/>
      <c r="FZ164" s="62"/>
      <c r="GA164" s="62"/>
      <c r="GB164" s="62"/>
      <c r="GC164" s="62"/>
      <c r="GD164" s="62"/>
      <c r="GF164" s="62"/>
      <c r="GG164" s="62"/>
      <c r="GH164" s="62"/>
      <c r="GI164" s="62"/>
      <c r="GJ164" s="62"/>
      <c r="GK164" s="62"/>
      <c r="GL164" s="62"/>
      <c r="GM164" s="62"/>
      <c r="GN164" s="62"/>
      <c r="GO164" s="62"/>
      <c r="GP164" s="62"/>
      <c r="GQ164" s="62"/>
      <c r="GR164" s="62"/>
      <c r="GS164" s="62"/>
      <c r="GT164" s="62"/>
      <c r="GU164" s="62"/>
      <c r="GV164" s="62"/>
      <c r="GW164" s="62"/>
      <c r="GX164" s="62"/>
      <c r="GY164" s="62"/>
      <c r="GZ164" s="62"/>
      <c r="HA164" s="62"/>
      <c r="HB164" s="62"/>
      <c r="HC164" s="62"/>
      <c r="HD164" s="62"/>
      <c r="HE164" s="62"/>
      <c r="HF164" s="62"/>
      <c r="HG164" s="62"/>
      <c r="HH164" s="62"/>
      <c r="HI164" s="62"/>
      <c r="HJ164" s="62"/>
      <c r="HK164" s="62"/>
      <c r="HL164" s="62"/>
      <c r="HM164" s="62"/>
      <c r="HN164" s="62"/>
      <c r="HO164" s="62"/>
      <c r="HP164" s="62"/>
      <c r="HQ164" s="62"/>
      <c r="HR164" s="62"/>
      <c r="HS164" s="62"/>
      <c r="HT164" s="62"/>
      <c r="HU164" s="62"/>
      <c r="HV164" s="62"/>
      <c r="HW164" s="62"/>
      <c r="HX164" s="62"/>
      <c r="HY164" s="62"/>
      <c r="HZ164" s="62"/>
      <c r="IA164" s="62"/>
      <c r="IB164" s="62"/>
      <c r="IC164" s="62"/>
      <c r="ID164" s="62"/>
      <c r="IE164" s="62"/>
      <c r="IF164" s="62"/>
      <c r="IG164" s="62"/>
      <c r="IH164" s="62"/>
      <c r="II164" s="62"/>
      <c r="IJ164" s="62"/>
      <c r="IK164" s="62"/>
      <c r="IL164" s="62"/>
      <c r="IM164" s="62"/>
      <c r="IN164" s="62"/>
      <c r="IO164" s="62"/>
      <c r="IP164" s="62"/>
      <c r="IQ164" s="62"/>
      <c r="IR164" s="62"/>
      <c r="IS164" s="62"/>
      <c r="IT164" s="62"/>
      <c r="IU164" s="62"/>
      <c r="IV164" s="62"/>
      <c r="IW164" s="62"/>
      <c r="IX164" s="62"/>
      <c r="IY164" s="62"/>
      <c r="IZ164" s="62"/>
      <c r="JA164" s="62"/>
      <c r="JB164" s="62"/>
      <c r="JC164" s="62"/>
      <c r="JD164" s="62"/>
      <c r="JE164" s="62"/>
      <c r="JF164" s="62"/>
      <c r="JG164" s="62"/>
      <c r="JH164" s="62"/>
      <c r="JI164" s="62"/>
      <c r="JJ164" s="62"/>
      <c r="JK164" s="62"/>
      <c r="JL164" s="62"/>
      <c r="JM164" s="62"/>
      <c r="JN164" s="62"/>
      <c r="JO164" s="62"/>
      <c r="JP164" s="62"/>
      <c r="JQ164" s="62"/>
      <c r="JR164" s="62"/>
      <c r="JS164" s="62"/>
      <c r="JT164" s="62"/>
      <c r="JU164" s="62"/>
      <c r="JV164" s="62"/>
      <c r="JW164" s="62"/>
      <c r="JX164" s="62"/>
      <c r="JY164" s="62"/>
      <c r="JZ164" s="62"/>
      <c r="KA164" s="62"/>
      <c r="KB164" s="62"/>
      <c r="KC164" s="62"/>
      <c r="KD164" s="62"/>
      <c r="KE164" s="62"/>
      <c r="KF164" s="62"/>
      <c r="KG164" s="62"/>
      <c r="KH164" s="62"/>
      <c r="KI164" s="62"/>
      <c r="KJ164" s="62"/>
      <c r="KK164" s="62"/>
      <c r="KL164" s="62"/>
      <c r="KM164" s="62"/>
      <c r="KN164" s="62"/>
      <c r="KO164" s="62"/>
      <c r="KP164" s="62"/>
      <c r="KQ164" s="62"/>
      <c r="KR164" s="62"/>
      <c r="KS164" s="62"/>
      <c r="KT164" s="62"/>
      <c r="KU164" s="62"/>
      <c r="KV164" s="62"/>
      <c r="KW164" s="62"/>
      <c r="KX164" s="62"/>
      <c r="KY164" s="62"/>
      <c r="KZ164" s="62"/>
      <c r="LA164" s="62"/>
      <c r="LB164" s="62"/>
      <c r="LC164" s="62"/>
      <c r="LD164" s="62"/>
      <c r="LE164" s="62"/>
      <c r="LF164" s="62"/>
      <c r="LG164" s="62"/>
      <c r="LH164" s="62"/>
      <c r="LI164" s="62"/>
    </row>
    <row r="165" spans="1:321">
      <c r="D165" s="59">
        <v>4416</v>
      </c>
      <c r="E165" s="60" t="s">
        <v>465</v>
      </c>
      <c r="F165" s="67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9"/>
      <c r="R165" s="67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9"/>
      <c r="AD165" s="67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9"/>
      <c r="AP165" s="67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9"/>
      <c r="BB165" s="67"/>
      <c r="BC165" s="68"/>
      <c r="BD165" s="68"/>
      <c r="BE165" s="68"/>
      <c r="BF165" s="68"/>
      <c r="BG165" s="68"/>
      <c r="BH165" s="68"/>
      <c r="BI165" s="68"/>
      <c r="BJ165" s="68"/>
      <c r="BK165" s="68"/>
      <c r="BL165" s="68"/>
      <c r="BM165" s="69"/>
      <c r="BN165" s="67"/>
      <c r="BO165" s="68"/>
      <c r="BP165" s="68"/>
      <c r="BQ165" s="68"/>
      <c r="BR165" s="68"/>
      <c r="BS165" s="68"/>
      <c r="BT165" s="68"/>
      <c r="BU165" s="68"/>
      <c r="BV165" s="68"/>
      <c r="BW165" s="68"/>
      <c r="BX165" s="68"/>
      <c r="BY165" s="69"/>
      <c r="BZ165" s="67"/>
      <c r="CA165" s="68"/>
      <c r="CB165" s="68"/>
      <c r="CC165" s="68"/>
      <c r="CD165" s="68"/>
      <c r="CE165" s="68"/>
      <c r="CF165" s="68"/>
      <c r="CG165" s="68"/>
      <c r="CH165" s="68"/>
      <c r="CI165" s="68"/>
      <c r="CJ165" s="68"/>
      <c r="CK165" s="68"/>
      <c r="CL165" s="67">
        <v>7638.02</v>
      </c>
      <c r="CM165" s="68">
        <v>34265.26</v>
      </c>
      <c r="CN165" s="68">
        <v>8385.1</v>
      </c>
      <c r="CO165" s="68">
        <v>63232.79</v>
      </c>
      <c r="CP165" s="68">
        <v>305998.3</v>
      </c>
      <c r="CQ165" s="68">
        <v>230638.75</v>
      </c>
      <c r="CR165" s="68">
        <v>24869.37</v>
      </c>
      <c r="CS165" s="68">
        <v>479636.8</v>
      </c>
      <c r="CT165" s="68">
        <v>30913.99</v>
      </c>
      <c r="CU165" s="68">
        <v>92913.43</v>
      </c>
      <c r="CV165" s="68">
        <v>100075.76</v>
      </c>
      <c r="CW165" s="69">
        <v>359734.27</v>
      </c>
      <c r="CX165" s="67">
        <v>5832.45</v>
      </c>
      <c r="CY165" s="68">
        <v>23401.71</v>
      </c>
      <c r="CZ165" s="68">
        <v>40941.480000000003</v>
      </c>
      <c r="DA165" s="68">
        <v>418479.39</v>
      </c>
      <c r="DB165" s="68">
        <v>112868.01</v>
      </c>
      <c r="DC165" s="68">
        <v>16986.689999999999</v>
      </c>
      <c r="DD165" s="68">
        <v>342113.45</v>
      </c>
      <c r="DE165" s="68">
        <v>911833.73</v>
      </c>
      <c r="DF165" s="68">
        <v>31695.06</v>
      </c>
      <c r="DG165" s="68">
        <v>326789.46999999997</v>
      </c>
      <c r="DH165" s="68">
        <v>2976573.53</v>
      </c>
      <c r="DI165" s="69">
        <v>852071.24</v>
      </c>
      <c r="DJ165" s="67">
        <v>685389.52</v>
      </c>
      <c r="DK165" s="68">
        <v>94430.71</v>
      </c>
      <c r="DL165" s="68">
        <v>406555.54</v>
      </c>
      <c r="DM165" s="68">
        <v>1682080.7</v>
      </c>
      <c r="DN165" s="68">
        <v>465071.96</v>
      </c>
      <c r="DO165" s="68">
        <v>201405.9</v>
      </c>
      <c r="DP165" s="68">
        <v>2139806.4700000002</v>
      </c>
      <c r="DQ165" s="68">
        <v>670605.22</v>
      </c>
      <c r="DR165" s="68">
        <v>524972.54</v>
      </c>
      <c r="DS165" s="68">
        <v>2752022.28</v>
      </c>
      <c r="DT165" s="68">
        <v>252200.23</v>
      </c>
      <c r="DU165" s="69">
        <v>1127655.78</v>
      </c>
      <c r="DV165" s="61">
        <v>49037.54</v>
      </c>
      <c r="DW165" s="61">
        <v>18864.77</v>
      </c>
      <c r="DX165" s="61">
        <v>212564.92</v>
      </c>
      <c r="DY165" s="61">
        <v>202782.17</v>
      </c>
      <c r="DZ165" s="79"/>
      <c r="EB165" s="79"/>
      <c r="EC165" s="79"/>
      <c r="ED165" s="79"/>
      <c r="EE165" s="79"/>
      <c r="EF165" s="79"/>
      <c r="EG165" s="79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  <c r="HI165" s="62"/>
      <c r="HJ165" s="62"/>
      <c r="HK165" s="62"/>
      <c r="HL165" s="62"/>
      <c r="HM165" s="62"/>
      <c r="HN165" s="62"/>
      <c r="HO165" s="62"/>
      <c r="HP165" s="62"/>
      <c r="HQ165" s="62"/>
      <c r="HR165" s="62"/>
      <c r="HS165" s="62"/>
      <c r="HT165" s="62"/>
      <c r="HU165" s="62"/>
      <c r="HV165" s="62"/>
      <c r="HW165" s="62"/>
      <c r="HX165" s="62"/>
      <c r="HY165" s="62"/>
      <c r="HZ165" s="62"/>
      <c r="IA165" s="62"/>
      <c r="IB165" s="62"/>
      <c r="IC165" s="62"/>
      <c r="ID165" s="62"/>
      <c r="IE165" s="62"/>
      <c r="IF165" s="62"/>
      <c r="IG165" s="62"/>
      <c r="IH165" s="62"/>
      <c r="II165" s="62"/>
      <c r="IJ165" s="62"/>
      <c r="IK165" s="62"/>
      <c r="IL165" s="62"/>
      <c r="IM165" s="62"/>
      <c r="IN165" s="62"/>
      <c r="IO165" s="62"/>
      <c r="IP165" s="62"/>
      <c r="IQ165" s="62"/>
      <c r="IR165" s="62"/>
      <c r="IS165" s="62"/>
      <c r="IT165" s="62"/>
      <c r="IU165" s="62"/>
      <c r="IV165" s="62"/>
      <c r="IW165" s="62"/>
      <c r="IX165" s="62"/>
      <c r="IY165" s="62"/>
      <c r="IZ165" s="62"/>
      <c r="JA165" s="62"/>
      <c r="JB165" s="62"/>
      <c r="JC165" s="62"/>
      <c r="JD165" s="62"/>
      <c r="JE165" s="62"/>
      <c r="JF165" s="62"/>
      <c r="JG165" s="62"/>
      <c r="JH165" s="62"/>
      <c r="JI165" s="62"/>
      <c r="JJ165" s="62"/>
      <c r="JK165" s="62"/>
      <c r="JL165" s="62"/>
      <c r="JM165" s="62"/>
      <c r="JN165" s="62"/>
      <c r="JO165" s="62"/>
      <c r="JP165" s="62"/>
      <c r="JQ165" s="62"/>
      <c r="JR165" s="62"/>
      <c r="JS165" s="62"/>
      <c r="JT165" s="62"/>
      <c r="JU165" s="62"/>
      <c r="JV165" s="62"/>
      <c r="JW165" s="62"/>
      <c r="JX165" s="62"/>
      <c r="JY165" s="62"/>
      <c r="JZ165" s="62"/>
      <c r="KA165" s="62"/>
      <c r="KB165" s="62"/>
      <c r="KC165" s="62"/>
      <c r="KD165" s="62"/>
      <c r="KE165" s="62"/>
      <c r="KF165" s="62"/>
      <c r="KG165" s="62"/>
      <c r="KH165" s="62"/>
      <c r="KI165" s="62"/>
      <c r="KJ165" s="62"/>
      <c r="KK165" s="62"/>
      <c r="KL165" s="62"/>
      <c r="KM165" s="62"/>
      <c r="KN165" s="62"/>
      <c r="KO165" s="62"/>
      <c r="KP165" s="62"/>
      <c r="KQ165" s="62"/>
      <c r="KR165" s="62"/>
      <c r="KS165" s="62"/>
      <c r="KT165" s="62"/>
      <c r="KU165" s="62"/>
      <c r="KV165" s="62"/>
      <c r="KW165" s="62"/>
      <c r="KX165" s="62"/>
      <c r="KY165" s="62"/>
      <c r="KZ165" s="62"/>
      <c r="LA165" s="62"/>
      <c r="LB165" s="62"/>
      <c r="LC165" s="62"/>
      <c r="LD165" s="62"/>
      <c r="LE165" s="62"/>
      <c r="LF165" s="62"/>
      <c r="LG165" s="62"/>
      <c r="LH165" s="62"/>
      <c r="LI165" s="62"/>
    </row>
    <row r="166" spans="1:321">
      <c r="D166" s="59">
        <v>4417</v>
      </c>
      <c r="E166" s="60" t="s">
        <v>466</v>
      </c>
      <c r="F166" s="67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9"/>
      <c r="R166" s="67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9"/>
      <c r="AD166" s="67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9"/>
      <c r="AP166" s="67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9"/>
      <c r="BB166" s="67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9"/>
      <c r="BN166" s="67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9"/>
      <c r="BZ166" s="67"/>
      <c r="CA166" s="68"/>
      <c r="CB166" s="68"/>
      <c r="CC166" s="68"/>
      <c r="CD166" s="68"/>
      <c r="CE166" s="68"/>
      <c r="CF166" s="68"/>
      <c r="CG166" s="68"/>
      <c r="CH166" s="68"/>
      <c r="CI166" s="68"/>
      <c r="CJ166" s="68"/>
      <c r="CK166" s="68"/>
      <c r="CL166" s="67">
        <v>2100.77</v>
      </c>
      <c r="CM166" s="68">
        <v>1230</v>
      </c>
      <c r="CN166" s="68">
        <v>5002.5600000000004</v>
      </c>
      <c r="CO166" s="68">
        <v>10000</v>
      </c>
      <c r="CP166" s="68">
        <v>0</v>
      </c>
      <c r="CQ166" s="68">
        <v>13880.18</v>
      </c>
      <c r="CR166" s="68">
        <v>16614</v>
      </c>
      <c r="CS166" s="68">
        <v>9282.67</v>
      </c>
      <c r="CT166" s="68">
        <v>2233.19</v>
      </c>
      <c r="CU166" s="68">
        <v>7072.28</v>
      </c>
      <c r="CV166" s="68">
        <v>12058.73</v>
      </c>
      <c r="CW166" s="69">
        <v>19678.990000000002</v>
      </c>
      <c r="CX166" s="67">
        <v>0</v>
      </c>
      <c r="CY166" s="68">
        <v>0</v>
      </c>
      <c r="CZ166" s="68">
        <v>1695.95</v>
      </c>
      <c r="DA166" s="68">
        <v>1525.82</v>
      </c>
      <c r="DB166" s="68">
        <v>13082.17</v>
      </c>
      <c r="DC166" s="68">
        <v>11902.64</v>
      </c>
      <c r="DD166" s="68">
        <v>9446.82</v>
      </c>
      <c r="DE166" s="68">
        <v>4984.91</v>
      </c>
      <c r="DF166" s="68">
        <v>9970.31</v>
      </c>
      <c r="DG166" s="68">
        <v>10397.92</v>
      </c>
      <c r="DH166" s="68">
        <v>1498</v>
      </c>
      <c r="DI166" s="69">
        <v>25494.94</v>
      </c>
      <c r="DJ166" s="67">
        <v>0</v>
      </c>
      <c r="DK166" s="68">
        <v>4587.45</v>
      </c>
      <c r="DL166" s="68">
        <v>0</v>
      </c>
      <c r="DM166" s="68">
        <v>0</v>
      </c>
      <c r="DN166" s="68">
        <v>6823.52</v>
      </c>
      <c r="DO166" s="68">
        <v>12647.74</v>
      </c>
      <c r="DP166" s="68">
        <v>34917.56</v>
      </c>
      <c r="DQ166" s="68">
        <v>0</v>
      </c>
      <c r="DR166" s="68">
        <v>1816.22</v>
      </c>
      <c r="DS166" s="68">
        <v>9164.7800000000007</v>
      </c>
      <c r="DT166" s="68">
        <v>11367.37</v>
      </c>
      <c r="DU166" s="69">
        <v>76012.509999999995</v>
      </c>
      <c r="DV166" s="61">
        <v>0</v>
      </c>
      <c r="DW166" s="61">
        <v>5521.03</v>
      </c>
      <c r="DX166" s="61">
        <v>14250.01</v>
      </c>
      <c r="DY166" s="61">
        <v>6606.45</v>
      </c>
      <c r="DZ166" s="79"/>
      <c r="EB166" s="79"/>
      <c r="EC166" s="79"/>
      <c r="ED166" s="79"/>
      <c r="EE166" s="79"/>
      <c r="EF166" s="79"/>
      <c r="EG166" s="79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  <c r="HI166" s="62"/>
      <c r="HJ166" s="62"/>
      <c r="HK166" s="62"/>
      <c r="HL166" s="62"/>
      <c r="HM166" s="62"/>
      <c r="HN166" s="62"/>
      <c r="HO166" s="62"/>
      <c r="HP166" s="62"/>
      <c r="HQ166" s="62"/>
      <c r="HR166" s="62"/>
      <c r="HS166" s="62"/>
      <c r="HT166" s="62"/>
      <c r="HU166" s="62"/>
      <c r="HV166" s="62"/>
      <c r="HW166" s="62"/>
      <c r="HX166" s="62"/>
      <c r="HY166" s="62"/>
      <c r="HZ166" s="62"/>
      <c r="IA166" s="62"/>
      <c r="IB166" s="62"/>
      <c r="IC166" s="62"/>
      <c r="ID166" s="62"/>
      <c r="IE166" s="62"/>
      <c r="IF166" s="62"/>
      <c r="IG166" s="62"/>
      <c r="IH166" s="62"/>
      <c r="II166" s="62"/>
      <c r="IJ166" s="62"/>
      <c r="IK166" s="62"/>
      <c r="IL166" s="62"/>
      <c r="IM166" s="62"/>
      <c r="IN166" s="62"/>
      <c r="IO166" s="62"/>
      <c r="IP166" s="62"/>
      <c r="IQ166" s="62"/>
      <c r="IR166" s="62"/>
      <c r="IS166" s="62"/>
      <c r="IT166" s="62"/>
      <c r="IU166" s="62"/>
      <c r="IV166" s="62"/>
      <c r="IW166" s="62"/>
      <c r="IX166" s="62"/>
      <c r="IY166" s="62"/>
      <c r="IZ166" s="62"/>
      <c r="JA166" s="62"/>
      <c r="JB166" s="62"/>
      <c r="JC166" s="62"/>
      <c r="JD166" s="62"/>
      <c r="JE166" s="62"/>
      <c r="JF166" s="62"/>
      <c r="JG166" s="62"/>
      <c r="JH166" s="62"/>
      <c r="JI166" s="62"/>
      <c r="JJ166" s="62"/>
      <c r="JK166" s="62"/>
      <c r="JL166" s="62"/>
      <c r="JM166" s="62"/>
      <c r="JN166" s="62"/>
      <c r="JO166" s="62"/>
      <c r="JP166" s="62"/>
      <c r="JQ166" s="62"/>
      <c r="JR166" s="62"/>
      <c r="JS166" s="62"/>
      <c r="JT166" s="62"/>
      <c r="JU166" s="62"/>
      <c r="JV166" s="62"/>
      <c r="JW166" s="62"/>
      <c r="JX166" s="62"/>
      <c r="JY166" s="62"/>
      <c r="JZ166" s="62"/>
      <c r="KA166" s="62"/>
      <c r="KB166" s="62"/>
      <c r="KC166" s="62"/>
      <c r="KD166" s="62"/>
      <c r="KE166" s="62"/>
      <c r="KF166" s="62"/>
      <c r="KG166" s="62"/>
      <c r="KH166" s="62"/>
      <c r="KI166" s="62"/>
      <c r="KJ166" s="62"/>
      <c r="KK166" s="62"/>
      <c r="KL166" s="62"/>
      <c r="KM166" s="62"/>
      <c r="KN166" s="62"/>
      <c r="KO166" s="62"/>
      <c r="KP166" s="62"/>
      <c r="KQ166" s="62"/>
      <c r="KR166" s="62"/>
      <c r="KS166" s="62"/>
      <c r="KT166" s="62"/>
      <c r="KU166" s="62"/>
      <c r="KV166" s="62"/>
      <c r="KW166" s="62"/>
      <c r="KX166" s="62"/>
      <c r="KY166" s="62"/>
      <c r="KZ166" s="62"/>
      <c r="LA166" s="62"/>
      <c r="LB166" s="62"/>
      <c r="LC166" s="62"/>
      <c r="LD166" s="62"/>
      <c r="LE166" s="62"/>
      <c r="LF166" s="62"/>
      <c r="LG166" s="62"/>
      <c r="LH166" s="62"/>
      <c r="LI166" s="62"/>
    </row>
    <row r="167" spans="1:321" ht="30">
      <c r="D167" s="59">
        <v>4418</v>
      </c>
      <c r="E167" s="60" t="s">
        <v>173</v>
      </c>
      <c r="F167" s="67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9"/>
      <c r="R167" s="67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9"/>
      <c r="AD167" s="67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9"/>
      <c r="AP167" s="67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9"/>
      <c r="BB167" s="67"/>
      <c r="BC167" s="68"/>
      <c r="BD167" s="68"/>
      <c r="BE167" s="68"/>
      <c r="BF167" s="68"/>
      <c r="BG167" s="68"/>
      <c r="BH167" s="68"/>
      <c r="BI167" s="68"/>
      <c r="BJ167" s="68"/>
      <c r="BK167" s="68"/>
      <c r="BL167" s="68"/>
      <c r="BM167" s="69"/>
      <c r="BN167" s="67"/>
      <c r="BO167" s="68"/>
      <c r="BP167" s="68"/>
      <c r="BQ167" s="68"/>
      <c r="BR167" s="68"/>
      <c r="BS167" s="68"/>
      <c r="BT167" s="68"/>
      <c r="BU167" s="68"/>
      <c r="BV167" s="68"/>
      <c r="BW167" s="68"/>
      <c r="BX167" s="68"/>
      <c r="BY167" s="69"/>
      <c r="BZ167" s="67"/>
      <c r="CA167" s="68"/>
      <c r="CB167" s="68"/>
      <c r="CC167" s="68"/>
      <c r="CD167" s="68"/>
      <c r="CE167" s="68"/>
      <c r="CF167" s="68"/>
      <c r="CG167" s="68"/>
      <c r="CH167" s="68"/>
      <c r="CI167" s="68"/>
      <c r="CJ167" s="68"/>
      <c r="CK167" s="68"/>
      <c r="CL167" s="67">
        <v>0</v>
      </c>
      <c r="CM167" s="68">
        <v>0</v>
      </c>
      <c r="CN167" s="68">
        <v>0</v>
      </c>
      <c r="CO167" s="68">
        <v>0</v>
      </c>
      <c r="CP167" s="68">
        <v>0</v>
      </c>
      <c r="CQ167" s="68">
        <v>0</v>
      </c>
      <c r="CR167" s="68">
        <v>0</v>
      </c>
      <c r="CS167" s="68">
        <v>0</v>
      </c>
      <c r="CT167" s="68">
        <v>1125364.24</v>
      </c>
      <c r="CU167" s="68">
        <v>0</v>
      </c>
      <c r="CV167" s="68">
        <v>0</v>
      </c>
      <c r="CW167" s="69">
        <v>0</v>
      </c>
      <c r="CX167" s="67">
        <v>0</v>
      </c>
      <c r="CY167" s="68">
        <v>0</v>
      </c>
      <c r="CZ167" s="68">
        <v>0</v>
      </c>
      <c r="DA167" s="68">
        <v>0</v>
      </c>
      <c r="DB167" s="68">
        <v>0</v>
      </c>
      <c r="DC167" s="68">
        <v>0</v>
      </c>
      <c r="DD167" s="68">
        <v>0</v>
      </c>
      <c r="DE167" s="68">
        <v>0</v>
      </c>
      <c r="DF167" s="68">
        <v>0</v>
      </c>
      <c r="DG167" s="68">
        <v>44999997.32</v>
      </c>
      <c r="DH167" s="68">
        <v>0</v>
      </c>
      <c r="DI167" s="69">
        <v>0</v>
      </c>
      <c r="DJ167" s="67">
        <v>0</v>
      </c>
      <c r="DK167" s="68">
        <v>0</v>
      </c>
      <c r="DL167" s="68">
        <v>0</v>
      </c>
      <c r="DM167" s="68">
        <v>0</v>
      </c>
      <c r="DN167" s="68">
        <v>0</v>
      </c>
      <c r="DO167" s="68">
        <v>0</v>
      </c>
      <c r="DP167" s="68">
        <v>1139849.1399999999</v>
      </c>
      <c r="DQ167" s="68">
        <v>0</v>
      </c>
      <c r="DR167" s="68">
        <v>0</v>
      </c>
      <c r="DS167" s="68">
        <v>0</v>
      </c>
      <c r="DT167" s="68">
        <v>0</v>
      </c>
      <c r="DU167" s="69">
        <v>0</v>
      </c>
      <c r="DV167" s="61">
        <v>0</v>
      </c>
      <c r="DW167" s="61">
        <v>0</v>
      </c>
      <c r="DX167" s="61">
        <v>0</v>
      </c>
      <c r="DY167" s="61">
        <v>0</v>
      </c>
      <c r="DZ167" s="79"/>
      <c r="EB167" s="79"/>
      <c r="EC167" s="79"/>
      <c r="ED167" s="79"/>
      <c r="EE167" s="79"/>
      <c r="EF167" s="79"/>
      <c r="EG167" s="79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>
        <v>68939595.359999999</v>
      </c>
      <c r="EY167" s="62"/>
      <c r="EZ167" s="62"/>
      <c r="FA167" s="62"/>
      <c r="FB167" s="62"/>
      <c r="FC167" s="62"/>
      <c r="FD167" s="62"/>
      <c r="FE167" s="62">
        <v>305701.3</v>
      </c>
      <c r="FF167" s="62"/>
      <c r="FG167" s="62">
        <v>35272.089999999997</v>
      </c>
      <c r="FH167" s="62"/>
      <c r="FI167" s="62">
        <v>39948396.369999997</v>
      </c>
      <c r="FJ167" s="62"/>
      <c r="FK167" s="62"/>
      <c r="FL167" s="62"/>
      <c r="FM167" s="62"/>
      <c r="FN167" s="62"/>
      <c r="FO167" s="62"/>
      <c r="FP167" s="62">
        <v>14495201.140000001</v>
      </c>
      <c r="FQ167" s="62">
        <v>2849828.78</v>
      </c>
      <c r="FR167" s="62"/>
      <c r="FS167" s="62"/>
      <c r="FT167" s="62"/>
      <c r="FU167" s="62"/>
      <c r="FV167" s="62"/>
      <c r="FW167" s="62"/>
      <c r="FX167" s="62"/>
      <c r="FY167" s="62"/>
      <c r="FZ167" s="62">
        <v>940769.61</v>
      </c>
      <c r="GA167" s="62"/>
      <c r="GB167" s="62"/>
      <c r="GC167" s="62"/>
      <c r="GD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  <c r="HI167" s="62"/>
      <c r="HJ167" s="62"/>
      <c r="HK167" s="62"/>
      <c r="HL167" s="62"/>
      <c r="HM167" s="62"/>
      <c r="HN167" s="62"/>
      <c r="HO167" s="62"/>
      <c r="HP167" s="62"/>
      <c r="HQ167" s="62"/>
      <c r="HR167" s="62"/>
      <c r="HS167" s="62"/>
      <c r="HT167" s="62"/>
      <c r="HU167" s="62"/>
      <c r="HV167" s="62"/>
      <c r="HW167" s="62"/>
      <c r="HX167" s="62"/>
      <c r="HY167" s="62"/>
      <c r="HZ167" s="62"/>
      <c r="IA167" s="62"/>
      <c r="IB167" s="62"/>
      <c r="IC167" s="62"/>
      <c r="ID167" s="62"/>
      <c r="IE167" s="62"/>
      <c r="IF167" s="62"/>
      <c r="IG167" s="62"/>
      <c r="IH167" s="62"/>
      <c r="II167" s="62"/>
      <c r="IJ167" s="62"/>
      <c r="IK167" s="62"/>
      <c r="IL167" s="62"/>
      <c r="IM167" s="62"/>
      <c r="IN167" s="62"/>
      <c r="IO167" s="62"/>
      <c r="IP167" s="62"/>
      <c r="IQ167" s="62"/>
      <c r="IR167" s="62"/>
      <c r="IS167" s="62"/>
      <c r="IT167" s="62"/>
      <c r="IU167" s="62"/>
      <c r="IV167" s="62"/>
      <c r="IW167" s="62"/>
      <c r="IX167" s="62"/>
      <c r="IY167" s="62"/>
      <c r="IZ167" s="62"/>
      <c r="JA167" s="62"/>
      <c r="JB167" s="62"/>
      <c r="JC167" s="62"/>
      <c r="JD167" s="62"/>
      <c r="JE167" s="62"/>
      <c r="JF167" s="62"/>
      <c r="JG167" s="62"/>
      <c r="JH167" s="62"/>
      <c r="JI167" s="62"/>
      <c r="JJ167" s="62"/>
      <c r="JK167" s="62"/>
      <c r="JL167" s="62"/>
      <c r="JM167" s="62"/>
      <c r="JN167" s="62"/>
      <c r="JO167" s="62"/>
      <c r="JP167" s="62"/>
      <c r="JQ167" s="62"/>
      <c r="JR167" s="62"/>
      <c r="JS167" s="62"/>
      <c r="JT167" s="62"/>
      <c r="JU167" s="62"/>
      <c r="JV167" s="62"/>
      <c r="JW167" s="62"/>
      <c r="JX167" s="62"/>
      <c r="JY167" s="62"/>
      <c r="JZ167" s="62"/>
      <c r="KA167" s="62"/>
      <c r="KB167" s="62"/>
      <c r="KC167" s="62"/>
      <c r="KD167" s="62"/>
      <c r="KE167" s="62"/>
      <c r="KF167" s="62"/>
      <c r="KG167" s="62"/>
      <c r="KH167" s="62"/>
      <c r="KI167" s="62"/>
      <c r="KJ167" s="62"/>
      <c r="KK167" s="62"/>
      <c r="KL167" s="62"/>
      <c r="KM167" s="62"/>
      <c r="KN167" s="62"/>
      <c r="KO167" s="62"/>
      <c r="KP167" s="62"/>
      <c r="KQ167" s="62"/>
      <c r="KR167" s="62"/>
      <c r="KS167" s="62"/>
      <c r="KT167" s="62"/>
      <c r="KU167" s="62"/>
      <c r="KV167" s="62"/>
      <c r="KW167" s="62"/>
      <c r="KX167" s="62"/>
      <c r="KY167" s="62"/>
      <c r="KZ167" s="62"/>
      <c r="LA167" s="62"/>
      <c r="LB167" s="62"/>
      <c r="LC167" s="62"/>
      <c r="LD167" s="62"/>
      <c r="LE167" s="62"/>
      <c r="LF167" s="62"/>
      <c r="LG167" s="62"/>
      <c r="LH167" s="62"/>
      <c r="LI167" s="62"/>
    </row>
    <row r="168" spans="1:321">
      <c r="D168" s="59">
        <v>4419</v>
      </c>
      <c r="E168" s="60" t="s">
        <v>467</v>
      </c>
      <c r="F168" s="67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9"/>
      <c r="R168" s="67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9"/>
      <c r="AD168" s="67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9"/>
      <c r="AP168" s="67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9"/>
      <c r="BB168" s="67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9"/>
      <c r="BN168" s="67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9"/>
      <c r="BZ168" s="67"/>
      <c r="CA168" s="68"/>
      <c r="CB168" s="68"/>
      <c r="CC168" s="68"/>
      <c r="CD168" s="68"/>
      <c r="CE168" s="68"/>
      <c r="CF168" s="68"/>
      <c r="CG168" s="68"/>
      <c r="CH168" s="68"/>
      <c r="CI168" s="68"/>
      <c r="CJ168" s="68"/>
      <c r="CK168" s="68"/>
      <c r="CL168" s="67">
        <v>0</v>
      </c>
      <c r="CM168" s="68">
        <v>0</v>
      </c>
      <c r="CN168" s="68">
        <v>0</v>
      </c>
      <c r="CO168" s="68">
        <v>0</v>
      </c>
      <c r="CP168" s="68">
        <v>0</v>
      </c>
      <c r="CQ168" s="68">
        <v>0</v>
      </c>
      <c r="CR168" s="68">
        <v>0</v>
      </c>
      <c r="CS168" s="68">
        <v>0</v>
      </c>
      <c r="CT168" s="68">
        <v>0</v>
      </c>
      <c r="CU168" s="68">
        <v>0</v>
      </c>
      <c r="CV168" s="68">
        <v>0</v>
      </c>
      <c r="CW168" s="69">
        <v>0</v>
      </c>
      <c r="CX168" s="67">
        <v>0</v>
      </c>
      <c r="CY168" s="68">
        <v>0</v>
      </c>
      <c r="CZ168" s="68">
        <v>0</v>
      </c>
      <c r="DA168" s="68">
        <v>0</v>
      </c>
      <c r="DB168" s="68">
        <v>0</v>
      </c>
      <c r="DC168" s="68">
        <v>0</v>
      </c>
      <c r="DD168" s="68">
        <v>0</v>
      </c>
      <c r="DE168" s="68">
        <v>0</v>
      </c>
      <c r="DF168" s="68">
        <v>0</v>
      </c>
      <c r="DG168" s="68">
        <v>0</v>
      </c>
      <c r="DH168" s="68">
        <v>0</v>
      </c>
      <c r="DI168" s="69">
        <v>0</v>
      </c>
      <c r="DJ168" s="67">
        <v>0</v>
      </c>
      <c r="DK168" s="68">
        <v>0</v>
      </c>
      <c r="DL168" s="68">
        <v>0</v>
      </c>
      <c r="DM168" s="68">
        <v>0</v>
      </c>
      <c r="DN168" s="68">
        <v>0</v>
      </c>
      <c r="DO168" s="68">
        <v>0</v>
      </c>
      <c r="DP168" s="68">
        <v>0</v>
      </c>
      <c r="DQ168" s="68">
        <v>0</v>
      </c>
      <c r="DR168" s="68">
        <v>0</v>
      </c>
      <c r="DS168" s="68">
        <v>0</v>
      </c>
      <c r="DT168" s="68">
        <v>0</v>
      </c>
      <c r="DU168" s="69">
        <v>0</v>
      </c>
      <c r="DV168" s="61">
        <v>0</v>
      </c>
      <c r="DW168" s="61">
        <v>0</v>
      </c>
      <c r="DX168" s="61">
        <v>0</v>
      </c>
      <c r="DY168" s="61">
        <v>0</v>
      </c>
      <c r="DZ168" s="79"/>
      <c r="EB168" s="79"/>
      <c r="EC168" s="79"/>
      <c r="ED168" s="79"/>
      <c r="EE168" s="79"/>
      <c r="EF168" s="79"/>
      <c r="EG168" s="79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  <c r="HI168" s="62"/>
      <c r="HJ168" s="62"/>
      <c r="HK168" s="62"/>
      <c r="HL168" s="62"/>
      <c r="HM168" s="62"/>
      <c r="HN168" s="62"/>
      <c r="HO168" s="62"/>
      <c r="HP168" s="62"/>
      <c r="HQ168" s="62"/>
      <c r="HR168" s="62"/>
      <c r="HS168" s="62"/>
      <c r="HT168" s="62"/>
      <c r="HU168" s="62"/>
      <c r="HV168" s="62"/>
      <c r="HW168" s="62"/>
      <c r="HX168" s="62"/>
      <c r="HY168" s="62"/>
      <c r="HZ168" s="62"/>
      <c r="IA168" s="62"/>
      <c r="IB168" s="62"/>
      <c r="IC168" s="62"/>
      <c r="ID168" s="62"/>
      <c r="IE168" s="62"/>
      <c r="IF168" s="62"/>
      <c r="IG168" s="62"/>
      <c r="IH168" s="62"/>
      <c r="II168" s="62"/>
      <c r="IJ168" s="62"/>
      <c r="IK168" s="62"/>
      <c r="IL168" s="62"/>
      <c r="IM168" s="62"/>
      <c r="IN168" s="62"/>
      <c r="IO168" s="62"/>
      <c r="IP168" s="62"/>
      <c r="IQ168" s="62"/>
      <c r="IR168" s="62"/>
      <c r="IS168" s="62"/>
      <c r="IT168" s="62"/>
      <c r="IU168" s="62"/>
      <c r="IV168" s="62"/>
      <c r="IW168" s="62"/>
      <c r="IX168" s="62"/>
      <c r="IY168" s="62"/>
      <c r="IZ168" s="62"/>
      <c r="JA168" s="62"/>
      <c r="JB168" s="62"/>
      <c r="JC168" s="62"/>
      <c r="JD168" s="62"/>
      <c r="JE168" s="62"/>
      <c r="JF168" s="62"/>
      <c r="JG168" s="62"/>
      <c r="JH168" s="62"/>
      <c r="JI168" s="62"/>
      <c r="JJ168" s="62"/>
      <c r="JK168" s="62"/>
      <c r="JL168" s="62"/>
      <c r="JM168" s="62"/>
      <c r="JN168" s="62"/>
      <c r="JO168" s="62"/>
      <c r="JP168" s="62"/>
      <c r="JQ168" s="62"/>
      <c r="JR168" s="62"/>
      <c r="JS168" s="62"/>
      <c r="JT168" s="62"/>
      <c r="JU168" s="62"/>
      <c r="JV168" s="62"/>
      <c r="JW168" s="62"/>
      <c r="JX168" s="62"/>
      <c r="JY168" s="62"/>
      <c r="JZ168" s="62"/>
      <c r="KA168" s="62"/>
      <c r="KB168" s="62"/>
      <c r="KC168" s="62"/>
      <c r="KD168" s="62"/>
      <c r="KE168" s="62"/>
      <c r="KF168" s="62"/>
      <c r="KG168" s="62"/>
      <c r="KH168" s="62"/>
      <c r="KI168" s="62"/>
      <c r="KJ168" s="62"/>
      <c r="KK168" s="62"/>
      <c r="KL168" s="62"/>
      <c r="KM168" s="62"/>
      <c r="KN168" s="62"/>
      <c r="KO168" s="62"/>
      <c r="KP168" s="62"/>
      <c r="KQ168" s="62"/>
      <c r="KR168" s="62"/>
      <c r="KS168" s="62"/>
      <c r="KT168" s="62"/>
      <c r="KU168" s="62"/>
      <c r="KV168" s="62"/>
      <c r="KW168" s="62"/>
      <c r="KX168" s="62"/>
      <c r="KY168" s="62"/>
      <c r="KZ168" s="62"/>
      <c r="LA168" s="62"/>
      <c r="LB168" s="62"/>
      <c r="LC168" s="62"/>
      <c r="LD168" s="62"/>
      <c r="LE168" s="62"/>
      <c r="LF168" s="62"/>
      <c r="LG168" s="62"/>
      <c r="LH168" s="62"/>
      <c r="LI168" s="62"/>
    </row>
    <row r="169" spans="1:321">
      <c r="A169" s="59" t="s">
        <v>6</v>
      </c>
      <c r="B169" s="59">
        <v>45</v>
      </c>
      <c r="E169" s="60" t="s">
        <v>468</v>
      </c>
      <c r="F169" s="67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9"/>
      <c r="R169" s="67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9"/>
      <c r="AD169" s="67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9"/>
      <c r="AP169" s="67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9"/>
      <c r="BB169" s="67"/>
      <c r="BC169" s="68"/>
      <c r="BD169" s="68"/>
      <c r="BE169" s="68"/>
      <c r="BF169" s="68"/>
      <c r="BG169" s="68"/>
      <c r="BH169" s="68"/>
      <c r="BI169" s="68"/>
      <c r="BJ169" s="68"/>
      <c r="BK169" s="68"/>
      <c r="BL169" s="68"/>
      <c r="BM169" s="69"/>
      <c r="BN169" s="67"/>
      <c r="BO169" s="68"/>
      <c r="BP169" s="68"/>
      <c r="BQ169" s="68"/>
      <c r="BR169" s="68"/>
      <c r="BS169" s="68"/>
      <c r="BT169" s="68"/>
      <c r="BU169" s="68"/>
      <c r="BV169" s="68"/>
      <c r="BW169" s="68"/>
      <c r="BX169" s="68"/>
      <c r="BY169" s="69"/>
      <c r="BZ169" s="67"/>
      <c r="CA169" s="68"/>
      <c r="CB169" s="68"/>
      <c r="CC169" s="68"/>
      <c r="CD169" s="68"/>
      <c r="CE169" s="68"/>
      <c r="CF169" s="68"/>
      <c r="CG169" s="68"/>
      <c r="CH169" s="68"/>
      <c r="CI169" s="68"/>
      <c r="CJ169" s="68"/>
      <c r="CK169" s="68"/>
      <c r="CL169" s="67">
        <v>5000</v>
      </c>
      <c r="CM169" s="68">
        <v>57001.11</v>
      </c>
      <c r="CN169" s="68">
        <v>614160.66</v>
      </c>
      <c r="CO169" s="68">
        <v>220833.34</v>
      </c>
      <c r="CP169" s="68">
        <v>331814</v>
      </c>
      <c r="CQ169" s="68">
        <v>6656</v>
      </c>
      <c r="CR169" s="68">
        <v>27500</v>
      </c>
      <c r="CS169" s="68">
        <v>40000</v>
      </c>
      <c r="CT169" s="68">
        <v>17507.28</v>
      </c>
      <c r="CU169" s="68">
        <v>533513.18999999994</v>
      </c>
      <c r="CV169" s="68">
        <v>69960</v>
      </c>
      <c r="CW169" s="69">
        <v>828836.4</v>
      </c>
      <c r="CX169" s="67">
        <v>46726.67</v>
      </c>
      <c r="CY169" s="68">
        <v>493119.12</v>
      </c>
      <c r="CZ169" s="68">
        <v>286420</v>
      </c>
      <c r="DA169" s="68">
        <v>0</v>
      </c>
      <c r="DB169" s="68">
        <v>142547</v>
      </c>
      <c r="DC169" s="68">
        <v>269213.67</v>
      </c>
      <c r="DD169" s="68">
        <v>16000</v>
      </c>
      <c r="DE169" s="68">
        <v>15000</v>
      </c>
      <c r="DF169" s="68">
        <v>505984</v>
      </c>
      <c r="DG169" s="68">
        <v>5000</v>
      </c>
      <c r="DH169" s="68">
        <v>105666.66</v>
      </c>
      <c r="DI169" s="69">
        <v>599222.65</v>
      </c>
      <c r="DJ169" s="67">
        <v>13003.12</v>
      </c>
      <c r="DK169" s="68">
        <v>303628</v>
      </c>
      <c r="DL169" s="68">
        <v>0</v>
      </c>
      <c r="DM169" s="68">
        <v>287926</v>
      </c>
      <c r="DN169" s="68">
        <v>0</v>
      </c>
      <c r="DO169" s="68">
        <v>298266</v>
      </c>
      <c r="DP169" s="68">
        <v>163833.34</v>
      </c>
      <c r="DQ169" s="68">
        <v>161666.67000000001</v>
      </c>
      <c r="DR169" s="68">
        <v>287766</v>
      </c>
      <c r="DS169" s="68">
        <v>331666.67</v>
      </c>
      <c r="DT169" s="68">
        <v>432566.32</v>
      </c>
      <c r="DU169" s="69">
        <v>695508</v>
      </c>
      <c r="DV169" s="61">
        <v>138166.67000000001</v>
      </c>
      <c r="DW169" s="61">
        <v>292960</v>
      </c>
      <c r="DX169" s="61">
        <v>160000</v>
      </c>
      <c r="DY169" s="61">
        <v>409078</v>
      </c>
      <c r="DZ169" s="79">
        <v>300594</v>
      </c>
      <c r="EA169" s="79">
        <v>60000</v>
      </c>
      <c r="EB169" s="79">
        <v>190000</v>
      </c>
      <c r="EC169" s="84">
        <v>20000</v>
      </c>
      <c r="ED169" s="79">
        <v>290795</v>
      </c>
      <c r="EE169" s="79">
        <v>100940</v>
      </c>
      <c r="EF169" s="79">
        <v>14820.1</v>
      </c>
      <c r="EG169" s="79">
        <v>890745.53</v>
      </c>
      <c r="EH169" s="62">
        <v>0</v>
      </c>
      <c r="EI169" s="62">
        <v>285802</v>
      </c>
      <c r="EJ169" s="62">
        <v>0</v>
      </c>
      <c r="EK169" s="62">
        <v>294172</v>
      </c>
      <c r="EL169" s="62">
        <v>40272</v>
      </c>
      <c r="EM169" s="62">
        <v>468970.67</v>
      </c>
      <c r="EN169" s="62">
        <v>0</v>
      </c>
      <c r="EO169" s="62">
        <v>40000</v>
      </c>
      <c r="EP169" s="62">
        <v>15000</v>
      </c>
      <c r="EQ169" s="62">
        <v>691995.33</v>
      </c>
      <c r="ER169" s="62">
        <v>70920.759999999995</v>
      </c>
      <c r="ES169" s="62"/>
      <c r="ET169" s="62">
        <v>5000</v>
      </c>
      <c r="EU169" s="62">
        <v>380906.62</v>
      </c>
      <c r="EV169" s="62">
        <v>0</v>
      </c>
      <c r="EW169" s="62">
        <v>285264</v>
      </c>
      <c r="EX169" s="62">
        <v>278222</v>
      </c>
      <c r="EY169" s="62">
        <v>285000.05</v>
      </c>
      <c r="EZ169" s="62">
        <v>236298.33</v>
      </c>
      <c r="FA169" s="62">
        <v>114200</v>
      </c>
      <c r="FB169" s="62">
        <v>359390</v>
      </c>
      <c r="FC169" s="62">
        <v>80000</v>
      </c>
      <c r="FD169" s="62">
        <v>305000</v>
      </c>
      <c r="FE169" s="62">
        <v>2267088</v>
      </c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>
        <v>277634</v>
      </c>
      <c r="FT169" s="62"/>
      <c r="FU169" s="62">
        <v>268014</v>
      </c>
      <c r="FV169" s="62">
        <v>5000</v>
      </c>
      <c r="FW169" s="62">
        <v>269846</v>
      </c>
      <c r="FX169" s="62">
        <v>97</v>
      </c>
      <c r="FY169" s="62">
        <v>10000</v>
      </c>
      <c r="FZ169" s="62">
        <v>322072</v>
      </c>
      <c r="GA169" s="62">
        <v>280082</v>
      </c>
      <c r="GB169" s="62">
        <v>0</v>
      </c>
      <c r="GC169" s="62">
        <v>178722</v>
      </c>
      <c r="GD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  <c r="HI169" s="62"/>
      <c r="HJ169" s="62"/>
      <c r="HK169" s="62"/>
      <c r="HL169" s="62"/>
      <c r="HM169" s="62"/>
      <c r="HN169" s="62"/>
      <c r="HO169" s="62"/>
      <c r="HP169" s="62"/>
      <c r="HQ169" s="62"/>
      <c r="HR169" s="62"/>
      <c r="HS169" s="62"/>
      <c r="HT169" s="62"/>
      <c r="HU169" s="62"/>
      <c r="HV169" s="62"/>
      <c r="HW169" s="62"/>
      <c r="HX169" s="62"/>
      <c r="HY169" s="62"/>
      <c r="HZ169" s="62"/>
      <c r="IA169" s="62"/>
      <c r="IB169" s="62"/>
      <c r="IC169" s="62"/>
      <c r="ID169" s="62"/>
      <c r="IE169" s="62"/>
      <c r="IF169" s="62"/>
      <c r="IG169" s="62"/>
      <c r="IH169" s="62"/>
      <c r="II169" s="62"/>
      <c r="IJ169" s="62"/>
      <c r="IK169" s="62"/>
      <c r="IL169" s="62"/>
      <c r="IM169" s="62"/>
      <c r="IN169" s="62"/>
      <c r="IO169" s="62"/>
      <c r="IP169" s="62"/>
      <c r="IQ169" s="62"/>
      <c r="IR169" s="62"/>
      <c r="IS169" s="62"/>
      <c r="IT169" s="62"/>
      <c r="IU169" s="62"/>
      <c r="IV169" s="62"/>
      <c r="IW169" s="62"/>
      <c r="IX169" s="62"/>
      <c r="IY169" s="62"/>
      <c r="IZ169" s="62"/>
      <c r="JA169" s="62"/>
      <c r="JB169" s="62"/>
      <c r="JC169" s="62"/>
      <c r="JD169" s="62"/>
      <c r="JE169" s="62"/>
      <c r="JF169" s="62"/>
      <c r="JG169" s="62"/>
      <c r="JH169" s="62"/>
      <c r="JI169" s="62"/>
      <c r="JJ169" s="62"/>
      <c r="JK169" s="62"/>
      <c r="JL169" s="62"/>
      <c r="JM169" s="62"/>
      <c r="JN169" s="62"/>
      <c r="JO169" s="62"/>
      <c r="JP169" s="62"/>
      <c r="JQ169" s="62"/>
      <c r="JR169" s="62"/>
      <c r="JS169" s="62"/>
      <c r="JT169" s="62"/>
      <c r="JU169" s="62"/>
      <c r="JV169" s="62"/>
      <c r="JW169" s="62"/>
      <c r="JX169" s="62"/>
      <c r="JY169" s="62"/>
      <c r="JZ169" s="62"/>
      <c r="KA169" s="62"/>
      <c r="KB169" s="62"/>
      <c r="KC169" s="62"/>
      <c r="KD169" s="62"/>
      <c r="KE169" s="62"/>
      <c r="KF169" s="62"/>
      <c r="KG169" s="62"/>
      <c r="KH169" s="62"/>
      <c r="KI169" s="62"/>
      <c r="KJ169" s="62"/>
      <c r="KK169" s="62"/>
      <c r="KL169" s="62"/>
      <c r="KM169" s="62"/>
      <c r="KN169" s="62"/>
      <c r="KO169" s="62"/>
      <c r="KP169" s="62"/>
      <c r="KQ169" s="62"/>
      <c r="KR169" s="62"/>
      <c r="KS169" s="62"/>
      <c r="KT169" s="62"/>
      <c r="KU169" s="62"/>
      <c r="KV169" s="62"/>
      <c r="KW169" s="62"/>
      <c r="KX169" s="62"/>
      <c r="KY169" s="62"/>
      <c r="KZ169" s="62"/>
      <c r="LA169" s="62"/>
      <c r="LB169" s="62"/>
      <c r="LC169" s="62"/>
      <c r="LD169" s="62"/>
      <c r="LE169" s="62"/>
      <c r="LF169" s="62"/>
      <c r="LG169" s="62"/>
      <c r="LH169" s="62"/>
      <c r="LI169" s="62"/>
    </row>
    <row r="170" spans="1:321">
      <c r="C170" s="59">
        <v>451</v>
      </c>
      <c r="D170" s="59">
        <v>451</v>
      </c>
      <c r="E170" s="60" t="s">
        <v>22</v>
      </c>
      <c r="F170" s="67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9"/>
      <c r="R170" s="67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9"/>
      <c r="AD170" s="67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9"/>
      <c r="AP170" s="67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9"/>
      <c r="BB170" s="67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9"/>
      <c r="BN170" s="67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9"/>
      <c r="BZ170" s="67"/>
      <c r="CA170" s="68"/>
      <c r="CB170" s="68"/>
      <c r="CC170" s="68"/>
      <c r="CD170" s="68"/>
      <c r="CE170" s="68"/>
      <c r="CF170" s="68"/>
      <c r="CG170" s="68"/>
      <c r="CH170" s="68"/>
      <c r="CI170" s="68"/>
      <c r="CJ170" s="68"/>
      <c r="CK170" s="68"/>
      <c r="CL170" s="67">
        <v>5000</v>
      </c>
      <c r="CM170" s="68">
        <v>57001.11</v>
      </c>
      <c r="CN170" s="68">
        <v>614160.66</v>
      </c>
      <c r="CO170" s="68">
        <v>220833.34</v>
      </c>
      <c r="CP170" s="68">
        <v>331814</v>
      </c>
      <c r="CQ170" s="68">
        <v>6656</v>
      </c>
      <c r="CR170" s="68">
        <v>27500</v>
      </c>
      <c r="CS170" s="68">
        <v>40000</v>
      </c>
      <c r="CT170" s="68">
        <v>17507.28</v>
      </c>
      <c r="CU170" s="68">
        <v>533513.18999999994</v>
      </c>
      <c r="CV170" s="68">
        <v>69960</v>
      </c>
      <c r="CW170" s="69">
        <v>828836.4</v>
      </c>
      <c r="CX170" s="67">
        <v>46726.67</v>
      </c>
      <c r="CY170" s="68">
        <v>493119.12</v>
      </c>
      <c r="CZ170" s="68">
        <v>286420</v>
      </c>
      <c r="DA170" s="68">
        <v>0</v>
      </c>
      <c r="DB170" s="68">
        <v>142547</v>
      </c>
      <c r="DC170" s="68">
        <v>269213.67</v>
      </c>
      <c r="DD170" s="68">
        <v>16000</v>
      </c>
      <c r="DE170" s="68">
        <v>15000</v>
      </c>
      <c r="DF170" s="68">
        <v>505984</v>
      </c>
      <c r="DG170" s="68">
        <v>5000</v>
      </c>
      <c r="DH170" s="68">
        <v>105666.66</v>
      </c>
      <c r="DI170" s="69">
        <v>599222.65</v>
      </c>
      <c r="DJ170" s="67">
        <v>13003.12</v>
      </c>
      <c r="DK170" s="68">
        <v>303628</v>
      </c>
      <c r="DL170" s="68">
        <v>0</v>
      </c>
      <c r="DM170" s="68">
        <v>287926</v>
      </c>
      <c r="DN170" s="68">
        <v>0</v>
      </c>
      <c r="DO170" s="68">
        <v>298266</v>
      </c>
      <c r="DP170" s="68">
        <v>163833.34</v>
      </c>
      <c r="DQ170" s="68">
        <v>161666.67000000001</v>
      </c>
      <c r="DR170" s="68">
        <v>287766</v>
      </c>
      <c r="DS170" s="68">
        <v>331666.67</v>
      </c>
      <c r="DT170" s="68">
        <v>432566.32</v>
      </c>
      <c r="DU170" s="69">
        <v>695508</v>
      </c>
      <c r="DV170" s="61">
        <v>138166.67000000001</v>
      </c>
      <c r="DW170" s="61">
        <v>292960</v>
      </c>
      <c r="DX170" s="61">
        <v>160000</v>
      </c>
      <c r="DY170" s="61">
        <v>409078</v>
      </c>
      <c r="DZ170" s="79">
        <v>300594</v>
      </c>
      <c r="EA170" s="79">
        <v>60000</v>
      </c>
      <c r="EB170" s="79">
        <v>190000</v>
      </c>
      <c r="EC170" s="84">
        <v>20000</v>
      </c>
      <c r="ED170" s="79">
        <v>290795</v>
      </c>
      <c r="EE170" s="79">
        <v>100940</v>
      </c>
      <c r="EF170" s="79">
        <v>14820.1</v>
      </c>
      <c r="EG170" s="79">
        <v>890745.53</v>
      </c>
      <c r="EH170" s="62">
        <v>0</v>
      </c>
      <c r="EI170" s="62">
        <v>285802</v>
      </c>
      <c r="EJ170" s="62">
        <v>0</v>
      </c>
      <c r="EK170" s="62">
        <v>294172</v>
      </c>
      <c r="EL170" s="62">
        <v>40272</v>
      </c>
      <c r="EM170" s="62">
        <v>468970.67</v>
      </c>
      <c r="EN170" s="62">
        <v>0</v>
      </c>
      <c r="EO170" s="62">
        <v>40000</v>
      </c>
      <c r="EP170" s="62">
        <v>15000</v>
      </c>
      <c r="EQ170" s="62">
        <v>691995.33</v>
      </c>
      <c r="ER170" s="62">
        <v>70920.759999999995</v>
      </c>
      <c r="ES170" s="62">
        <v>2950278</v>
      </c>
      <c r="ET170" s="62">
        <v>5000</v>
      </c>
      <c r="EU170" s="62">
        <v>380906.62</v>
      </c>
      <c r="EV170" s="62">
        <v>0</v>
      </c>
      <c r="EW170" s="62">
        <v>285264</v>
      </c>
      <c r="EX170" s="62">
        <v>278222</v>
      </c>
      <c r="EY170" s="62">
        <v>285000.05</v>
      </c>
      <c r="EZ170" s="62">
        <v>236298.33</v>
      </c>
      <c r="FA170" s="62">
        <v>114200</v>
      </c>
      <c r="FB170" s="62">
        <v>359390</v>
      </c>
      <c r="FC170" s="62">
        <v>80000</v>
      </c>
      <c r="FD170" s="62">
        <v>305000</v>
      </c>
      <c r="FE170" s="62">
        <v>2267088</v>
      </c>
      <c r="FF170" s="62"/>
      <c r="FG170" s="62">
        <v>272323.98</v>
      </c>
      <c r="FH170" s="62">
        <v>30000</v>
      </c>
      <c r="FI170" s="62">
        <v>384534</v>
      </c>
      <c r="FJ170" s="62">
        <v>260000</v>
      </c>
      <c r="FK170" s="62">
        <v>358750</v>
      </c>
      <c r="FL170" s="1">
        <v>335000</v>
      </c>
      <c r="FM170" s="62">
        <v>145000</v>
      </c>
      <c r="FN170" s="62">
        <v>298894</v>
      </c>
      <c r="FO170" s="62">
        <v>10000</v>
      </c>
      <c r="FP170" s="62">
        <v>200000</v>
      </c>
      <c r="FQ170" s="62">
        <v>882434</v>
      </c>
      <c r="FR170" s="62"/>
      <c r="FS170" s="62"/>
      <c r="FT170" s="62"/>
      <c r="FU170" s="62"/>
      <c r="FV170" s="62"/>
      <c r="FW170" s="62"/>
      <c r="FX170" s="62"/>
      <c r="FY170" s="62"/>
      <c r="FZ170" s="62"/>
      <c r="GA170" s="62"/>
      <c r="GB170" s="62"/>
      <c r="GC170" s="62"/>
      <c r="GD170" s="62"/>
      <c r="GF170" s="62"/>
      <c r="GG170" s="62"/>
      <c r="GH170" s="62"/>
      <c r="GI170" s="62"/>
      <c r="GJ170" s="62"/>
      <c r="GK170" s="62"/>
      <c r="GL170" s="62"/>
      <c r="GM170" s="62"/>
      <c r="GN170" s="62"/>
      <c r="GO170" s="62"/>
      <c r="GP170" s="62"/>
      <c r="GQ170" s="62"/>
      <c r="GR170" s="62"/>
      <c r="GS170" s="62"/>
      <c r="GT170" s="62"/>
      <c r="GU170" s="62"/>
      <c r="GV170" s="62"/>
      <c r="GW170" s="62"/>
      <c r="GX170" s="62"/>
      <c r="GY170" s="62"/>
      <c r="GZ170" s="62"/>
      <c r="HA170" s="62"/>
      <c r="HB170" s="62"/>
      <c r="HC170" s="62"/>
      <c r="HD170" s="62"/>
      <c r="HE170" s="62"/>
      <c r="HF170" s="62"/>
      <c r="HG170" s="62"/>
      <c r="HH170" s="62"/>
      <c r="HI170" s="62"/>
      <c r="HJ170" s="62"/>
      <c r="HK170" s="62"/>
      <c r="HL170" s="62"/>
      <c r="HM170" s="62"/>
      <c r="HN170" s="62"/>
      <c r="HO170" s="62"/>
      <c r="HP170" s="62"/>
      <c r="HQ170" s="62"/>
      <c r="HR170" s="62"/>
      <c r="HS170" s="62"/>
      <c r="HT170" s="62"/>
      <c r="HU170" s="62"/>
      <c r="HV170" s="62"/>
      <c r="HW170" s="62"/>
      <c r="HX170" s="62"/>
      <c r="HY170" s="62"/>
      <c r="HZ170" s="62"/>
      <c r="IA170" s="62"/>
      <c r="IB170" s="62"/>
      <c r="IC170" s="62"/>
      <c r="ID170" s="62"/>
      <c r="IE170" s="62"/>
      <c r="IF170" s="62"/>
      <c r="IG170" s="62"/>
      <c r="IH170" s="62"/>
      <c r="II170" s="62"/>
      <c r="IJ170" s="62"/>
      <c r="IK170" s="62"/>
      <c r="IL170" s="62"/>
      <c r="IM170" s="62"/>
      <c r="IN170" s="62"/>
      <c r="IO170" s="62"/>
      <c r="IP170" s="62"/>
      <c r="IQ170" s="62"/>
      <c r="IR170" s="62"/>
      <c r="IS170" s="62"/>
      <c r="IT170" s="62"/>
      <c r="IU170" s="62"/>
      <c r="IV170" s="62"/>
      <c r="IW170" s="62"/>
      <c r="IX170" s="62"/>
      <c r="IY170" s="62"/>
      <c r="IZ170" s="62"/>
      <c r="JA170" s="62"/>
      <c r="JB170" s="62"/>
      <c r="JC170" s="62"/>
      <c r="JD170" s="62"/>
      <c r="JE170" s="62"/>
      <c r="JF170" s="62"/>
      <c r="JG170" s="62"/>
      <c r="JH170" s="62"/>
      <c r="JI170" s="62"/>
      <c r="JJ170" s="62"/>
      <c r="JK170" s="62"/>
      <c r="JL170" s="62"/>
      <c r="JM170" s="62"/>
      <c r="JN170" s="62"/>
      <c r="JO170" s="62"/>
      <c r="JP170" s="62"/>
      <c r="JQ170" s="62"/>
      <c r="JR170" s="62"/>
      <c r="JS170" s="62"/>
      <c r="JT170" s="62"/>
      <c r="JU170" s="62"/>
      <c r="JV170" s="62"/>
      <c r="JW170" s="62"/>
      <c r="JX170" s="62"/>
      <c r="JY170" s="62"/>
      <c r="JZ170" s="62"/>
      <c r="KA170" s="62"/>
      <c r="KB170" s="62"/>
      <c r="KC170" s="62"/>
      <c r="KD170" s="62"/>
      <c r="KE170" s="62"/>
      <c r="KF170" s="62"/>
      <c r="KG170" s="62"/>
      <c r="KH170" s="62"/>
      <c r="KI170" s="62"/>
      <c r="KJ170" s="62"/>
      <c r="KK170" s="62"/>
      <c r="KL170" s="62"/>
      <c r="KM170" s="62"/>
      <c r="KN170" s="62"/>
      <c r="KO170" s="62"/>
      <c r="KP170" s="62"/>
      <c r="KQ170" s="62"/>
      <c r="KR170" s="62"/>
      <c r="KS170" s="62"/>
      <c r="KT170" s="62"/>
      <c r="KU170" s="62"/>
      <c r="KV170" s="62"/>
      <c r="KW170" s="62"/>
      <c r="KX170" s="62"/>
      <c r="KY170" s="62"/>
      <c r="KZ170" s="62"/>
      <c r="LA170" s="62"/>
      <c r="LB170" s="62"/>
      <c r="LC170" s="62"/>
      <c r="LD170" s="62"/>
      <c r="LE170" s="62"/>
      <c r="LF170" s="62"/>
      <c r="LG170" s="62"/>
      <c r="LH170" s="62"/>
      <c r="LI170" s="62"/>
    </row>
    <row r="171" spans="1:321" ht="30">
      <c r="D171" s="59">
        <v>4511</v>
      </c>
      <c r="E171" s="60" t="s">
        <v>469</v>
      </c>
      <c r="F171" s="67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9"/>
      <c r="R171" s="67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9"/>
      <c r="AD171" s="67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9"/>
      <c r="AP171" s="67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9"/>
      <c r="BB171" s="67"/>
      <c r="BC171" s="68"/>
      <c r="BD171" s="68"/>
      <c r="BE171" s="68"/>
      <c r="BF171" s="68"/>
      <c r="BG171" s="68"/>
      <c r="BH171" s="68"/>
      <c r="BI171" s="68"/>
      <c r="BJ171" s="68"/>
      <c r="BK171" s="68"/>
      <c r="BL171" s="68"/>
      <c r="BM171" s="69"/>
      <c r="BN171" s="67"/>
      <c r="BO171" s="68"/>
      <c r="BP171" s="68"/>
      <c r="BQ171" s="68"/>
      <c r="BR171" s="68"/>
      <c r="BS171" s="68"/>
      <c r="BT171" s="68"/>
      <c r="BU171" s="68"/>
      <c r="BV171" s="68"/>
      <c r="BW171" s="68"/>
      <c r="BX171" s="68"/>
      <c r="BY171" s="69"/>
      <c r="BZ171" s="67"/>
      <c r="CA171" s="68"/>
      <c r="CB171" s="68"/>
      <c r="CC171" s="68"/>
      <c r="CD171" s="68"/>
      <c r="CE171" s="68"/>
      <c r="CF171" s="68"/>
      <c r="CG171" s="68"/>
      <c r="CH171" s="68"/>
      <c r="CI171" s="68"/>
      <c r="CJ171" s="68"/>
      <c r="CK171" s="68"/>
      <c r="CL171" s="67">
        <v>0</v>
      </c>
      <c r="CM171" s="68">
        <v>0</v>
      </c>
      <c r="CN171" s="68">
        <v>0</v>
      </c>
      <c r="CO171" s="68">
        <v>0</v>
      </c>
      <c r="CP171" s="68">
        <v>0</v>
      </c>
      <c r="CQ171" s="68">
        <v>0</v>
      </c>
      <c r="CR171" s="68">
        <v>0</v>
      </c>
      <c r="CS171" s="68">
        <v>0</v>
      </c>
      <c r="CT171" s="68">
        <v>0</v>
      </c>
      <c r="CU171" s="68">
        <v>0</v>
      </c>
      <c r="CV171" s="68">
        <v>0</v>
      </c>
      <c r="CW171" s="69">
        <v>0</v>
      </c>
      <c r="CX171" s="67">
        <v>0</v>
      </c>
      <c r="CY171" s="68">
        <v>0</v>
      </c>
      <c r="CZ171" s="68">
        <v>0</v>
      </c>
      <c r="DA171" s="68">
        <v>0</v>
      </c>
      <c r="DB171" s="68">
        <v>0</v>
      </c>
      <c r="DC171" s="68">
        <v>0</v>
      </c>
      <c r="DD171" s="68">
        <v>0</v>
      </c>
      <c r="DE171" s="68">
        <v>0</v>
      </c>
      <c r="DF171" s="68">
        <v>0</v>
      </c>
      <c r="DG171" s="68">
        <v>0</v>
      </c>
      <c r="DH171" s="68">
        <v>0</v>
      </c>
      <c r="DI171" s="69">
        <v>0</v>
      </c>
      <c r="DJ171" s="67">
        <v>0</v>
      </c>
      <c r="DK171" s="68">
        <v>0</v>
      </c>
      <c r="DL171" s="68">
        <v>0</v>
      </c>
      <c r="DM171" s="68">
        <v>0</v>
      </c>
      <c r="DN171" s="68">
        <v>0</v>
      </c>
      <c r="DO171" s="68">
        <v>0</v>
      </c>
      <c r="DP171" s="68">
        <v>0</v>
      </c>
      <c r="DQ171" s="68">
        <v>0</v>
      </c>
      <c r="DR171" s="68">
        <v>0</v>
      </c>
      <c r="DS171" s="68">
        <v>0</v>
      </c>
      <c r="DT171" s="68">
        <v>0</v>
      </c>
      <c r="DU171" s="69">
        <v>0</v>
      </c>
      <c r="DV171" s="61">
        <v>0</v>
      </c>
      <c r="DW171" s="61">
        <v>0</v>
      </c>
      <c r="DX171" s="61">
        <v>0</v>
      </c>
      <c r="DY171" s="61">
        <v>0</v>
      </c>
      <c r="DZ171" s="79"/>
      <c r="EB171" s="79"/>
      <c r="EC171" s="79"/>
      <c r="ED171" s="79"/>
      <c r="EE171" s="79"/>
      <c r="EF171" s="79"/>
      <c r="EG171" s="79"/>
      <c r="EH171" s="62"/>
      <c r="EI171" s="62"/>
      <c r="EJ171" s="62"/>
      <c r="EK171" s="62"/>
      <c r="EL171" s="62"/>
      <c r="EM171" s="62"/>
      <c r="EN171" s="62"/>
      <c r="EO171" s="62"/>
      <c r="EP171" s="62"/>
      <c r="EQ171" s="62"/>
      <c r="ER171" s="62"/>
      <c r="ES171" s="62"/>
      <c r="ET171" s="62"/>
      <c r="EU171" s="62"/>
      <c r="EV171" s="62"/>
      <c r="EW171" s="62"/>
      <c r="EX171" s="62"/>
      <c r="EY171" s="62"/>
      <c r="EZ171" s="62"/>
      <c r="FA171" s="62"/>
      <c r="FB171" s="62"/>
      <c r="FC171" s="62"/>
      <c r="FD171" s="62"/>
      <c r="FE171" s="62"/>
      <c r="FF171" s="62"/>
      <c r="FG171" s="62"/>
      <c r="FH171" s="62"/>
      <c r="FI171" s="62"/>
      <c r="FJ171" s="62"/>
      <c r="FK171" s="62"/>
      <c r="FL171" s="62"/>
      <c r="FM171" s="62"/>
      <c r="FN171" s="62"/>
      <c r="FO171" s="62"/>
      <c r="FP171" s="62"/>
      <c r="FQ171" s="62"/>
      <c r="FR171" s="62"/>
      <c r="FS171" s="62"/>
      <c r="FT171" s="62"/>
      <c r="FU171" s="62"/>
      <c r="FV171" s="62"/>
      <c r="FW171" s="62"/>
      <c r="FX171" s="62"/>
      <c r="FY171" s="62"/>
      <c r="FZ171" s="62"/>
      <c r="GA171" s="62"/>
      <c r="GB171" s="62"/>
      <c r="GC171" s="62"/>
      <c r="GD171" s="62"/>
      <c r="GF171" s="62"/>
      <c r="GG171" s="62"/>
      <c r="GH171" s="62"/>
      <c r="GI171" s="62"/>
      <c r="GJ171" s="62"/>
      <c r="GK171" s="62"/>
      <c r="GL171" s="62"/>
      <c r="GM171" s="62"/>
      <c r="GN171" s="62"/>
      <c r="GO171" s="62"/>
      <c r="GP171" s="62"/>
      <c r="GQ171" s="62"/>
      <c r="GR171" s="62"/>
      <c r="GS171" s="62"/>
      <c r="GT171" s="62"/>
      <c r="GU171" s="62"/>
      <c r="GV171" s="62"/>
      <c r="GW171" s="62"/>
      <c r="GX171" s="62"/>
      <c r="GY171" s="62"/>
      <c r="GZ171" s="62"/>
      <c r="HA171" s="62"/>
      <c r="HB171" s="62"/>
      <c r="HC171" s="62"/>
      <c r="HD171" s="62"/>
      <c r="HE171" s="62"/>
      <c r="HF171" s="62"/>
      <c r="HG171" s="62"/>
      <c r="HH171" s="62"/>
      <c r="HI171" s="62"/>
      <c r="HJ171" s="62"/>
      <c r="HK171" s="62"/>
      <c r="HL171" s="62"/>
      <c r="HM171" s="62"/>
      <c r="HN171" s="62"/>
      <c r="HO171" s="62"/>
      <c r="HP171" s="62"/>
      <c r="HQ171" s="62"/>
      <c r="HR171" s="62"/>
      <c r="HS171" s="62"/>
      <c r="HT171" s="62"/>
      <c r="HU171" s="62"/>
      <c r="HV171" s="62"/>
      <c r="HW171" s="62"/>
      <c r="HX171" s="62"/>
      <c r="HY171" s="62"/>
      <c r="HZ171" s="62"/>
      <c r="IA171" s="62"/>
      <c r="IB171" s="62"/>
      <c r="IC171" s="62"/>
      <c r="ID171" s="62"/>
      <c r="IE171" s="62"/>
      <c r="IF171" s="62"/>
      <c r="IG171" s="62"/>
      <c r="IH171" s="62"/>
      <c r="II171" s="62"/>
      <c r="IJ171" s="62"/>
      <c r="IK171" s="62"/>
      <c r="IL171" s="62"/>
      <c r="IM171" s="62"/>
      <c r="IN171" s="62"/>
      <c r="IO171" s="62"/>
      <c r="IP171" s="62"/>
      <c r="IQ171" s="62"/>
      <c r="IR171" s="62"/>
      <c r="IS171" s="62"/>
      <c r="IT171" s="62"/>
      <c r="IU171" s="62"/>
      <c r="IV171" s="62"/>
      <c r="IW171" s="62"/>
      <c r="IX171" s="62"/>
      <c r="IY171" s="62"/>
      <c r="IZ171" s="62"/>
      <c r="JA171" s="62"/>
      <c r="JB171" s="62"/>
      <c r="JC171" s="62"/>
      <c r="JD171" s="62"/>
      <c r="JE171" s="62"/>
      <c r="JF171" s="62"/>
      <c r="JG171" s="62"/>
      <c r="JH171" s="62"/>
      <c r="JI171" s="62"/>
      <c r="JJ171" s="62"/>
      <c r="JK171" s="62"/>
      <c r="JL171" s="62"/>
      <c r="JM171" s="62"/>
      <c r="JN171" s="62"/>
      <c r="JO171" s="62"/>
      <c r="JP171" s="62"/>
      <c r="JQ171" s="62"/>
      <c r="JR171" s="62"/>
      <c r="JS171" s="62"/>
      <c r="JT171" s="62"/>
      <c r="JU171" s="62"/>
      <c r="JV171" s="62"/>
      <c r="JW171" s="62"/>
      <c r="JX171" s="62"/>
      <c r="JY171" s="62"/>
      <c r="JZ171" s="62"/>
      <c r="KA171" s="62"/>
      <c r="KB171" s="62"/>
      <c r="KC171" s="62"/>
      <c r="KD171" s="62"/>
      <c r="KE171" s="62"/>
      <c r="KF171" s="62"/>
      <c r="KG171" s="62"/>
      <c r="KH171" s="62"/>
      <c r="KI171" s="62"/>
      <c r="KJ171" s="62"/>
      <c r="KK171" s="62"/>
      <c r="KL171" s="62"/>
      <c r="KM171" s="62"/>
      <c r="KN171" s="62"/>
      <c r="KO171" s="62"/>
      <c r="KP171" s="62"/>
      <c r="KQ171" s="62"/>
      <c r="KR171" s="62"/>
      <c r="KS171" s="62"/>
      <c r="KT171" s="62"/>
      <c r="KU171" s="62"/>
      <c r="KV171" s="62"/>
      <c r="KW171" s="62"/>
      <c r="KX171" s="62"/>
      <c r="KY171" s="62"/>
      <c r="KZ171" s="62"/>
      <c r="LA171" s="62"/>
      <c r="LB171" s="62"/>
      <c r="LC171" s="62"/>
      <c r="LD171" s="62"/>
      <c r="LE171" s="62"/>
      <c r="LF171" s="62"/>
      <c r="LG171" s="62"/>
      <c r="LH171" s="62"/>
      <c r="LI171" s="62"/>
    </row>
    <row r="172" spans="1:321" ht="30">
      <c r="D172" s="59">
        <v>4512</v>
      </c>
      <c r="E172" s="60" t="s">
        <v>470</v>
      </c>
      <c r="F172" s="67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9"/>
      <c r="R172" s="67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9"/>
      <c r="AD172" s="67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9"/>
      <c r="AP172" s="67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9"/>
      <c r="BB172" s="67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9"/>
      <c r="BN172" s="67"/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9"/>
      <c r="BZ172" s="67"/>
      <c r="CA172" s="68"/>
      <c r="CB172" s="68"/>
      <c r="CC172" s="68"/>
      <c r="CD172" s="68"/>
      <c r="CE172" s="68"/>
      <c r="CF172" s="68"/>
      <c r="CG172" s="68"/>
      <c r="CH172" s="68"/>
      <c r="CI172" s="68"/>
      <c r="CJ172" s="68"/>
      <c r="CK172" s="68"/>
      <c r="CL172" s="67">
        <v>0</v>
      </c>
      <c r="CM172" s="68">
        <v>0</v>
      </c>
      <c r="CN172" s="68">
        <v>0</v>
      </c>
      <c r="CO172" s="68">
        <v>0</v>
      </c>
      <c r="CP172" s="68">
        <v>0</v>
      </c>
      <c r="CQ172" s="68">
        <v>0</v>
      </c>
      <c r="CR172" s="68">
        <v>0</v>
      </c>
      <c r="CS172" s="68">
        <v>0</v>
      </c>
      <c r="CT172" s="68">
        <v>0</v>
      </c>
      <c r="CU172" s="68">
        <v>0</v>
      </c>
      <c r="CV172" s="68">
        <v>0</v>
      </c>
      <c r="CW172" s="69">
        <v>0</v>
      </c>
      <c r="CX172" s="67">
        <v>0</v>
      </c>
      <c r="CY172" s="68">
        <v>0</v>
      </c>
      <c r="CZ172" s="68">
        <v>0</v>
      </c>
      <c r="DA172" s="68">
        <v>0</v>
      </c>
      <c r="DB172" s="68">
        <v>0</v>
      </c>
      <c r="DC172" s="68">
        <v>0</v>
      </c>
      <c r="DD172" s="68">
        <v>0</v>
      </c>
      <c r="DE172" s="68">
        <v>0</v>
      </c>
      <c r="DF172" s="68">
        <v>0</v>
      </c>
      <c r="DG172" s="68">
        <v>0</v>
      </c>
      <c r="DH172" s="68">
        <v>0</v>
      </c>
      <c r="DI172" s="69">
        <v>0</v>
      </c>
      <c r="DJ172" s="67">
        <v>0</v>
      </c>
      <c r="DK172" s="68">
        <v>0</v>
      </c>
      <c r="DL172" s="68">
        <v>0</v>
      </c>
      <c r="DM172" s="68">
        <v>0</v>
      </c>
      <c r="DN172" s="68">
        <v>0</v>
      </c>
      <c r="DO172" s="68">
        <v>0</v>
      </c>
      <c r="DP172" s="68">
        <v>0</v>
      </c>
      <c r="DQ172" s="68">
        <v>0</v>
      </c>
      <c r="DR172" s="68">
        <v>0</v>
      </c>
      <c r="DS172" s="68">
        <v>0</v>
      </c>
      <c r="DT172" s="68">
        <v>0</v>
      </c>
      <c r="DU172" s="69">
        <v>0</v>
      </c>
      <c r="DV172" s="61">
        <v>0</v>
      </c>
      <c r="DW172" s="61">
        <v>0</v>
      </c>
      <c r="DX172" s="61">
        <v>0</v>
      </c>
      <c r="DY172" s="61">
        <v>0</v>
      </c>
      <c r="DZ172" s="79"/>
      <c r="EB172" s="79"/>
      <c r="EC172" s="79"/>
      <c r="ED172" s="79"/>
      <c r="EE172" s="79"/>
      <c r="EF172" s="79"/>
      <c r="EG172" s="79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2"/>
      <c r="HE172" s="62"/>
      <c r="HF172" s="62"/>
      <c r="HG172" s="62"/>
      <c r="HH172" s="62"/>
      <c r="HI172" s="62"/>
      <c r="HJ172" s="62"/>
      <c r="HK172" s="62"/>
      <c r="HL172" s="62"/>
      <c r="HM172" s="62"/>
      <c r="HN172" s="62"/>
      <c r="HO172" s="62"/>
      <c r="HP172" s="62"/>
      <c r="HQ172" s="62"/>
      <c r="HR172" s="62"/>
      <c r="HS172" s="62"/>
      <c r="HT172" s="62"/>
      <c r="HU172" s="62"/>
      <c r="HV172" s="62"/>
      <c r="HW172" s="62"/>
      <c r="HX172" s="62"/>
      <c r="HY172" s="62"/>
      <c r="HZ172" s="62"/>
      <c r="IA172" s="62"/>
      <c r="IB172" s="62"/>
      <c r="IC172" s="62"/>
      <c r="ID172" s="62"/>
      <c r="IE172" s="62"/>
      <c r="IF172" s="62"/>
      <c r="IG172" s="62"/>
      <c r="IH172" s="62"/>
      <c r="II172" s="62"/>
      <c r="IJ172" s="62"/>
      <c r="IK172" s="62"/>
      <c r="IL172" s="62"/>
      <c r="IM172" s="62"/>
      <c r="IN172" s="62"/>
      <c r="IO172" s="62"/>
      <c r="IP172" s="62"/>
      <c r="IQ172" s="62"/>
      <c r="IR172" s="62"/>
      <c r="IS172" s="62"/>
      <c r="IT172" s="62"/>
      <c r="IU172" s="62"/>
      <c r="IV172" s="62"/>
      <c r="IW172" s="62"/>
      <c r="IX172" s="62"/>
      <c r="IY172" s="62"/>
      <c r="IZ172" s="62"/>
      <c r="JA172" s="62"/>
      <c r="JB172" s="62"/>
      <c r="JC172" s="62"/>
      <c r="JD172" s="62"/>
      <c r="JE172" s="62"/>
      <c r="JF172" s="62"/>
      <c r="JG172" s="62"/>
      <c r="JH172" s="62"/>
      <c r="JI172" s="62"/>
      <c r="JJ172" s="62"/>
      <c r="JK172" s="62"/>
      <c r="JL172" s="62"/>
      <c r="JM172" s="62"/>
      <c r="JN172" s="62"/>
      <c r="JO172" s="62"/>
      <c r="JP172" s="62"/>
      <c r="JQ172" s="62"/>
      <c r="JR172" s="62"/>
      <c r="JS172" s="62"/>
      <c r="JT172" s="62"/>
      <c r="JU172" s="62"/>
      <c r="JV172" s="62"/>
      <c r="JW172" s="62"/>
      <c r="JX172" s="62"/>
      <c r="JY172" s="62"/>
      <c r="JZ172" s="62"/>
      <c r="KA172" s="62"/>
      <c r="KB172" s="62"/>
      <c r="KC172" s="62"/>
      <c r="KD172" s="62"/>
      <c r="KE172" s="62"/>
      <c r="KF172" s="62"/>
      <c r="KG172" s="62"/>
      <c r="KH172" s="62"/>
      <c r="KI172" s="62"/>
      <c r="KJ172" s="62"/>
      <c r="KK172" s="62"/>
      <c r="KL172" s="62"/>
      <c r="KM172" s="62"/>
      <c r="KN172" s="62"/>
      <c r="KO172" s="62"/>
      <c r="KP172" s="62"/>
      <c r="KQ172" s="62"/>
      <c r="KR172" s="62"/>
      <c r="KS172" s="62"/>
      <c r="KT172" s="62"/>
      <c r="KU172" s="62"/>
      <c r="KV172" s="62"/>
      <c r="KW172" s="62"/>
      <c r="KX172" s="62"/>
      <c r="KY172" s="62"/>
      <c r="KZ172" s="62"/>
      <c r="LA172" s="62"/>
      <c r="LB172" s="62"/>
      <c r="LC172" s="62"/>
      <c r="LD172" s="62"/>
      <c r="LE172" s="62"/>
      <c r="LF172" s="62"/>
      <c r="LG172" s="62"/>
      <c r="LH172" s="62"/>
      <c r="LI172" s="62"/>
    </row>
    <row r="173" spans="1:321">
      <c r="D173" s="59">
        <v>4513</v>
      </c>
      <c r="E173" s="60" t="s">
        <v>471</v>
      </c>
      <c r="F173" s="67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9"/>
      <c r="R173" s="67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9"/>
      <c r="AD173" s="67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9"/>
      <c r="AP173" s="67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9"/>
      <c r="BB173" s="67"/>
      <c r="BC173" s="68"/>
      <c r="BD173" s="68"/>
      <c r="BE173" s="68"/>
      <c r="BF173" s="68"/>
      <c r="BG173" s="68"/>
      <c r="BH173" s="68"/>
      <c r="BI173" s="68"/>
      <c r="BJ173" s="68"/>
      <c r="BK173" s="68"/>
      <c r="BL173" s="68"/>
      <c r="BM173" s="69"/>
      <c r="BN173" s="67"/>
      <c r="BO173" s="68"/>
      <c r="BP173" s="68"/>
      <c r="BQ173" s="68"/>
      <c r="BR173" s="68"/>
      <c r="BS173" s="68"/>
      <c r="BT173" s="68"/>
      <c r="BU173" s="68"/>
      <c r="BV173" s="68"/>
      <c r="BW173" s="68"/>
      <c r="BX173" s="68"/>
      <c r="BY173" s="69"/>
      <c r="BZ173" s="67"/>
      <c r="CA173" s="68"/>
      <c r="CB173" s="68"/>
      <c r="CC173" s="68"/>
      <c r="CD173" s="68"/>
      <c r="CE173" s="68"/>
      <c r="CF173" s="68"/>
      <c r="CG173" s="68"/>
      <c r="CH173" s="68"/>
      <c r="CI173" s="68"/>
      <c r="CJ173" s="68"/>
      <c r="CK173" s="68"/>
      <c r="CL173" s="67">
        <v>0</v>
      </c>
      <c r="CM173" s="68">
        <v>0</v>
      </c>
      <c r="CN173" s="68">
        <v>546494</v>
      </c>
      <c r="CO173" s="68">
        <v>0</v>
      </c>
      <c r="CP173" s="68">
        <v>271814</v>
      </c>
      <c r="CQ173" s="68">
        <v>1656</v>
      </c>
      <c r="CR173" s="68">
        <v>0</v>
      </c>
      <c r="CS173" s="68">
        <v>0</v>
      </c>
      <c r="CT173" s="68">
        <v>2507.2800000000002</v>
      </c>
      <c r="CU173" s="68">
        <v>276229</v>
      </c>
      <c r="CV173" s="68">
        <v>960</v>
      </c>
      <c r="CW173" s="69">
        <v>300339.71999999997</v>
      </c>
      <c r="CX173" s="67">
        <v>5060</v>
      </c>
      <c r="CY173" s="68">
        <v>285118</v>
      </c>
      <c r="CZ173" s="68">
        <v>286420</v>
      </c>
      <c r="DA173" s="68">
        <v>0</v>
      </c>
      <c r="DB173" s="68">
        <v>142547</v>
      </c>
      <c r="DC173" s="68">
        <v>142547</v>
      </c>
      <c r="DD173" s="68">
        <v>0</v>
      </c>
      <c r="DE173" s="68">
        <v>0</v>
      </c>
      <c r="DF173" s="68">
        <v>285484</v>
      </c>
      <c r="DG173" s="68">
        <v>0</v>
      </c>
      <c r="DH173" s="68">
        <v>0</v>
      </c>
      <c r="DI173" s="69">
        <v>285978</v>
      </c>
      <c r="DJ173" s="67">
        <v>0</v>
      </c>
      <c r="DK173" s="68">
        <v>289628</v>
      </c>
      <c r="DL173" s="68">
        <v>0</v>
      </c>
      <c r="DM173" s="68">
        <v>287926</v>
      </c>
      <c r="DN173" s="68">
        <v>0</v>
      </c>
      <c r="DO173" s="68">
        <v>287766</v>
      </c>
      <c r="DP173" s="68">
        <v>0</v>
      </c>
      <c r="DQ173" s="68">
        <v>0</v>
      </c>
      <c r="DR173" s="68">
        <v>287766</v>
      </c>
      <c r="DS173" s="68">
        <v>0</v>
      </c>
      <c r="DT173" s="68">
        <v>0</v>
      </c>
      <c r="DU173" s="69">
        <v>285508</v>
      </c>
      <c r="DV173" s="61">
        <v>0</v>
      </c>
      <c r="DW173" s="61">
        <v>292960</v>
      </c>
      <c r="DX173" s="61">
        <v>0</v>
      </c>
      <c r="DY173" s="61">
        <v>291078</v>
      </c>
      <c r="DZ173" s="79">
        <v>290594</v>
      </c>
      <c r="EB173" s="79"/>
      <c r="EC173" s="79"/>
      <c r="ED173" s="79"/>
      <c r="EE173" s="79"/>
      <c r="EF173" s="79"/>
      <c r="EG173" s="79"/>
      <c r="EH173" s="62"/>
      <c r="EI173" s="62"/>
      <c r="EJ173" s="62"/>
      <c r="EK173" s="62"/>
      <c r="EL173" s="62"/>
      <c r="EM173" s="62"/>
      <c r="EN173" s="62"/>
      <c r="EO173" s="62"/>
      <c r="EP173" s="62"/>
      <c r="EQ173" s="62"/>
      <c r="ER173" s="62"/>
      <c r="ES173" s="62"/>
      <c r="ET173" s="62"/>
      <c r="EU173" s="62"/>
      <c r="EV173" s="62"/>
      <c r="EW173" s="62"/>
      <c r="EX173" s="62"/>
      <c r="EY173" s="62"/>
      <c r="EZ173" s="62"/>
      <c r="FA173" s="62"/>
      <c r="FB173" s="62"/>
      <c r="FC173" s="62"/>
      <c r="FD173" s="62"/>
      <c r="FE173" s="62"/>
      <c r="FF173" s="62"/>
      <c r="FG173" s="62"/>
      <c r="FH173" s="62"/>
      <c r="FI173" s="62"/>
      <c r="FJ173" s="62"/>
      <c r="FK173" s="62"/>
      <c r="FL173" s="62"/>
      <c r="FM173" s="62"/>
      <c r="FN173" s="62"/>
      <c r="FO173" s="62"/>
      <c r="FP173" s="62"/>
      <c r="FQ173" s="62"/>
      <c r="FR173" s="62"/>
      <c r="FS173" s="62"/>
      <c r="FT173" s="62"/>
      <c r="FU173" s="62"/>
      <c r="FV173" s="62"/>
      <c r="FW173" s="62"/>
      <c r="FX173" s="62"/>
      <c r="FY173" s="62"/>
      <c r="FZ173" s="62"/>
      <c r="GA173" s="62"/>
      <c r="GB173" s="62"/>
      <c r="GC173" s="62"/>
      <c r="GD173" s="62"/>
      <c r="GF173" s="62"/>
      <c r="GG173" s="62"/>
      <c r="GH173" s="62"/>
      <c r="GI173" s="62"/>
      <c r="GJ173" s="62"/>
      <c r="GK173" s="62"/>
      <c r="GL173" s="62"/>
      <c r="GM173" s="62"/>
      <c r="GN173" s="62"/>
      <c r="GO173" s="62"/>
      <c r="GP173" s="62"/>
      <c r="GQ173" s="62"/>
      <c r="GR173" s="62"/>
      <c r="GS173" s="62"/>
      <c r="GT173" s="62"/>
      <c r="GU173" s="62"/>
      <c r="GV173" s="62"/>
      <c r="GW173" s="62"/>
      <c r="GX173" s="62"/>
      <c r="GY173" s="62"/>
      <c r="GZ173" s="62"/>
      <c r="HA173" s="62"/>
      <c r="HB173" s="62"/>
      <c r="HC173" s="62"/>
      <c r="HD173" s="62"/>
      <c r="HE173" s="62"/>
      <c r="HF173" s="62"/>
      <c r="HG173" s="62"/>
      <c r="HH173" s="62"/>
      <c r="HI173" s="62"/>
      <c r="HJ173" s="62"/>
      <c r="HK173" s="62"/>
      <c r="HL173" s="62"/>
      <c r="HM173" s="62"/>
      <c r="HN173" s="62"/>
      <c r="HO173" s="62"/>
      <c r="HP173" s="62"/>
      <c r="HQ173" s="62"/>
      <c r="HR173" s="62"/>
      <c r="HS173" s="62"/>
      <c r="HT173" s="62"/>
      <c r="HU173" s="62"/>
      <c r="HV173" s="62"/>
      <c r="HW173" s="62"/>
      <c r="HX173" s="62"/>
      <c r="HY173" s="62"/>
      <c r="HZ173" s="62"/>
      <c r="IA173" s="62"/>
      <c r="IB173" s="62"/>
      <c r="IC173" s="62"/>
      <c r="ID173" s="62"/>
      <c r="IE173" s="62"/>
      <c r="IF173" s="62"/>
      <c r="IG173" s="62"/>
      <c r="IH173" s="62"/>
      <c r="II173" s="62"/>
      <c r="IJ173" s="62"/>
      <c r="IK173" s="62"/>
      <c r="IL173" s="62"/>
      <c r="IM173" s="62"/>
      <c r="IN173" s="62"/>
      <c r="IO173" s="62"/>
      <c r="IP173" s="62"/>
      <c r="IQ173" s="62"/>
      <c r="IR173" s="62"/>
      <c r="IS173" s="62"/>
      <c r="IT173" s="62"/>
      <c r="IU173" s="62"/>
      <c r="IV173" s="62"/>
      <c r="IW173" s="62"/>
      <c r="IX173" s="62"/>
      <c r="IY173" s="62"/>
      <c r="IZ173" s="62"/>
      <c r="JA173" s="62"/>
      <c r="JB173" s="62"/>
      <c r="JC173" s="62"/>
      <c r="JD173" s="62"/>
      <c r="JE173" s="62"/>
      <c r="JF173" s="62"/>
      <c r="JG173" s="62"/>
      <c r="JH173" s="62"/>
      <c r="JI173" s="62"/>
      <c r="JJ173" s="62"/>
      <c r="JK173" s="62"/>
      <c r="JL173" s="62"/>
      <c r="JM173" s="62"/>
      <c r="JN173" s="62"/>
      <c r="JO173" s="62"/>
      <c r="JP173" s="62"/>
      <c r="JQ173" s="62"/>
      <c r="JR173" s="62"/>
      <c r="JS173" s="62"/>
      <c r="JT173" s="62"/>
      <c r="JU173" s="62"/>
      <c r="JV173" s="62"/>
      <c r="JW173" s="62"/>
      <c r="JX173" s="62"/>
      <c r="JY173" s="62"/>
      <c r="JZ173" s="62"/>
      <c r="KA173" s="62"/>
      <c r="KB173" s="62"/>
      <c r="KC173" s="62"/>
      <c r="KD173" s="62"/>
      <c r="KE173" s="62"/>
      <c r="KF173" s="62"/>
      <c r="KG173" s="62"/>
      <c r="KH173" s="62"/>
      <c r="KI173" s="62"/>
      <c r="KJ173" s="62"/>
      <c r="KK173" s="62"/>
      <c r="KL173" s="62"/>
      <c r="KM173" s="62"/>
      <c r="KN173" s="62"/>
      <c r="KO173" s="62"/>
      <c r="KP173" s="62"/>
      <c r="KQ173" s="62"/>
      <c r="KR173" s="62"/>
      <c r="KS173" s="62"/>
      <c r="KT173" s="62"/>
      <c r="KU173" s="62"/>
      <c r="KV173" s="62"/>
      <c r="KW173" s="62"/>
      <c r="KX173" s="62"/>
      <c r="KY173" s="62"/>
      <c r="KZ173" s="62"/>
      <c r="LA173" s="62"/>
      <c r="LB173" s="62"/>
      <c r="LC173" s="62"/>
      <c r="LD173" s="62"/>
      <c r="LE173" s="62"/>
      <c r="LF173" s="62"/>
      <c r="LG173" s="62"/>
      <c r="LH173" s="62"/>
      <c r="LI173" s="62"/>
    </row>
    <row r="174" spans="1:321" ht="45">
      <c r="D174" s="59">
        <v>4514</v>
      </c>
      <c r="E174" s="60" t="s">
        <v>472</v>
      </c>
      <c r="F174" s="67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9"/>
      <c r="R174" s="67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9"/>
      <c r="AD174" s="67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9"/>
      <c r="AP174" s="67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9"/>
      <c r="BB174" s="67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9"/>
      <c r="BN174" s="67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9"/>
      <c r="BZ174" s="67"/>
      <c r="CA174" s="68"/>
      <c r="CB174" s="68"/>
      <c r="CC174" s="68"/>
      <c r="CD174" s="68"/>
      <c r="CE174" s="68"/>
      <c r="CF174" s="68"/>
      <c r="CG174" s="68"/>
      <c r="CH174" s="68"/>
      <c r="CI174" s="68"/>
      <c r="CJ174" s="68"/>
      <c r="CK174" s="68"/>
      <c r="CL174" s="67">
        <v>0</v>
      </c>
      <c r="CM174" s="68">
        <v>0</v>
      </c>
      <c r="CN174" s="68">
        <v>0</v>
      </c>
      <c r="CO174" s="68">
        <v>0</v>
      </c>
      <c r="CP174" s="68">
        <v>0</v>
      </c>
      <c r="CQ174" s="68">
        <v>0</v>
      </c>
      <c r="CR174" s="68">
        <v>0</v>
      </c>
      <c r="CS174" s="68">
        <v>0</v>
      </c>
      <c r="CT174" s="68">
        <v>0</v>
      </c>
      <c r="CU174" s="68">
        <v>0</v>
      </c>
      <c r="CV174" s="68">
        <v>0</v>
      </c>
      <c r="CW174" s="69">
        <v>0</v>
      </c>
      <c r="CX174" s="67">
        <v>0</v>
      </c>
      <c r="CY174" s="68">
        <v>0</v>
      </c>
      <c r="CZ174" s="68">
        <v>0</v>
      </c>
      <c r="DA174" s="68">
        <v>0</v>
      </c>
      <c r="DB174" s="68">
        <v>0</v>
      </c>
      <c r="DC174" s="68">
        <v>0</v>
      </c>
      <c r="DD174" s="68">
        <v>0</v>
      </c>
      <c r="DE174" s="68">
        <v>0</v>
      </c>
      <c r="DF174" s="68">
        <v>0</v>
      </c>
      <c r="DG174" s="68">
        <v>0</v>
      </c>
      <c r="DH174" s="68">
        <v>0</v>
      </c>
      <c r="DI174" s="69">
        <v>0</v>
      </c>
      <c r="DJ174" s="67">
        <v>0</v>
      </c>
      <c r="DK174" s="68">
        <v>0</v>
      </c>
      <c r="DL174" s="68">
        <v>0</v>
      </c>
      <c r="DM174" s="68">
        <v>0</v>
      </c>
      <c r="DN174" s="68">
        <v>0</v>
      </c>
      <c r="DO174" s="68">
        <v>0</v>
      </c>
      <c r="DP174" s="68">
        <v>0</v>
      </c>
      <c r="DQ174" s="68">
        <v>0</v>
      </c>
      <c r="DR174" s="68">
        <v>0</v>
      </c>
      <c r="DS174" s="68">
        <v>0</v>
      </c>
      <c r="DT174" s="68">
        <v>0</v>
      </c>
      <c r="DU174" s="69">
        <v>0</v>
      </c>
      <c r="DV174" s="61">
        <v>0</v>
      </c>
      <c r="DW174" s="61">
        <v>0</v>
      </c>
      <c r="DX174" s="61">
        <v>0</v>
      </c>
      <c r="DY174" s="61">
        <v>0</v>
      </c>
      <c r="DZ174" s="79"/>
      <c r="EB174" s="79"/>
      <c r="EC174" s="79"/>
      <c r="ED174" s="79"/>
      <c r="EE174" s="79"/>
      <c r="EF174" s="79"/>
      <c r="EG174" s="79"/>
      <c r="EH174" s="62"/>
      <c r="EI174" s="62"/>
      <c r="EJ174" s="62"/>
      <c r="EK174" s="62"/>
      <c r="EL174" s="62"/>
      <c r="EM174" s="62"/>
      <c r="EN174" s="62"/>
      <c r="EO174" s="62"/>
      <c r="EP174" s="62"/>
      <c r="EQ174" s="62"/>
      <c r="ER174" s="62"/>
      <c r="ES174" s="62"/>
      <c r="ET174" s="62"/>
      <c r="EU174" s="62"/>
      <c r="EV174" s="62"/>
      <c r="EW174" s="62"/>
      <c r="EX174" s="62"/>
      <c r="EY174" s="62"/>
      <c r="EZ174" s="62"/>
      <c r="FA174" s="62"/>
      <c r="FB174" s="62"/>
      <c r="FC174" s="62"/>
      <c r="FD174" s="62"/>
      <c r="FE174" s="62"/>
      <c r="FF174" s="62"/>
      <c r="FG174" s="62"/>
      <c r="FH174" s="62"/>
      <c r="FI174" s="62"/>
      <c r="FJ174" s="62"/>
      <c r="FK174" s="62"/>
      <c r="FL174" s="62"/>
      <c r="FM174" s="62"/>
      <c r="FN174" s="62"/>
      <c r="FO174" s="62"/>
      <c r="FP174" s="62"/>
      <c r="FQ174" s="62"/>
      <c r="FR174" s="62"/>
      <c r="FS174" s="62"/>
      <c r="FT174" s="62"/>
      <c r="FU174" s="62"/>
      <c r="FV174" s="62"/>
      <c r="FW174" s="62"/>
      <c r="FX174" s="62"/>
      <c r="FY174" s="62"/>
      <c r="FZ174" s="62"/>
      <c r="GA174" s="62"/>
      <c r="GB174" s="62"/>
      <c r="GC174" s="62"/>
      <c r="GD174" s="62"/>
      <c r="GF174" s="62"/>
      <c r="GG174" s="62"/>
      <c r="GH174" s="62"/>
      <c r="GI174" s="62"/>
      <c r="GJ174" s="62"/>
      <c r="GK174" s="62"/>
      <c r="GL174" s="62"/>
      <c r="GM174" s="62"/>
      <c r="GN174" s="62"/>
      <c r="GO174" s="62"/>
      <c r="GP174" s="62"/>
      <c r="GQ174" s="62"/>
      <c r="GR174" s="62"/>
      <c r="GS174" s="62"/>
      <c r="GT174" s="62"/>
      <c r="GU174" s="62"/>
      <c r="GV174" s="62"/>
      <c r="GW174" s="62"/>
      <c r="GX174" s="62"/>
      <c r="GY174" s="62"/>
      <c r="GZ174" s="62"/>
      <c r="HA174" s="62"/>
      <c r="HB174" s="62"/>
      <c r="HC174" s="62"/>
      <c r="HD174" s="62"/>
      <c r="HE174" s="62"/>
      <c r="HF174" s="62"/>
      <c r="HG174" s="62"/>
      <c r="HH174" s="62"/>
      <c r="HI174" s="62"/>
      <c r="HJ174" s="62"/>
      <c r="HK174" s="62"/>
      <c r="HL174" s="62"/>
      <c r="HM174" s="62"/>
      <c r="HN174" s="62"/>
      <c r="HO174" s="62"/>
      <c r="HP174" s="62"/>
      <c r="HQ174" s="62"/>
      <c r="HR174" s="62"/>
      <c r="HS174" s="62"/>
      <c r="HT174" s="62"/>
      <c r="HU174" s="62"/>
      <c r="HV174" s="62"/>
      <c r="HW174" s="62"/>
      <c r="HX174" s="62"/>
      <c r="HY174" s="62"/>
      <c r="HZ174" s="62"/>
      <c r="IA174" s="62"/>
      <c r="IB174" s="62"/>
      <c r="IC174" s="62"/>
      <c r="ID174" s="62"/>
      <c r="IE174" s="62"/>
      <c r="IF174" s="62"/>
      <c r="IG174" s="62"/>
      <c r="IH174" s="62"/>
      <c r="II174" s="62"/>
      <c r="IJ174" s="62"/>
      <c r="IK174" s="62"/>
      <c r="IL174" s="62"/>
      <c r="IM174" s="62"/>
      <c r="IN174" s="62"/>
      <c r="IO174" s="62"/>
      <c r="IP174" s="62"/>
      <c r="IQ174" s="62"/>
      <c r="IR174" s="62"/>
      <c r="IS174" s="62"/>
      <c r="IT174" s="62"/>
      <c r="IU174" s="62"/>
      <c r="IV174" s="62"/>
      <c r="IW174" s="62"/>
      <c r="IX174" s="62"/>
      <c r="IY174" s="62"/>
      <c r="IZ174" s="62"/>
      <c r="JA174" s="62"/>
      <c r="JB174" s="62"/>
      <c r="JC174" s="62"/>
      <c r="JD174" s="62"/>
      <c r="JE174" s="62"/>
      <c r="JF174" s="62"/>
      <c r="JG174" s="62"/>
      <c r="JH174" s="62"/>
      <c r="JI174" s="62"/>
      <c r="JJ174" s="62"/>
      <c r="JK174" s="62"/>
      <c r="JL174" s="62"/>
      <c r="JM174" s="62"/>
      <c r="JN174" s="62"/>
      <c r="JO174" s="62"/>
      <c r="JP174" s="62"/>
      <c r="JQ174" s="62"/>
      <c r="JR174" s="62"/>
      <c r="JS174" s="62"/>
      <c r="JT174" s="62"/>
      <c r="JU174" s="62"/>
      <c r="JV174" s="62"/>
      <c r="JW174" s="62"/>
      <c r="JX174" s="62"/>
      <c r="JY174" s="62"/>
      <c r="JZ174" s="62"/>
      <c r="KA174" s="62"/>
      <c r="KB174" s="62"/>
      <c r="KC174" s="62"/>
      <c r="KD174" s="62"/>
      <c r="KE174" s="62"/>
      <c r="KF174" s="62"/>
      <c r="KG174" s="62"/>
      <c r="KH174" s="62"/>
      <c r="KI174" s="62"/>
      <c r="KJ174" s="62"/>
      <c r="KK174" s="62"/>
      <c r="KL174" s="62"/>
      <c r="KM174" s="62"/>
      <c r="KN174" s="62"/>
      <c r="KO174" s="62"/>
      <c r="KP174" s="62"/>
      <c r="KQ174" s="62"/>
      <c r="KR174" s="62"/>
      <c r="KS174" s="62"/>
      <c r="KT174" s="62"/>
      <c r="KU174" s="62"/>
      <c r="KV174" s="62"/>
      <c r="KW174" s="62"/>
      <c r="KX174" s="62"/>
      <c r="KY174" s="62"/>
      <c r="KZ174" s="62"/>
      <c r="LA174" s="62"/>
      <c r="LB174" s="62"/>
      <c r="LC174" s="62"/>
      <c r="LD174" s="62"/>
      <c r="LE174" s="62"/>
      <c r="LF174" s="62"/>
      <c r="LG174" s="62"/>
      <c r="LH174" s="62"/>
      <c r="LI174" s="62"/>
    </row>
    <row r="175" spans="1:321">
      <c r="D175" s="59">
        <v>4515</v>
      </c>
      <c r="E175" s="60" t="s">
        <v>473</v>
      </c>
      <c r="F175" s="67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9"/>
      <c r="R175" s="67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9"/>
      <c r="AD175" s="67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9"/>
      <c r="AP175" s="67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9"/>
      <c r="BB175" s="67"/>
      <c r="BC175" s="68"/>
      <c r="BD175" s="68"/>
      <c r="BE175" s="68"/>
      <c r="BF175" s="68"/>
      <c r="BG175" s="68"/>
      <c r="BH175" s="68"/>
      <c r="BI175" s="68"/>
      <c r="BJ175" s="68"/>
      <c r="BK175" s="68"/>
      <c r="BL175" s="68"/>
      <c r="BM175" s="69"/>
      <c r="BN175" s="67"/>
      <c r="BO175" s="68"/>
      <c r="BP175" s="68"/>
      <c r="BQ175" s="68"/>
      <c r="BR175" s="68"/>
      <c r="BS175" s="68"/>
      <c r="BT175" s="68"/>
      <c r="BU175" s="68"/>
      <c r="BV175" s="68"/>
      <c r="BW175" s="68"/>
      <c r="BX175" s="68"/>
      <c r="BY175" s="69"/>
      <c r="BZ175" s="67"/>
      <c r="CA175" s="68"/>
      <c r="CB175" s="68"/>
      <c r="CC175" s="68"/>
      <c r="CD175" s="68"/>
      <c r="CE175" s="68"/>
      <c r="CF175" s="68"/>
      <c r="CG175" s="68"/>
      <c r="CH175" s="68"/>
      <c r="CI175" s="68"/>
      <c r="CJ175" s="68"/>
      <c r="CK175" s="68"/>
      <c r="CL175" s="67">
        <v>5000</v>
      </c>
      <c r="CM175" s="68">
        <v>57001.11</v>
      </c>
      <c r="CN175" s="68">
        <v>67666.66</v>
      </c>
      <c r="CO175" s="68">
        <v>220833.34</v>
      </c>
      <c r="CP175" s="68">
        <v>60000</v>
      </c>
      <c r="CQ175" s="68">
        <v>5000</v>
      </c>
      <c r="CR175" s="68">
        <v>27500</v>
      </c>
      <c r="CS175" s="68">
        <v>40000</v>
      </c>
      <c r="CT175" s="68">
        <v>15000</v>
      </c>
      <c r="CU175" s="68">
        <v>257284.19</v>
      </c>
      <c r="CV175" s="68">
        <v>69000</v>
      </c>
      <c r="CW175" s="69">
        <v>528496.68000000005</v>
      </c>
      <c r="CX175" s="67">
        <v>41666.67</v>
      </c>
      <c r="CY175" s="68">
        <v>208001.12</v>
      </c>
      <c r="CZ175" s="68">
        <v>0</v>
      </c>
      <c r="DA175" s="68">
        <v>0</v>
      </c>
      <c r="DB175" s="68">
        <v>0</v>
      </c>
      <c r="DC175" s="68">
        <v>126666.67</v>
      </c>
      <c r="DD175" s="68">
        <v>16000</v>
      </c>
      <c r="DE175" s="68">
        <v>15000</v>
      </c>
      <c r="DF175" s="68">
        <v>220500</v>
      </c>
      <c r="DG175" s="68">
        <v>5000</v>
      </c>
      <c r="DH175" s="68">
        <v>105666.66</v>
      </c>
      <c r="DI175" s="69">
        <v>313244.65000000002</v>
      </c>
      <c r="DJ175" s="67">
        <v>13003.12</v>
      </c>
      <c r="DK175" s="68">
        <v>14000</v>
      </c>
      <c r="DL175" s="68">
        <v>0</v>
      </c>
      <c r="DM175" s="68">
        <v>0</v>
      </c>
      <c r="DN175" s="68">
        <v>0</v>
      </c>
      <c r="DO175" s="68">
        <v>10500</v>
      </c>
      <c r="DP175" s="68">
        <v>163833.34</v>
      </c>
      <c r="DQ175" s="68">
        <v>161666.67000000001</v>
      </c>
      <c r="DR175" s="68">
        <v>0</v>
      </c>
      <c r="DS175" s="68">
        <v>331666.67</v>
      </c>
      <c r="DT175" s="68">
        <v>432566.32</v>
      </c>
      <c r="DU175" s="69">
        <v>410000</v>
      </c>
      <c r="DV175" s="61">
        <v>138166.67000000001</v>
      </c>
      <c r="DW175" s="61">
        <v>0</v>
      </c>
      <c r="DX175" s="61">
        <v>160000</v>
      </c>
      <c r="DY175" s="61">
        <v>118000</v>
      </c>
      <c r="DZ175" s="79">
        <v>10000</v>
      </c>
      <c r="EB175" s="79"/>
      <c r="EC175" s="79"/>
      <c r="ED175" s="79"/>
      <c r="EE175" s="79"/>
      <c r="EF175" s="79"/>
      <c r="EG175" s="79"/>
      <c r="EH175" s="62"/>
      <c r="EI175" s="62"/>
      <c r="EJ175" s="62"/>
      <c r="EK175" s="62"/>
      <c r="EL175" s="62"/>
      <c r="EM175" s="62"/>
      <c r="EN175" s="62"/>
      <c r="EO175" s="62"/>
      <c r="EP175" s="62"/>
      <c r="EQ175" s="62"/>
      <c r="ER175" s="62"/>
      <c r="ES175" s="62"/>
      <c r="ET175" s="62"/>
      <c r="EU175" s="62"/>
      <c r="EV175" s="62"/>
      <c r="EW175" s="62"/>
      <c r="EX175" s="62"/>
      <c r="EY175" s="62"/>
      <c r="EZ175" s="62"/>
      <c r="FA175" s="62"/>
      <c r="FB175" s="62"/>
      <c r="FC175" s="62"/>
      <c r="FD175" s="62"/>
      <c r="FE175" s="62"/>
      <c r="FF175" s="62"/>
      <c r="FG175" s="62"/>
      <c r="FH175" s="62"/>
      <c r="FI175" s="62"/>
      <c r="FJ175" s="62"/>
      <c r="FK175" s="62">
        <v>80000</v>
      </c>
      <c r="FL175" s="62"/>
      <c r="FM175" s="62"/>
      <c r="FN175" s="62"/>
      <c r="FO175" s="62"/>
      <c r="FP175" s="62"/>
      <c r="FQ175" s="62"/>
      <c r="FR175" s="62"/>
      <c r="FS175" s="62"/>
      <c r="FT175" s="62"/>
      <c r="FU175" s="62"/>
      <c r="FV175" s="62"/>
      <c r="FW175" s="62"/>
      <c r="FX175" s="62"/>
      <c r="FY175" s="62"/>
      <c r="FZ175" s="62"/>
      <c r="GA175" s="62"/>
      <c r="GB175" s="62"/>
      <c r="GC175" s="62"/>
      <c r="GD175" s="62"/>
      <c r="GF175" s="62"/>
      <c r="GG175" s="62"/>
      <c r="GH175" s="62"/>
      <c r="GI175" s="62"/>
      <c r="GJ175" s="62"/>
      <c r="GK175" s="62"/>
      <c r="GL175" s="62"/>
      <c r="GM175" s="62"/>
      <c r="GN175" s="62"/>
      <c r="GO175" s="62"/>
      <c r="GP175" s="62"/>
      <c r="GQ175" s="62"/>
      <c r="GR175" s="62"/>
      <c r="GS175" s="62"/>
      <c r="GT175" s="62"/>
      <c r="GU175" s="62"/>
      <c r="GV175" s="62"/>
      <c r="GW175" s="62"/>
      <c r="GX175" s="62"/>
      <c r="GY175" s="62"/>
      <c r="GZ175" s="62"/>
      <c r="HA175" s="62"/>
      <c r="HB175" s="62"/>
      <c r="HC175" s="62"/>
      <c r="HD175" s="62"/>
      <c r="HE175" s="62"/>
      <c r="HF175" s="62"/>
      <c r="HG175" s="62"/>
      <c r="HH175" s="62"/>
      <c r="HI175" s="62"/>
      <c r="HJ175" s="62"/>
      <c r="HK175" s="62"/>
      <c r="HL175" s="62"/>
      <c r="HM175" s="62"/>
      <c r="HN175" s="62"/>
      <c r="HO175" s="62"/>
      <c r="HP175" s="62"/>
      <c r="HQ175" s="62"/>
      <c r="HR175" s="62"/>
      <c r="HS175" s="62"/>
      <c r="HT175" s="62"/>
      <c r="HU175" s="62"/>
      <c r="HV175" s="62"/>
      <c r="HW175" s="62"/>
      <c r="HX175" s="62"/>
      <c r="HY175" s="62"/>
      <c r="HZ175" s="62"/>
      <c r="IA175" s="62"/>
      <c r="IB175" s="62"/>
      <c r="IC175" s="62"/>
      <c r="ID175" s="62"/>
      <c r="IE175" s="62"/>
      <c r="IF175" s="62"/>
      <c r="IG175" s="62"/>
      <c r="IH175" s="62"/>
      <c r="II175" s="62"/>
      <c r="IJ175" s="62"/>
      <c r="IK175" s="62"/>
      <c r="IL175" s="62"/>
      <c r="IM175" s="62"/>
      <c r="IN175" s="62"/>
      <c r="IO175" s="62"/>
      <c r="IP175" s="62"/>
      <c r="IQ175" s="62"/>
      <c r="IR175" s="62"/>
      <c r="IS175" s="62"/>
      <c r="IT175" s="62"/>
      <c r="IU175" s="62"/>
      <c r="IV175" s="62"/>
      <c r="IW175" s="62"/>
      <c r="IX175" s="62"/>
      <c r="IY175" s="62"/>
      <c r="IZ175" s="62"/>
      <c r="JA175" s="62"/>
      <c r="JB175" s="62"/>
      <c r="JC175" s="62"/>
      <c r="JD175" s="62"/>
      <c r="JE175" s="62"/>
      <c r="JF175" s="62"/>
      <c r="JG175" s="62"/>
      <c r="JH175" s="62"/>
      <c r="JI175" s="62"/>
      <c r="JJ175" s="62"/>
      <c r="JK175" s="62"/>
      <c r="JL175" s="62"/>
      <c r="JM175" s="62"/>
      <c r="JN175" s="62"/>
      <c r="JO175" s="62"/>
      <c r="JP175" s="62"/>
      <c r="JQ175" s="62"/>
      <c r="JR175" s="62"/>
      <c r="JS175" s="62"/>
      <c r="JT175" s="62"/>
      <c r="JU175" s="62"/>
      <c r="JV175" s="62"/>
      <c r="JW175" s="62"/>
      <c r="JX175" s="62"/>
      <c r="JY175" s="62"/>
      <c r="JZ175" s="62"/>
      <c r="KA175" s="62"/>
      <c r="KB175" s="62"/>
      <c r="KC175" s="62"/>
      <c r="KD175" s="62"/>
      <c r="KE175" s="62"/>
      <c r="KF175" s="62"/>
      <c r="KG175" s="62"/>
      <c r="KH175" s="62"/>
      <c r="KI175" s="62"/>
      <c r="KJ175" s="62"/>
      <c r="KK175" s="62"/>
      <c r="KL175" s="62"/>
      <c r="KM175" s="62"/>
      <c r="KN175" s="62"/>
      <c r="KO175" s="62"/>
      <c r="KP175" s="62"/>
      <c r="KQ175" s="62"/>
      <c r="KR175" s="62"/>
      <c r="KS175" s="62"/>
      <c r="KT175" s="62"/>
      <c r="KU175" s="62"/>
      <c r="KV175" s="62"/>
      <c r="KW175" s="62"/>
      <c r="KX175" s="62"/>
      <c r="KY175" s="62"/>
      <c r="KZ175" s="62"/>
      <c r="LA175" s="62"/>
      <c r="LB175" s="62"/>
      <c r="LC175" s="62"/>
      <c r="LD175" s="62"/>
      <c r="LE175" s="62"/>
      <c r="LF175" s="62"/>
      <c r="LG175" s="62"/>
      <c r="LH175" s="62"/>
      <c r="LI175" s="62"/>
    </row>
    <row r="176" spans="1:321">
      <c r="A176" s="59" t="s">
        <v>6</v>
      </c>
      <c r="B176" s="59">
        <v>46</v>
      </c>
      <c r="E176" s="60" t="s">
        <v>170</v>
      </c>
      <c r="F176" s="67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9"/>
      <c r="R176" s="67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9"/>
      <c r="AD176" s="67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9"/>
      <c r="AP176" s="67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9"/>
      <c r="BB176" s="67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9"/>
      <c r="BN176" s="67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9"/>
      <c r="BZ176" s="67"/>
      <c r="CA176" s="68"/>
      <c r="CB176" s="68"/>
      <c r="CC176" s="68"/>
      <c r="CD176" s="68"/>
      <c r="CE176" s="68"/>
      <c r="CF176" s="68"/>
      <c r="CG176" s="68"/>
      <c r="CH176" s="68"/>
      <c r="CI176" s="68"/>
      <c r="CJ176" s="68"/>
      <c r="CK176" s="68"/>
      <c r="CL176" s="67">
        <v>13535535.23</v>
      </c>
      <c r="CM176" s="68">
        <v>1235188.6599999999</v>
      </c>
      <c r="CN176" s="68">
        <v>5069298.58</v>
      </c>
      <c r="CO176" s="68">
        <v>5426716.3899999997</v>
      </c>
      <c r="CP176" s="68">
        <v>4462597.4000000004</v>
      </c>
      <c r="CQ176" s="68">
        <v>12284472.710000001</v>
      </c>
      <c r="CR176" s="68">
        <v>19258533.780000001</v>
      </c>
      <c r="CS176" s="68">
        <v>10735160.85</v>
      </c>
      <c r="CT176" s="68">
        <v>19194056.120000001</v>
      </c>
      <c r="CU176" s="68">
        <v>11227719.77</v>
      </c>
      <c r="CV176" s="68">
        <v>7409763.3200000003</v>
      </c>
      <c r="CW176" s="69">
        <v>64186408.939999998</v>
      </c>
      <c r="CX176" s="67">
        <v>2995587.76</v>
      </c>
      <c r="CY176" s="68">
        <v>3336299.88</v>
      </c>
      <c r="CZ176" s="68">
        <v>7984326.1299999999</v>
      </c>
      <c r="DA176" s="68">
        <v>37331422</v>
      </c>
      <c r="DB176" s="68">
        <v>9651336.8699999992</v>
      </c>
      <c r="DC176" s="68">
        <v>51081075.509999998</v>
      </c>
      <c r="DD176" s="68">
        <v>31417546.140000001</v>
      </c>
      <c r="DE176" s="68">
        <v>4545826.76</v>
      </c>
      <c r="DF176" s="68">
        <v>14570015.65</v>
      </c>
      <c r="DG176" s="68">
        <v>10152744.359999999</v>
      </c>
      <c r="DH176" s="68">
        <v>5468562.75</v>
      </c>
      <c r="DI176" s="69">
        <v>31216208.469999999</v>
      </c>
      <c r="DJ176" s="67">
        <v>30743987.649999999</v>
      </c>
      <c r="DK176" s="68">
        <v>41933056.25</v>
      </c>
      <c r="DL176" s="68">
        <v>60545576.710000001</v>
      </c>
      <c r="DM176" s="68">
        <v>39716380.310000002</v>
      </c>
      <c r="DN176" s="68">
        <v>5165036.2</v>
      </c>
      <c r="DO176" s="68">
        <v>34898791.960000001</v>
      </c>
      <c r="DP176" s="68">
        <v>65561192.200000003</v>
      </c>
      <c r="DQ176" s="68">
        <v>41358707.579999998</v>
      </c>
      <c r="DR176" s="68">
        <v>179757421.46000001</v>
      </c>
      <c r="DS176" s="68">
        <v>5631090.1799999997</v>
      </c>
      <c r="DT176" s="68">
        <v>5375527.7300000004</v>
      </c>
      <c r="DU176" s="69">
        <v>31056200.530000001</v>
      </c>
      <c r="DV176" s="61">
        <v>16619750.74</v>
      </c>
      <c r="DW176" s="61">
        <v>1379235.09</v>
      </c>
      <c r="DX176" s="61">
        <v>23229015.260000002</v>
      </c>
      <c r="DY176" s="61">
        <v>8252837.79</v>
      </c>
      <c r="DZ176" s="79"/>
      <c r="EB176" s="79"/>
      <c r="EC176" s="84">
        <v>30149651.920000002</v>
      </c>
      <c r="ED176" s="79"/>
      <c r="EE176" s="79"/>
      <c r="EF176" s="79"/>
      <c r="EG176" s="79"/>
      <c r="EH176" s="62"/>
      <c r="EI176" s="62"/>
      <c r="EJ176" s="62"/>
      <c r="EK176" s="62"/>
      <c r="EL176" s="62"/>
      <c r="EM176" s="62"/>
      <c r="EN176" s="62"/>
      <c r="EO176" s="62"/>
      <c r="EP176" s="62"/>
      <c r="EQ176" s="62"/>
      <c r="ER176" s="62"/>
      <c r="ES176" s="62"/>
      <c r="ET176" s="62">
        <v>27871672.789999999</v>
      </c>
      <c r="EU176" s="62">
        <v>56704926.840000004</v>
      </c>
      <c r="EV176" s="62">
        <v>21093802.77</v>
      </c>
      <c r="EW176" s="62">
        <v>22441147.859999999</v>
      </c>
      <c r="EX176" s="62">
        <v>16011539.029999999</v>
      </c>
      <c r="EY176" s="62"/>
      <c r="EZ176" s="62"/>
      <c r="FA176" s="62">
        <v>40542466.609999999</v>
      </c>
      <c r="FB176" s="62"/>
      <c r="FC176" s="62"/>
      <c r="FD176" s="62"/>
      <c r="FE176" s="62"/>
      <c r="FF176" s="62"/>
      <c r="FG176" s="62"/>
      <c r="FH176" s="62"/>
      <c r="FI176" s="62"/>
      <c r="FJ176" s="62"/>
      <c r="FK176" s="62"/>
      <c r="FL176" s="62"/>
      <c r="FM176" s="62"/>
      <c r="FN176" s="62"/>
      <c r="FO176" s="62"/>
      <c r="FP176" s="62"/>
      <c r="FQ176" s="62"/>
      <c r="FR176" s="62"/>
      <c r="FS176" s="62"/>
      <c r="FT176" s="62"/>
      <c r="FU176" s="62"/>
      <c r="FV176" s="62"/>
      <c r="FW176" s="62"/>
      <c r="FX176" s="62"/>
      <c r="FY176" s="62"/>
      <c r="FZ176" s="62"/>
      <c r="GA176" s="62"/>
      <c r="GB176" s="62"/>
      <c r="GC176" s="62"/>
      <c r="GD176" s="62"/>
      <c r="GF176" s="62"/>
      <c r="GG176" s="62"/>
      <c r="GH176" s="62"/>
      <c r="GI176" s="62"/>
      <c r="GJ176" s="62"/>
      <c r="GK176" s="62"/>
      <c r="GL176" s="62"/>
      <c r="GM176" s="62"/>
      <c r="GN176" s="62"/>
      <c r="GO176" s="62"/>
      <c r="GP176" s="62"/>
      <c r="GQ176" s="62"/>
      <c r="GR176" s="62"/>
      <c r="GS176" s="62"/>
      <c r="GT176" s="62"/>
      <c r="GU176" s="62"/>
      <c r="GV176" s="62"/>
      <c r="GW176" s="62"/>
      <c r="GX176" s="62"/>
      <c r="GY176" s="62"/>
      <c r="GZ176" s="62"/>
      <c r="HA176" s="62"/>
      <c r="HB176" s="62"/>
      <c r="HC176" s="62"/>
      <c r="HD176" s="62"/>
      <c r="HE176" s="62"/>
      <c r="HF176" s="62"/>
      <c r="HG176" s="62"/>
      <c r="HH176" s="62"/>
      <c r="HI176" s="62"/>
      <c r="HJ176" s="62"/>
      <c r="HK176" s="62"/>
      <c r="HL176" s="62"/>
      <c r="HM176" s="62"/>
      <c r="HN176" s="62"/>
      <c r="HO176" s="62"/>
      <c r="HP176" s="62"/>
      <c r="HQ176" s="62"/>
      <c r="HR176" s="62"/>
      <c r="HS176" s="62"/>
      <c r="HT176" s="62"/>
      <c r="HU176" s="62"/>
      <c r="HV176" s="62"/>
      <c r="HW176" s="62"/>
      <c r="HX176" s="62"/>
      <c r="HY176" s="62"/>
      <c r="HZ176" s="62"/>
      <c r="IA176" s="62"/>
      <c r="IB176" s="62"/>
      <c r="IC176" s="62"/>
      <c r="ID176" s="62"/>
      <c r="IE176" s="62"/>
      <c r="IF176" s="62"/>
      <c r="IG176" s="62"/>
      <c r="IH176" s="62"/>
      <c r="II176" s="62"/>
      <c r="IJ176" s="62"/>
      <c r="IK176" s="62"/>
      <c r="IL176" s="62"/>
      <c r="IM176" s="62"/>
      <c r="IN176" s="62"/>
      <c r="IO176" s="62"/>
      <c r="IP176" s="62"/>
      <c r="IQ176" s="62"/>
      <c r="IR176" s="62"/>
      <c r="IS176" s="62"/>
      <c r="IT176" s="62"/>
      <c r="IU176" s="62"/>
      <c r="IV176" s="62"/>
      <c r="IW176" s="62"/>
      <c r="IX176" s="62"/>
      <c r="IY176" s="62"/>
      <c r="IZ176" s="62"/>
      <c r="JA176" s="62"/>
      <c r="JB176" s="62"/>
      <c r="JC176" s="62"/>
      <c r="JD176" s="62"/>
      <c r="JE176" s="62"/>
      <c r="JF176" s="62"/>
      <c r="JG176" s="62"/>
      <c r="JH176" s="62"/>
      <c r="JI176" s="62"/>
      <c r="JJ176" s="62"/>
      <c r="JK176" s="62"/>
      <c r="JL176" s="62"/>
      <c r="JM176" s="62"/>
      <c r="JN176" s="62"/>
      <c r="JO176" s="62"/>
      <c r="JP176" s="62"/>
      <c r="JQ176" s="62"/>
      <c r="JR176" s="62"/>
      <c r="JS176" s="62"/>
      <c r="JT176" s="62"/>
      <c r="JU176" s="62"/>
      <c r="JV176" s="62"/>
      <c r="JW176" s="62"/>
      <c r="JX176" s="62"/>
      <c r="JY176" s="62"/>
      <c r="JZ176" s="62"/>
      <c r="KA176" s="62"/>
      <c r="KB176" s="62"/>
      <c r="KC176" s="62"/>
      <c r="KD176" s="62"/>
      <c r="KE176" s="62"/>
      <c r="KF176" s="62"/>
      <c r="KG176" s="62"/>
      <c r="KH176" s="62"/>
      <c r="KI176" s="62"/>
      <c r="KJ176" s="62"/>
      <c r="KK176" s="62"/>
      <c r="KL176" s="62"/>
      <c r="KM176" s="62"/>
      <c r="KN176" s="62"/>
      <c r="KO176" s="62"/>
      <c r="KP176" s="62"/>
      <c r="KQ176" s="62"/>
      <c r="KR176" s="62"/>
      <c r="KS176" s="62"/>
      <c r="KT176" s="62"/>
      <c r="KU176" s="62"/>
      <c r="KV176" s="62"/>
      <c r="KW176" s="62"/>
      <c r="KX176" s="62"/>
      <c r="KY176" s="62"/>
      <c r="KZ176" s="62"/>
      <c r="LA176" s="62"/>
      <c r="LB176" s="62"/>
      <c r="LC176" s="62"/>
      <c r="LD176" s="62"/>
      <c r="LE176" s="62"/>
      <c r="LF176" s="62"/>
      <c r="LG176" s="62"/>
      <c r="LH176" s="62"/>
      <c r="LI176" s="62"/>
    </row>
    <row r="177" spans="1:321">
      <c r="C177" s="59">
        <v>461</v>
      </c>
      <c r="D177" s="59">
        <v>461</v>
      </c>
      <c r="E177" s="60" t="s">
        <v>474</v>
      </c>
      <c r="F177" s="67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9"/>
      <c r="R177" s="67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9"/>
      <c r="AD177" s="67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9"/>
      <c r="AP177" s="67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9"/>
      <c r="BB177" s="67"/>
      <c r="BC177" s="68"/>
      <c r="BD177" s="68"/>
      <c r="BE177" s="68"/>
      <c r="BF177" s="68"/>
      <c r="BG177" s="68"/>
      <c r="BH177" s="68"/>
      <c r="BI177" s="68"/>
      <c r="BJ177" s="68"/>
      <c r="BK177" s="68"/>
      <c r="BL177" s="68"/>
      <c r="BM177" s="69"/>
      <c r="BN177" s="67"/>
      <c r="BO177" s="68"/>
      <c r="BP177" s="68"/>
      <c r="BQ177" s="68"/>
      <c r="BR177" s="68"/>
      <c r="BS177" s="68"/>
      <c r="BT177" s="68"/>
      <c r="BU177" s="68"/>
      <c r="BV177" s="68"/>
      <c r="BW177" s="68"/>
      <c r="BX177" s="68"/>
      <c r="BY177" s="69"/>
      <c r="BZ177" s="67"/>
      <c r="CA177" s="68"/>
      <c r="CB177" s="68"/>
      <c r="CC177" s="68"/>
      <c r="CD177" s="68"/>
      <c r="CE177" s="68"/>
      <c r="CF177" s="68"/>
      <c r="CG177" s="68"/>
      <c r="CH177" s="68"/>
      <c r="CI177" s="68"/>
      <c r="CJ177" s="68"/>
      <c r="CK177" s="68"/>
      <c r="CL177" s="67">
        <v>13535535.23</v>
      </c>
      <c r="CM177" s="68">
        <v>1235188.6599999999</v>
      </c>
      <c r="CN177" s="68">
        <v>5069298.58</v>
      </c>
      <c r="CO177" s="68">
        <v>5426716.3899999997</v>
      </c>
      <c r="CP177" s="68">
        <v>4462597.4000000004</v>
      </c>
      <c r="CQ177" s="68">
        <v>12284472.710000001</v>
      </c>
      <c r="CR177" s="68">
        <v>19258533.780000001</v>
      </c>
      <c r="CS177" s="68">
        <v>10735160.85</v>
      </c>
      <c r="CT177" s="68">
        <v>19194056.120000001</v>
      </c>
      <c r="CU177" s="68">
        <v>11227719.77</v>
      </c>
      <c r="CV177" s="68">
        <v>7409763.3200000003</v>
      </c>
      <c r="CW177" s="69">
        <v>64186408.939999998</v>
      </c>
      <c r="CX177" s="67">
        <v>3364477.11</v>
      </c>
      <c r="CY177" s="68">
        <v>45654816.32</v>
      </c>
      <c r="CZ177" s="68">
        <v>22205420.34</v>
      </c>
      <c r="DA177" s="68">
        <v>49258983</v>
      </c>
      <c r="DB177" s="68">
        <v>94499075.870000005</v>
      </c>
      <c r="DC177" s="68">
        <v>51081075.509999998</v>
      </c>
      <c r="DD177" s="68">
        <v>44974508.479999997</v>
      </c>
      <c r="DE177" s="68">
        <v>44341927.229999997</v>
      </c>
      <c r="DF177" s="68">
        <v>30493617.170000002</v>
      </c>
      <c r="DG177" s="68">
        <v>12243195.890000001</v>
      </c>
      <c r="DH177" s="68">
        <v>5841018.7400000002</v>
      </c>
      <c r="DI177" s="69">
        <v>30843752.48</v>
      </c>
      <c r="DJ177" s="67">
        <v>30743987.649999999</v>
      </c>
      <c r="DK177" s="68">
        <v>41933056.25</v>
      </c>
      <c r="DL177" s="68">
        <v>60545576.710000001</v>
      </c>
      <c r="DM177" s="68">
        <v>39716380.310000002</v>
      </c>
      <c r="DN177" s="68">
        <v>5165036.2</v>
      </c>
      <c r="DO177" s="68">
        <v>34898791.960000001</v>
      </c>
      <c r="DP177" s="68">
        <v>65561192.200000003</v>
      </c>
      <c r="DQ177" s="68">
        <v>41358707.579999998</v>
      </c>
      <c r="DR177" s="68">
        <v>179757421.46000001</v>
      </c>
      <c r="DS177" s="68">
        <v>5631090.1799999997</v>
      </c>
      <c r="DT177" s="68">
        <v>5375527.7300000004</v>
      </c>
      <c r="DU177" s="69">
        <v>31056200.530000001</v>
      </c>
      <c r="DV177" s="61">
        <v>16619750.74</v>
      </c>
      <c r="DW177" s="61">
        <v>1379235.09</v>
      </c>
      <c r="DX177" s="61">
        <v>23229015.260000002</v>
      </c>
      <c r="DY177" s="61">
        <v>8252837.79</v>
      </c>
      <c r="DZ177" s="79"/>
      <c r="EB177" s="79"/>
      <c r="EC177" s="84">
        <v>26917709.039999999</v>
      </c>
      <c r="ED177" s="79"/>
      <c r="EE177" s="79"/>
      <c r="EF177" s="79"/>
      <c r="EG177" s="79"/>
      <c r="ET177" s="62">
        <v>26200164.98</v>
      </c>
      <c r="EU177" s="62">
        <v>54488971.759999998</v>
      </c>
      <c r="EV177" s="62">
        <v>19066024.489999998</v>
      </c>
      <c r="EW177" s="62">
        <v>19981471.989999998</v>
      </c>
      <c r="EX177" s="62">
        <v>14760695.76</v>
      </c>
      <c r="EY177" s="62"/>
      <c r="EZ177" s="62"/>
      <c r="FA177" s="62">
        <v>39580105.140000001</v>
      </c>
      <c r="FB177" s="62"/>
      <c r="FC177" s="62"/>
      <c r="FD177" s="62"/>
      <c r="FE177" s="62"/>
      <c r="FF177" s="62"/>
      <c r="FG177" s="62"/>
      <c r="FH177" s="62"/>
      <c r="FI177" s="62"/>
      <c r="FJ177" s="62"/>
      <c r="FK177" s="62"/>
      <c r="FL177" s="62"/>
      <c r="FM177" s="62"/>
      <c r="FN177" s="62"/>
      <c r="FO177" s="62"/>
      <c r="FP177" s="62"/>
      <c r="FQ177" s="62"/>
      <c r="FR177" s="62"/>
      <c r="FS177" s="62"/>
      <c r="FT177" s="62"/>
      <c r="FU177" s="62"/>
      <c r="FV177" s="62"/>
      <c r="FW177" s="62"/>
      <c r="FX177" s="62"/>
      <c r="FY177" s="62"/>
      <c r="FZ177" s="62"/>
      <c r="GA177" s="62"/>
      <c r="GB177" s="62"/>
      <c r="GC177" s="62"/>
      <c r="GD177" s="62"/>
      <c r="GF177" s="62"/>
      <c r="GG177" s="62"/>
      <c r="GH177" s="62"/>
      <c r="GI177" s="62"/>
      <c r="GJ177" s="62"/>
      <c r="GK177" s="62"/>
      <c r="GL177" s="62"/>
      <c r="GM177" s="62"/>
      <c r="GN177" s="62"/>
      <c r="GO177" s="62"/>
      <c r="GP177" s="62"/>
      <c r="GQ177" s="62"/>
      <c r="GR177" s="62"/>
      <c r="GS177" s="62"/>
      <c r="GT177" s="62"/>
      <c r="GU177" s="62"/>
      <c r="GV177" s="62"/>
      <c r="GW177" s="62"/>
      <c r="GX177" s="62"/>
      <c r="GY177" s="62"/>
      <c r="GZ177" s="62"/>
      <c r="HA177" s="62"/>
      <c r="HB177" s="62"/>
      <c r="HC177" s="62"/>
      <c r="HD177" s="62"/>
      <c r="HE177" s="62"/>
      <c r="HF177" s="62"/>
      <c r="HG177" s="62"/>
      <c r="HH177" s="62"/>
      <c r="HI177" s="62"/>
      <c r="HJ177" s="62"/>
      <c r="HK177" s="62"/>
      <c r="HL177" s="62"/>
      <c r="HM177" s="62"/>
      <c r="HN177" s="62"/>
      <c r="HO177" s="62"/>
      <c r="HP177" s="62"/>
      <c r="HQ177" s="62"/>
      <c r="HR177" s="62"/>
      <c r="HS177" s="62"/>
      <c r="HT177" s="62"/>
      <c r="HU177" s="62"/>
      <c r="HV177" s="62"/>
      <c r="HW177" s="62"/>
      <c r="HX177" s="62"/>
      <c r="HY177" s="62"/>
      <c r="HZ177" s="62"/>
      <c r="IA177" s="62"/>
      <c r="IB177" s="62"/>
      <c r="IC177" s="62"/>
      <c r="ID177" s="62"/>
      <c r="IE177" s="62"/>
      <c r="IF177" s="62"/>
      <c r="IG177" s="62"/>
      <c r="IH177" s="62"/>
      <c r="II177" s="62"/>
      <c r="IJ177" s="62"/>
      <c r="IK177" s="62"/>
      <c r="IL177" s="62"/>
      <c r="IM177" s="62"/>
      <c r="IN177" s="62"/>
      <c r="IO177" s="62"/>
      <c r="IP177" s="62"/>
      <c r="IQ177" s="62"/>
      <c r="IR177" s="62"/>
      <c r="IS177" s="62"/>
      <c r="IT177" s="62"/>
      <c r="IU177" s="62"/>
      <c r="IV177" s="62"/>
      <c r="IW177" s="62"/>
      <c r="IX177" s="62"/>
      <c r="IY177" s="62"/>
      <c r="IZ177" s="62"/>
      <c r="JA177" s="62"/>
      <c r="JB177" s="62"/>
      <c r="JC177" s="62"/>
      <c r="JD177" s="62"/>
      <c r="JE177" s="62"/>
      <c r="JF177" s="62"/>
      <c r="JG177" s="62"/>
      <c r="JH177" s="62"/>
      <c r="JI177" s="62"/>
      <c r="JJ177" s="62"/>
      <c r="JK177" s="62"/>
      <c r="JL177" s="62"/>
      <c r="JM177" s="62"/>
      <c r="JN177" s="62"/>
      <c r="JO177" s="62"/>
      <c r="JP177" s="62"/>
      <c r="JQ177" s="62"/>
      <c r="JR177" s="62"/>
      <c r="JS177" s="62"/>
      <c r="JT177" s="62"/>
      <c r="JU177" s="62"/>
      <c r="JV177" s="62"/>
      <c r="JW177" s="62"/>
      <c r="JX177" s="62"/>
      <c r="JY177" s="62"/>
      <c r="JZ177" s="62"/>
      <c r="KA177" s="62"/>
      <c r="KB177" s="62"/>
      <c r="KC177" s="62"/>
      <c r="KD177" s="62"/>
      <c r="KE177" s="62"/>
      <c r="KF177" s="62"/>
      <c r="KG177" s="62"/>
      <c r="KH177" s="62"/>
      <c r="KI177" s="62"/>
      <c r="KJ177" s="62"/>
      <c r="KK177" s="62"/>
      <c r="KL177" s="62"/>
      <c r="KM177" s="62"/>
      <c r="KN177" s="62"/>
      <c r="KO177" s="62"/>
      <c r="KP177" s="62"/>
      <c r="KQ177" s="62"/>
      <c r="KR177" s="62"/>
      <c r="KS177" s="62"/>
      <c r="KT177" s="62"/>
      <c r="KU177" s="62"/>
      <c r="KV177" s="62"/>
      <c r="KW177" s="62"/>
      <c r="KX177" s="62"/>
      <c r="KY177" s="62"/>
      <c r="KZ177" s="62"/>
      <c r="LA177" s="62"/>
      <c r="LB177" s="62"/>
      <c r="LC177" s="62"/>
      <c r="LD177" s="62"/>
      <c r="LE177" s="62"/>
      <c r="LF177" s="62"/>
      <c r="LG177" s="62"/>
      <c r="LH177" s="62"/>
      <c r="LI177" s="62"/>
    </row>
    <row r="178" spans="1:321" ht="30">
      <c r="D178" s="59">
        <v>4611</v>
      </c>
      <c r="E178" s="60" t="s">
        <v>171</v>
      </c>
      <c r="F178" s="67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9"/>
      <c r="R178" s="67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9"/>
      <c r="AD178" s="67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9"/>
      <c r="AP178" s="67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9"/>
      <c r="BB178" s="67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9"/>
      <c r="BN178" s="67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9"/>
      <c r="BZ178" s="67"/>
      <c r="CA178" s="68"/>
      <c r="CB178" s="68"/>
      <c r="CC178" s="68"/>
      <c r="CD178" s="68"/>
      <c r="CE178" s="68"/>
      <c r="CF178" s="68"/>
      <c r="CG178" s="68"/>
      <c r="CH178" s="68"/>
      <c r="CI178" s="68"/>
      <c r="CJ178" s="68"/>
      <c r="CK178" s="68"/>
      <c r="CL178" s="67">
        <v>10400865.82</v>
      </c>
      <c r="CM178" s="68">
        <v>1076386.28</v>
      </c>
      <c r="CN178" s="68">
        <v>1750313.77</v>
      </c>
      <c r="CO178" s="68">
        <v>3128301.99</v>
      </c>
      <c r="CP178" s="68">
        <v>1945669.64</v>
      </c>
      <c r="CQ178" s="68">
        <v>989736.54</v>
      </c>
      <c r="CR178" s="68">
        <v>4774307.72</v>
      </c>
      <c r="CS178" s="68">
        <v>9944955.3699999992</v>
      </c>
      <c r="CT178" s="68">
        <v>12179630.32</v>
      </c>
      <c r="CU178" s="68">
        <v>7710797.4800000004</v>
      </c>
      <c r="CV178" s="68">
        <v>4899072.42</v>
      </c>
      <c r="CW178" s="69">
        <v>48820983.07</v>
      </c>
      <c r="CX178" s="67">
        <v>572002.06000000006</v>
      </c>
      <c r="CY178" s="68">
        <v>44794132.240000002</v>
      </c>
      <c r="CZ178" s="68">
        <v>18738041.850000001</v>
      </c>
      <c r="DA178" s="68">
        <v>15513177.07</v>
      </c>
      <c r="DB178" s="68">
        <v>4831056.79</v>
      </c>
      <c r="DC178" s="68">
        <v>35593419.079999998</v>
      </c>
      <c r="DD178" s="68">
        <v>30604399.73</v>
      </c>
      <c r="DE178" s="68">
        <v>43355572.060000002</v>
      </c>
      <c r="DF178" s="68">
        <v>26101000.149999999</v>
      </c>
      <c r="DG178" s="68">
        <v>8338399.5899999999</v>
      </c>
      <c r="DH178" s="68">
        <v>1025122.19</v>
      </c>
      <c r="DI178" s="69">
        <v>9580429.8499999996</v>
      </c>
      <c r="DJ178" s="67">
        <v>14310568.83</v>
      </c>
      <c r="DK178" s="68">
        <v>40814379.619999997</v>
      </c>
      <c r="DL178" s="68">
        <v>48535287.670000002</v>
      </c>
      <c r="DM178" s="68">
        <v>4348886.4000000004</v>
      </c>
      <c r="DN178" s="68">
        <v>97613.57</v>
      </c>
      <c r="DO178" s="68">
        <v>13454297.34</v>
      </c>
      <c r="DP178" s="68">
        <v>37597928.460000001</v>
      </c>
      <c r="DQ178" s="68">
        <v>40099266.369999997</v>
      </c>
      <c r="DR178" s="68">
        <v>12696185.689999999</v>
      </c>
      <c r="DS178" s="68">
        <v>100557.85</v>
      </c>
      <c r="DT178" s="68">
        <v>100930.69</v>
      </c>
      <c r="DU178" s="69">
        <v>9553749.6300000008</v>
      </c>
      <c r="DV178" s="61">
        <v>16586331.92</v>
      </c>
      <c r="DW178" s="61">
        <v>40102784.689999998</v>
      </c>
      <c r="DX178" s="61">
        <v>34153922.979999997</v>
      </c>
      <c r="DY178" s="61">
        <v>11303919.65</v>
      </c>
      <c r="DZ178" s="89">
        <v>104634.18</v>
      </c>
      <c r="EA178" s="89">
        <v>7652930.54</v>
      </c>
      <c r="EB178" s="79">
        <v>17783759.899999999</v>
      </c>
      <c r="EC178" s="87">
        <v>65876428.729999997</v>
      </c>
      <c r="ED178" s="79">
        <v>9291204.8200000003</v>
      </c>
      <c r="EE178" s="79">
        <v>13507697.57</v>
      </c>
      <c r="EF178" s="79">
        <v>108168.99</v>
      </c>
      <c r="EG178" s="79">
        <v>8974836.0099999998</v>
      </c>
      <c r="EH178" s="62">
        <v>16509330.02</v>
      </c>
      <c r="EI178" s="62">
        <v>40459986.270000003</v>
      </c>
      <c r="EJ178" s="62">
        <v>28547623.149999999</v>
      </c>
      <c r="EK178" s="62">
        <v>111178.77</v>
      </c>
      <c r="EL178" s="62">
        <v>861846.67</v>
      </c>
      <c r="EM178" s="62">
        <v>18678429.690000001</v>
      </c>
      <c r="EN178" s="62">
        <v>25930516.890000001</v>
      </c>
      <c r="EO178" s="62">
        <v>65870871.859999999</v>
      </c>
      <c r="EP178" s="62">
        <v>8684013.8599999994</v>
      </c>
      <c r="EQ178" s="62">
        <v>2314998.5699999998</v>
      </c>
      <c r="ER178" s="62">
        <v>865501.84</v>
      </c>
      <c r="ES178" s="62">
        <v>17178358.239999998</v>
      </c>
      <c r="ET178" s="62">
        <v>24566746.16</v>
      </c>
      <c r="EU178" s="62">
        <v>50952373.509999998</v>
      </c>
      <c r="EV178" s="62">
        <v>7051404.0099999998</v>
      </c>
      <c r="EW178" s="62">
        <v>2231658.5099999998</v>
      </c>
      <c r="EX178" s="62">
        <v>831498.83</v>
      </c>
      <c r="EY178" s="62">
        <v>4420027.8</v>
      </c>
      <c r="EZ178" s="62">
        <v>42332347.200000003</v>
      </c>
      <c r="FA178" s="62">
        <v>95932773.739999995</v>
      </c>
      <c r="FB178" s="62">
        <v>1208382.96</v>
      </c>
      <c r="FC178" s="62">
        <v>2260146.02</v>
      </c>
      <c r="FD178" s="62">
        <v>834069.65</v>
      </c>
      <c r="FE178" s="62">
        <v>2202164.71</v>
      </c>
      <c r="FF178" s="62">
        <v>18084948.579999998</v>
      </c>
      <c r="FG178" s="62">
        <v>64835364.859999999</v>
      </c>
      <c r="FH178" s="62">
        <v>1062241.2</v>
      </c>
      <c r="FI178" s="62">
        <v>2291816.1800000002</v>
      </c>
      <c r="FJ178" s="62">
        <v>5836708.6600000001</v>
      </c>
      <c r="FK178" s="62">
        <v>1304074.52</v>
      </c>
      <c r="FL178" s="1">
        <v>18837613.199999999</v>
      </c>
      <c r="FM178" s="62">
        <v>54838105.140000001</v>
      </c>
      <c r="FN178" s="62">
        <v>1831381.37</v>
      </c>
      <c r="FO178" s="62">
        <v>6571880.8899999997</v>
      </c>
      <c r="FP178" s="62">
        <v>839474.95</v>
      </c>
      <c r="FQ178" s="62">
        <v>2081948.73</v>
      </c>
      <c r="FR178" s="62">
        <v>23090399.57</v>
      </c>
      <c r="FS178" s="62">
        <v>54840868.399999999</v>
      </c>
      <c r="FT178" s="62">
        <v>1854849.15</v>
      </c>
      <c r="FU178" s="62">
        <v>1603895.49</v>
      </c>
      <c r="FV178" s="62">
        <v>1842278.41</v>
      </c>
      <c r="FW178" s="62">
        <v>2108350.36</v>
      </c>
      <c r="FX178" s="62">
        <v>14993230.529999999</v>
      </c>
      <c r="FY178" s="62">
        <v>23750000</v>
      </c>
      <c r="FZ178" s="62">
        <v>1782512.05</v>
      </c>
      <c r="GA178" s="62">
        <v>18541765.760000002</v>
      </c>
      <c r="GB178" s="62">
        <v>81160000</v>
      </c>
      <c r="GC178" s="62">
        <v>18626065.969999999</v>
      </c>
      <c r="GD178" s="62"/>
      <c r="GF178" s="62"/>
      <c r="GG178" s="62"/>
      <c r="GH178" s="62"/>
      <c r="GI178" s="62"/>
      <c r="GJ178" s="62"/>
      <c r="GK178" s="62"/>
      <c r="GL178" s="62"/>
      <c r="GM178" s="62"/>
      <c r="GN178" s="62"/>
      <c r="GO178" s="62"/>
      <c r="GP178" s="62"/>
      <c r="GQ178" s="62"/>
      <c r="GR178" s="62"/>
      <c r="GS178" s="62"/>
      <c r="GT178" s="62"/>
      <c r="GU178" s="62"/>
      <c r="GV178" s="62"/>
      <c r="GW178" s="62"/>
      <c r="GX178" s="62"/>
      <c r="GY178" s="62"/>
      <c r="GZ178" s="62"/>
      <c r="HA178" s="62"/>
      <c r="HB178" s="62"/>
      <c r="HC178" s="62"/>
      <c r="HD178" s="62"/>
      <c r="HE178" s="62"/>
      <c r="HF178" s="62"/>
      <c r="HG178" s="62"/>
      <c r="HH178" s="62"/>
      <c r="HI178" s="62"/>
      <c r="HJ178" s="62"/>
      <c r="HK178" s="62"/>
      <c r="HL178" s="62"/>
      <c r="HM178" s="62"/>
      <c r="HN178" s="62"/>
      <c r="HO178" s="62"/>
      <c r="HP178" s="62"/>
      <c r="HQ178" s="62"/>
      <c r="HR178" s="62"/>
      <c r="HS178" s="62"/>
      <c r="HT178" s="62"/>
      <c r="HU178" s="62"/>
      <c r="HV178" s="62"/>
      <c r="HW178" s="62"/>
      <c r="HX178" s="62"/>
      <c r="HY178" s="62"/>
      <c r="HZ178" s="62"/>
      <c r="IA178" s="62"/>
      <c r="IB178" s="62"/>
      <c r="IC178" s="62"/>
      <c r="ID178" s="62"/>
      <c r="IE178" s="62"/>
      <c r="IF178" s="62"/>
      <c r="IG178" s="62"/>
      <c r="IH178" s="62"/>
      <c r="II178" s="62"/>
      <c r="IJ178" s="62"/>
      <c r="IK178" s="62"/>
      <c r="IL178" s="62"/>
      <c r="IM178" s="62"/>
      <c r="IN178" s="62"/>
      <c r="IO178" s="62"/>
      <c r="IP178" s="62"/>
      <c r="IQ178" s="62"/>
      <c r="IR178" s="62"/>
      <c r="IS178" s="62"/>
      <c r="IT178" s="62"/>
      <c r="IU178" s="62"/>
      <c r="IV178" s="62"/>
      <c r="IW178" s="62"/>
      <c r="IX178" s="62"/>
      <c r="IY178" s="62"/>
      <c r="IZ178" s="62"/>
      <c r="JA178" s="62"/>
      <c r="JB178" s="62"/>
      <c r="JC178" s="62"/>
      <c r="JD178" s="62"/>
      <c r="JE178" s="62"/>
      <c r="JF178" s="62"/>
      <c r="JG178" s="62"/>
      <c r="JH178" s="62"/>
      <c r="JI178" s="62"/>
      <c r="JJ178" s="62"/>
      <c r="JK178" s="62"/>
      <c r="JL178" s="62"/>
      <c r="JM178" s="62"/>
      <c r="JN178" s="62"/>
      <c r="JO178" s="62"/>
      <c r="JP178" s="62"/>
      <c r="JQ178" s="62"/>
      <c r="JR178" s="62"/>
      <c r="JS178" s="62"/>
      <c r="JT178" s="62"/>
      <c r="JU178" s="62"/>
      <c r="JV178" s="62"/>
      <c r="JW178" s="62"/>
      <c r="JX178" s="62"/>
      <c r="JY178" s="62"/>
      <c r="JZ178" s="62"/>
      <c r="KA178" s="62"/>
      <c r="KB178" s="62"/>
      <c r="KC178" s="62"/>
      <c r="KD178" s="62"/>
      <c r="KE178" s="62"/>
      <c r="KF178" s="62"/>
      <c r="KG178" s="62"/>
      <c r="KH178" s="62"/>
      <c r="KI178" s="62"/>
      <c r="KJ178" s="62"/>
      <c r="KK178" s="62"/>
      <c r="KL178" s="62"/>
      <c r="KM178" s="62"/>
      <c r="KN178" s="62"/>
      <c r="KO178" s="62"/>
      <c r="KP178" s="62"/>
      <c r="KQ178" s="62"/>
      <c r="KR178" s="62"/>
      <c r="KS178" s="62"/>
      <c r="KT178" s="62"/>
      <c r="KU178" s="62"/>
      <c r="KV178" s="62"/>
      <c r="KW178" s="62"/>
      <c r="KX178" s="62"/>
      <c r="KY178" s="62"/>
      <c r="KZ178" s="62"/>
      <c r="LA178" s="62"/>
      <c r="LB178" s="62"/>
      <c r="LC178" s="62"/>
      <c r="LD178" s="62"/>
      <c r="LE178" s="62"/>
      <c r="LF178" s="62"/>
      <c r="LG178" s="62"/>
      <c r="LH178" s="62"/>
      <c r="LI178" s="62"/>
    </row>
    <row r="179" spans="1:321" ht="30">
      <c r="D179" s="59">
        <v>4612</v>
      </c>
      <c r="E179" s="60" t="s">
        <v>172</v>
      </c>
      <c r="F179" s="67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9"/>
      <c r="R179" s="67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9"/>
      <c r="AD179" s="67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9"/>
      <c r="AP179" s="67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9"/>
      <c r="BB179" s="67"/>
      <c r="BC179" s="68"/>
      <c r="BD179" s="68"/>
      <c r="BE179" s="68"/>
      <c r="BF179" s="68"/>
      <c r="BG179" s="68"/>
      <c r="BH179" s="68"/>
      <c r="BI179" s="68"/>
      <c r="BJ179" s="68"/>
      <c r="BK179" s="68"/>
      <c r="BL179" s="68"/>
      <c r="BM179" s="69"/>
      <c r="BN179" s="67"/>
      <c r="BO179" s="68"/>
      <c r="BP179" s="68"/>
      <c r="BQ179" s="68"/>
      <c r="BR179" s="68"/>
      <c r="BS179" s="68"/>
      <c r="BT179" s="68"/>
      <c r="BU179" s="68"/>
      <c r="BV179" s="68"/>
      <c r="BW179" s="68"/>
      <c r="BX179" s="68"/>
      <c r="BY179" s="69"/>
      <c r="BZ179" s="67"/>
      <c r="CA179" s="68"/>
      <c r="CB179" s="68"/>
      <c r="CC179" s="68"/>
      <c r="CD179" s="68"/>
      <c r="CE179" s="68"/>
      <c r="CF179" s="68"/>
      <c r="CG179" s="68"/>
      <c r="CH179" s="68"/>
      <c r="CI179" s="68"/>
      <c r="CJ179" s="68"/>
      <c r="CK179" s="68"/>
      <c r="CL179" s="67">
        <v>3134669.41</v>
      </c>
      <c r="CM179" s="68">
        <v>158802.38</v>
      </c>
      <c r="CN179" s="68">
        <v>3318984.81</v>
      </c>
      <c r="CO179" s="68">
        <v>2298414.4</v>
      </c>
      <c r="CP179" s="68">
        <v>2516927.7599999998</v>
      </c>
      <c r="CQ179" s="68">
        <v>11294736.17</v>
      </c>
      <c r="CR179" s="68">
        <v>14484226.060000001</v>
      </c>
      <c r="CS179" s="68">
        <v>790205.48</v>
      </c>
      <c r="CT179" s="68">
        <v>7014425.7999999998</v>
      </c>
      <c r="CU179" s="68">
        <v>3516922.29</v>
      </c>
      <c r="CV179" s="68">
        <v>2510690.9</v>
      </c>
      <c r="CW179" s="69">
        <v>15365425.869999999</v>
      </c>
      <c r="CX179" s="67">
        <v>2792475.05</v>
      </c>
      <c r="CY179" s="68">
        <v>860684.08</v>
      </c>
      <c r="CZ179" s="68">
        <v>3467378.49</v>
      </c>
      <c r="DA179" s="68">
        <v>33545805.93</v>
      </c>
      <c r="DB179" s="68">
        <v>89568019.079999998</v>
      </c>
      <c r="DC179" s="68">
        <v>15387656.43</v>
      </c>
      <c r="DD179" s="68">
        <v>14270108.75</v>
      </c>
      <c r="DE179" s="68">
        <v>986355.17</v>
      </c>
      <c r="DF179" s="68">
        <v>4392617.0199999996</v>
      </c>
      <c r="DG179" s="68">
        <v>3804796.3</v>
      </c>
      <c r="DH179" s="68">
        <v>4815896.55</v>
      </c>
      <c r="DI179" s="69">
        <v>21163322.629999999</v>
      </c>
      <c r="DJ179" s="67">
        <v>16433418.82</v>
      </c>
      <c r="DK179" s="68">
        <v>1118676.6299999999</v>
      </c>
      <c r="DL179" s="68">
        <v>12010289.039999999</v>
      </c>
      <c r="DM179" s="68">
        <v>35367493.909999996</v>
      </c>
      <c r="DN179" s="68">
        <v>5067422.63</v>
      </c>
      <c r="DO179" s="68">
        <v>21444494.620000001</v>
      </c>
      <c r="DP179" s="68">
        <v>27963263.739999998</v>
      </c>
      <c r="DQ179" s="68">
        <v>1259441.21</v>
      </c>
      <c r="DR179" s="68">
        <v>167061235.77000001</v>
      </c>
      <c r="DS179" s="68">
        <v>5530532.3300000001</v>
      </c>
      <c r="DT179" s="68">
        <v>5274597.04</v>
      </c>
      <c r="DU179" s="69">
        <v>21502450.899999999</v>
      </c>
      <c r="DV179" s="61">
        <v>16433418.82</v>
      </c>
      <c r="DW179" s="61">
        <v>1276450.3999999999</v>
      </c>
      <c r="DX179" s="61">
        <v>12225107.449999999</v>
      </c>
      <c r="DY179" s="61">
        <v>179944918.13999999</v>
      </c>
      <c r="DZ179" s="79">
        <v>4911459.87</v>
      </c>
      <c r="EA179" s="90">
        <v>21164551.23</v>
      </c>
      <c r="EB179" s="79">
        <v>24633418.82</v>
      </c>
      <c r="EC179" s="87">
        <v>1391280.31</v>
      </c>
      <c r="ED179" s="79">
        <v>12961164.189999999</v>
      </c>
      <c r="EE179" s="79">
        <v>4513519.3899999997</v>
      </c>
      <c r="EF179" s="79">
        <v>5916393.0599999996</v>
      </c>
      <c r="EG179" s="79">
        <v>22297884.649999999</v>
      </c>
      <c r="EH179" s="62">
        <v>1802308.17</v>
      </c>
      <c r="EI179" s="62">
        <v>1892608.13</v>
      </c>
      <c r="EJ179" s="62">
        <v>7944436.3899999997</v>
      </c>
      <c r="EK179" s="62">
        <v>65321070.240000002</v>
      </c>
      <c r="EL179" s="62">
        <v>5208332.1500000004</v>
      </c>
      <c r="EM179" s="62">
        <v>11220533.199999999</v>
      </c>
      <c r="EN179" s="62">
        <v>9633419.2899999991</v>
      </c>
      <c r="EO179" s="62">
        <v>2539646.15</v>
      </c>
      <c r="EP179" s="62">
        <v>4390481.9000000004</v>
      </c>
      <c r="EQ179" s="62">
        <v>4884517.4000000004</v>
      </c>
      <c r="ER179" s="62">
        <v>6156717.2599999998</v>
      </c>
      <c r="ES179" s="62">
        <v>11593842.74</v>
      </c>
      <c r="ET179" s="62">
        <v>1633418.82</v>
      </c>
      <c r="EU179" s="62">
        <v>3536598.25</v>
      </c>
      <c r="EV179" s="62">
        <v>12014620.48</v>
      </c>
      <c r="EW179" s="62">
        <v>380100813.48000002</v>
      </c>
      <c r="EX179" s="62">
        <v>13929196.93</v>
      </c>
      <c r="EY179" s="62">
        <v>8509523.0099999998</v>
      </c>
      <c r="EZ179" s="62">
        <v>1633418.82</v>
      </c>
      <c r="FA179" s="62">
        <v>2647331.4</v>
      </c>
      <c r="FB179" s="62">
        <v>16215322.939999999</v>
      </c>
      <c r="FC179" s="62">
        <v>3771846.45</v>
      </c>
      <c r="FD179" s="62">
        <v>8756253.1600000001</v>
      </c>
      <c r="FE179" s="62">
        <v>8709523.0700000003</v>
      </c>
      <c r="FF179" s="62">
        <v>1433418.82</v>
      </c>
      <c r="FG179" s="62">
        <v>2530058.2599999998</v>
      </c>
      <c r="FH179" s="62">
        <v>16724343.27</v>
      </c>
      <c r="FI179" s="62">
        <v>16010234.699999999</v>
      </c>
      <c r="FJ179" s="62">
        <v>177846023.16</v>
      </c>
      <c r="FK179" s="62">
        <v>9790699.6799999997</v>
      </c>
      <c r="FL179" s="1">
        <v>61633418.82</v>
      </c>
      <c r="FM179" s="62">
        <v>2917512.03</v>
      </c>
      <c r="FN179" s="62">
        <v>16057936.98</v>
      </c>
      <c r="FO179" s="62">
        <v>4520498.25</v>
      </c>
      <c r="FP179" s="62">
        <v>9323019.1699999999</v>
      </c>
      <c r="FQ179" s="62">
        <v>10138531.67</v>
      </c>
      <c r="FR179" s="62">
        <v>1435793.71</v>
      </c>
      <c r="FS179" s="62">
        <v>10524954.35</v>
      </c>
      <c r="FT179" s="62">
        <v>330204648.48000002</v>
      </c>
      <c r="FU179" s="62">
        <v>15609634.58</v>
      </c>
      <c r="FV179" s="62">
        <v>9553316.6400000006</v>
      </c>
      <c r="FW179" s="62">
        <v>9938531.6699999999</v>
      </c>
      <c r="FX179" s="62">
        <v>1633418.82</v>
      </c>
      <c r="FY179" s="62">
        <v>10972559.57</v>
      </c>
      <c r="FZ179" s="62">
        <v>8038553.5099999998</v>
      </c>
      <c r="GA179" s="62">
        <v>3909321.17</v>
      </c>
      <c r="GB179" s="62">
        <v>8468953.2699999996</v>
      </c>
      <c r="GC179" s="62">
        <v>11362128.17</v>
      </c>
      <c r="GD179" s="62"/>
      <c r="GF179" s="62"/>
      <c r="GG179" s="62"/>
      <c r="GH179" s="62"/>
      <c r="GI179" s="62"/>
      <c r="GJ179" s="62"/>
      <c r="GK179" s="62"/>
      <c r="GL179" s="62"/>
      <c r="GM179" s="62"/>
      <c r="GN179" s="62"/>
      <c r="GO179" s="62"/>
      <c r="GP179" s="62"/>
      <c r="GQ179" s="62"/>
      <c r="GR179" s="62"/>
      <c r="GS179" s="62"/>
      <c r="GT179" s="62"/>
      <c r="GU179" s="62"/>
      <c r="GV179" s="62"/>
      <c r="GW179" s="62"/>
      <c r="GX179" s="62"/>
      <c r="GY179" s="62"/>
      <c r="GZ179" s="62"/>
      <c r="HA179" s="62"/>
      <c r="HB179" s="62"/>
      <c r="HC179" s="62"/>
      <c r="HD179" s="62"/>
      <c r="HE179" s="62"/>
      <c r="HF179" s="62"/>
      <c r="HG179" s="62"/>
      <c r="HH179" s="62"/>
      <c r="HI179" s="62"/>
      <c r="HJ179" s="62"/>
      <c r="HK179" s="62"/>
      <c r="HL179" s="62"/>
      <c r="HM179" s="62"/>
      <c r="HN179" s="62"/>
      <c r="HO179" s="62"/>
      <c r="HP179" s="62"/>
      <c r="HQ179" s="62"/>
      <c r="HR179" s="62"/>
      <c r="HS179" s="62"/>
      <c r="HT179" s="62"/>
      <c r="HU179" s="62"/>
      <c r="HV179" s="62"/>
      <c r="HW179" s="62"/>
      <c r="HX179" s="62"/>
      <c r="HY179" s="62"/>
      <c r="HZ179" s="62"/>
      <c r="IA179" s="62"/>
      <c r="IB179" s="62"/>
      <c r="IC179" s="62"/>
      <c r="ID179" s="62"/>
      <c r="IE179" s="62"/>
      <c r="IF179" s="62"/>
      <c r="IG179" s="62"/>
      <c r="IH179" s="62"/>
      <c r="II179" s="62"/>
      <c r="IJ179" s="62"/>
      <c r="IK179" s="62"/>
      <c r="IL179" s="62"/>
      <c r="IM179" s="62"/>
      <c r="IN179" s="62"/>
      <c r="IO179" s="62"/>
      <c r="IP179" s="62"/>
      <c r="IQ179" s="62"/>
      <c r="IR179" s="62"/>
      <c r="IS179" s="62"/>
      <c r="IT179" s="62"/>
      <c r="IU179" s="62"/>
      <c r="IV179" s="62"/>
      <c r="IW179" s="62"/>
      <c r="IX179" s="62"/>
      <c r="IY179" s="62"/>
      <c r="IZ179" s="62"/>
      <c r="JA179" s="62"/>
      <c r="JB179" s="62"/>
      <c r="JC179" s="62"/>
      <c r="JD179" s="62"/>
      <c r="JE179" s="62"/>
      <c r="JF179" s="62"/>
      <c r="JG179" s="62"/>
      <c r="JH179" s="62"/>
      <c r="JI179" s="62"/>
      <c r="JJ179" s="62"/>
      <c r="JK179" s="62"/>
      <c r="JL179" s="62"/>
      <c r="JM179" s="62"/>
      <c r="JN179" s="62"/>
      <c r="JO179" s="62"/>
      <c r="JP179" s="62"/>
      <c r="JQ179" s="62"/>
      <c r="JR179" s="62"/>
      <c r="JS179" s="62"/>
      <c r="JT179" s="62"/>
      <c r="JU179" s="62"/>
      <c r="JV179" s="62"/>
      <c r="JW179" s="62"/>
      <c r="JX179" s="62"/>
      <c r="JY179" s="62"/>
      <c r="JZ179" s="62"/>
      <c r="KA179" s="62"/>
      <c r="KB179" s="62"/>
      <c r="KC179" s="62"/>
      <c r="KD179" s="62"/>
      <c r="KE179" s="62"/>
      <c r="KF179" s="62"/>
      <c r="KG179" s="62"/>
      <c r="KH179" s="62"/>
      <c r="KI179" s="62"/>
      <c r="KJ179" s="62"/>
      <c r="KK179" s="62"/>
      <c r="KL179" s="62"/>
      <c r="KM179" s="62"/>
      <c r="KN179" s="62"/>
      <c r="KO179" s="62"/>
      <c r="KP179" s="62"/>
      <c r="KQ179" s="62"/>
      <c r="KR179" s="62"/>
      <c r="KS179" s="62"/>
      <c r="KT179" s="62"/>
      <c r="KU179" s="62"/>
      <c r="KV179" s="62"/>
      <c r="KW179" s="62"/>
      <c r="KX179" s="62"/>
      <c r="KY179" s="62"/>
      <c r="KZ179" s="62"/>
      <c r="LA179" s="62"/>
      <c r="LB179" s="62"/>
      <c r="LC179" s="62"/>
      <c r="LD179" s="62"/>
      <c r="LE179" s="62"/>
      <c r="LF179" s="62"/>
      <c r="LG179" s="62"/>
      <c r="LH179" s="62"/>
      <c r="LI179" s="62"/>
    </row>
    <row r="180" spans="1:321">
      <c r="C180" s="59">
        <v>462</v>
      </c>
      <c r="D180" s="59">
        <v>462</v>
      </c>
      <c r="E180" s="60" t="s">
        <v>165</v>
      </c>
      <c r="F180" s="67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9"/>
      <c r="R180" s="67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9"/>
      <c r="AD180" s="67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9"/>
      <c r="AP180" s="67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9"/>
      <c r="BB180" s="67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9"/>
      <c r="BN180" s="67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9"/>
      <c r="BZ180" s="67"/>
      <c r="CA180" s="68"/>
      <c r="CB180" s="68"/>
      <c r="CC180" s="68"/>
      <c r="CD180" s="68"/>
      <c r="CE180" s="68"/>
      <c r="CF180" s="68"/>
      <c r="CG180" s="68"/>
      <c r="CH180" s="68"/>
      <c r="CI180" s="68"/>
      <c r="CJ180" s="68"/>
      <c r="CK180" s="68"/>
      <c r="CL180" s="67">
        <v>0</v>
      </c>
      <c r="CM180" s="68">
        <v>0</v>
      </c>
      <c r="CN180" s="68">
        <v>0</v>
      </c>
      <c r="CO180" s="68">
        <v>145520.37</v>
      </c>
      <c r="CP180" s="68">
        <v>0</v>
      </c>
      <c r="CQ180" s="68">
        <v>0</v>
      </c>
      <c r="CR180" s="68">
        <v>60056480</v>
      </c>
      <c r="CS180" s="68">
        <v>42900294.009999998</v>
      </c>
      <c r="CT180" s="68">
        <v>0</v>
      </c>
      <c r="CU180" s="68">
        <v>0</v>
      </c>
      <c r="CV180" s="68">
        <v>3552750.09</v>
      </c>
      <c r="CW180" s="69">
        <v>575548.03</v>
      </c>
      <c r="CX180" s="67">
        <v>5125021.0999999996</v>
      </c>
      <c r="CY180" s="68">
        <v>28180.16</v>
      </c>
      <c r="CZ180" s="68">
        <v>4529565.8099999996</v>
      </c>
      <c r="DA180" s="68">
        <v>0</v>
      </c>
      <c r="DB180" s="68">
        <v>0</v>
      </c>
      <c r="DC180" s="68">
        <v>0</v>
      </c>
      <c r="DD180" s="68">
        <v>0</v>
      </c>
      <c r="DE180" s="68">
        <v>0</v>
      </c>
      <c r="DF180" s="68">
        <v>5576163.8799999999</v>
      </c>
      <c r="DG180" s="68">
        <v>0</v>
      </c>
      <c r="DH180" s="68">
        <v>0</v>
      </c>
      <c r="DI180" s="69">
        <v>0</v>
      </c>
      <c r="DJ180" s="67">
        <v>0</v>
      </c>
      <c r="DK180" s="68">
        <v>0</v>
      </c>
      <c r="DL180" s="68">
        <v>0</v>
      </c>
      <c r="DM180" s="68">
        <v>0</v>
      </c>
      <c r="DN180" s="68">
        <v>0</v>
      </c>
      <c r="DO180" s="68">
        <v>0</v>
      </c>
      <c r="DP180" s="68">
        <v>0</v>
      </c>
      <c r="DQ180" s="68">
        <v>0</v>
      </c>
      <c r="DR180" s="68">
        <v>0</v>
      </c>
      <c r="DS180" s="68">
        <v>0</v>
      </c>
      <c r="DT180" s="68">
        <v>0</v>
      </c>
      <c r="DU180" s="69">
        <v>0</v>
      </c>
      <c r="DV180" s="61">
        <v>0</v>
      </c>
      <c r="DW180" s="61">
        <v>0</v>
      </c>
      <c r="DX180" s="61">
        <v>0</v>
      </c>
      <c r="DY180" s="61">
        <v>0</v>
      </c>
      <c r="DZ180" s="79"/>
      <c r="EB180" s="79"/>
      <c r="EC180" s="79"/>
      <c r="ED180" s="79"/>
      <c r="EE180" s="79"/>
      <c r="EF180" s="79"/>
      <c r="EG180" s="79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>
        <v>2253720.0299999998</v>
      </c>
      <c r="FG180" s="62">
        <v>494.04</v>
      </c>
      <c r="FH180" s="62">
        <v>7180485.3399999999</v>
      </c>
      <c r="FI180" s="62"/>
      <c r="FJ180" s="62"/>
      <c r="FK180" s="62"/>
      <c r="FL180" s="62"/>
      <c r="FM180" s="62"/>
      <c r="FN180" s="62"/>
      <c r="FO180" s="62"/>
      <c r="FP180" s="62"/>
      <c r="FQ180" s="62">
        <v>29250000</v>
      </c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  <c r="HI180" s="62"/>
      <c r="HJ180" s="62"/>
      <c r="HK180" s="62"/>
      <c r="HL180" s="62"/>
      <c r="HM180" s="62"/>
      <c r="HN180" s="62"/>
      <c r="HO180" s="62"/>
      <c r="HP180" s="62"/>
      <c r="HQ180" s="62"/>
      <c r="HR180" s="62"/>
      <c r="HS180" s="62"/>
      <c r="HT180" s="62"/>
      <c r="HU180" s="62"/>
      <c r="HV180" s="62"/>
      <c r="HW180" s="62"/>
      <c r="HX180" s="62"/>
      <c r="HY180" s="62"/>
      <c r="HZ180" s="62"/>
      <c r="IA180" s="62"/>
      <c r="IB180" s="62"/>
      <c r="IC180" s="62"/>
      <c r="ID180" s="62"/>
      <c r="IE180" s="62"/>
      <c r="IF180" s="62"/>
      <c r="IG180" s="62"/>
      <c r="IH180" s="62"/>
      <c r="II180" s="62"/>
      <c r="IJ180" s="62"/>
      <c r="IK180" s="62"/>
      <c r="IL180" s="62"/>
      <c r="IM180" s="62"/>
      <c r="IN180" s="62"/>
      <c r="IO180" s="62"/>
      <c r="IP180" s="62"/>
      <c r="IQ180" s="62"/>
      <c r="IR180" s="62"/>
      <c r="IS180" s="62"/>
      <c r="IT180" s="62"/>
      <c r="IU180" s="62"/>
      <c r="IV180" s="62"/>
      <c r="IW180" s="62"/>
      <c r="IX180" s="62"/>
      <c r="IY180" s="62"/>
      <c r="IZ180" s="62"/>
      <c r="JA180" s="62"/>
      <c r="JB180" s="62"/>
      <c r="JC180" s="62"/>
      <c r="JD180" s="62"/>
      <c r="JE180" s="62"/>
      <c r="JF180" s="62"/>
      <c r="JG180" s="62"/>
      <c r="JH180" s="62"/>
      <c r="JI180" s="62"/>
      <c r="JJ180" s="62"/>
      <c r="JK180" s="62"/>
      <c r="JL180" s="62"/>
      <c r="JM180" s="62"/>
      <c r="JN180" s="62"/>
      <c r="JO180" s="62"/>
      <c r="JP180" s="62"/>
      <c r="JQ180" s="62"/>
      <c r="JR180" s="62"/>
      <c r="JS180" s="62"/>
      <c r="JT180" s="62"/>
      <c r="JU180" s="62"/>
      <c r="JV180" s="62"/>
      <c r="JW180" s="62"/>
      <c r="JX180" s="62"/>
      <c r="JY180" s="62"/>
      <c r="JZ180" s="62"/>
      <c r="KA180" s="62"/>
      <c r="KB180" s="62"/>
      <c r="KC180" s="62"/>
      <c r="KD180" s="62"/>
      <c r="KE180" s="62"/>
      <c r="KF180" s="62"/>
      <c r="KG180" s="62"/>
      <c r="KH180" s="62"/>
      <c r="KI180" s="62"/>
      <c r="KJ180" s="62"/>
      <c r="KK180" s="62"/>
      <c r="KL180" s="62"/>
      <c r="KM180" s="62"/>
      <c r="KN180" s="62"/>
      <c r="KO180" s="62"/>
      <c r="KP180" s="62"/>
      <c r="KQ180" s="62"/>
      <c r="KR180" s="62"/>
      <c r="KS180" s="62"/>
      <c r="KT180" s="62"/>
      <c r="KU180" s="62"/>
      <c r="KV180" s="62"/>
      <c r="KW180" s="62"/>
      <c r="KX180" s="62"/>
      <c r="KY180" s="62"/>
      <c r="KZ180" s="62"/>
      <c r="LA180" s="62"/>
      <c r="LB180" s="62"/>
      <c r="LC180" s="62"/>
      <c r="LD180" s="62"/>
      <c r="LE180" s="62"/>
      <c r="LF180" s="62"/>
      <c r="LG180" s="62"/>
      <c r="LH180" s="62"/>
      <c r="LI180" s="62"/>
    </row>
    <row r="181" spans="1:321">
      <c r="D181" s="59">
        <v>4621</v>
      </c>
      <c r="E181" s="60" t="s">
        <v>475</v>
      </c>
      <c r="F181" s="67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9"/>
      <c r="R181" s="67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9"/>
      <c r="AD181" s="67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9"/>
      <c r="AP181" s="67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9"/>
      <c r="BB181" s="67"/>
      <c r="BC181" s="68"/>
      <c r="BD181" s="68"/>
      <c r="BE181" s="68"/>
      <c r="BF181" s="68"/>
      <c r="BG181" s="68"/>
      <c r="BH181" s="68"/>
      <c r="BI181" s="68"/>
      <c r="BJ181" s="68"/>
      <c r="BK181" s="68"/>
      <c r="BL181" s="68"/>
      <c r="BM181" s="69"/>
      <c r="BN181" s="67"/>
      <c r="BO181" s="68"/>
      <c r="BP181" s="68"/>
      <c r="BQ181" s="68"/>
      <c r="BR181" s="68"/>
      <c r="BS181" s="68"/>
      <c r="BT181" s="68"/>
      <c r="BU181" s="68"/>
      <c r="BV181" s="68"/>
      <c r="BW181" s="68"/>
      <c r="BX181" s="68"/>
      <c r="BY181" s="69"/>
      <c r="BZ181" s="67"/>
      <c r="CA181" s="68"/>
      <c r="CB181" s="68"/>
      <c r="CC181" s="68"/>
      <c r="CD181" s="68"/>
      <c r="CE181" s="68"/>
      <c r="CF181" s="68"/>
      <c r="CG181" s="68"/>
      <c r="CH181" s="68"/>
      <c r="CI181" s="68"/>
      <c r="CJ181" s="68"/>
      <c r="CK181" s="68"/>
      <c r="CL181" s="67">
        <v>0</v>
      </c>
      <c r="CM181" s="68">
        <v>0</v>
      </c>
      <c r="CN181" s="68">
        <v>0</v>
      </c>
      <c r="CO181" s="68">
        <v>145520.37</v>
      </c>
      <c r="CP181" s="68">
        <v>0</v>
      </c>
      <c r="CQ181" s="68">
        <v>0</v>
      </c>
      <c r="CR181" s="68">
        <v>0</v>
      </c>
      <c r="CS181" s="68">
        <v>179503.08</v>
      </c>
      <c r="CT181" s="68">
        <v>0</v>
      </c>
      <c r="CU181" s="68">
        <v>0</v>
      </c>
      <c r="CV181" s="68">
        <v>3552750.09</v>
      </c>
      <c r="CW181" s="69">
        <v>575548.03</v>
      </c>
      <c r="CX181" s="67">
        <v>5125021.0999999996</v>
      </c>
      <c r="CY181" s="68">
        <v>28180.16</v>
      </c>
      <c r="CZ181" s="68">
        <v>4529565.8099999996</v>
      </c>
      <c r="DA181" s="68">
        <v>0</v>
      </c>
      <c r="DB181" s="68">
        <v>0</v>
      </c>
      <c r="DC181" s="68">
        <v>0</v>
      </c>
      <c r="DD181" s="68">
        <v>0</v>
      </c>
      <c r="DE181" s="68">
        <v>0</v>
      </c>
      <c r="DF181" s="68">
        <v>5576163.8799999999</v>
      </c>
      <c r="DG181" s="68">
        <v>0</v>
      </c>
      <c r="DH181" s="68">
        <v>0</v>
      </c>
      <c r="DI181" s="69">
        <v>0</v>
      </c>
      <c r="DJ181" s="67">
        <v>0</v>
      </c>
      <c r="DK181" s="68">
        <v>0</v>
      </c>
      <c r="DL181" s="68">
        <v>0</v>
      </c>
      <c r="DM181" s="68">
        <v>0</v>
      </c>
      <c r="DN181" s="68">
        <v>0</v>
      </c>
      <c r="DO181" s="68">
        <v>0</v>
      </c>
      <c r="DP181" s="68">
        <v>0</v>
      </c>
      <c r="DQ181" s="68">
        <v>0</v>
      </c>
      <c r="DR181" s="68">
        <v>0</v>
      </c>
      <c r="DS181" s="68">
        <v>0</v>
      </c>
      <c r="DT181" s="68">
        <v>0</v>
      </c>
      <c r="DU181" s="69">
        <v>0</v>
      </c>
      <c r="DV181" s="61">
        <v>0</v>
      </c>
      <c r="DW181" s="61">
        <v>0</v>
      </c>
      <c r="DX181" s="61">
        <v>0</v>
      </c>
      <c r="DY181" s="61">
        <v>0</v>
      </c>
      <c r="DZ181" s="79"/>
      <c r="EB181" s="79"/>
      <c r="EC181" s="79"/>
      <c r="ED181" s="79"/>
      <c r="EE181" s="79"/>
      <c r="EF181" s="79"/>
      <c r="EG181" s="79"/>
      <c r="EH181" s="62"/>
      <c r="EI181" s="62"/>
      <c r="EJ181" s="62"/>
      <c r="EK181" s="62"/>
      <c r="EL181" s="62"/>
      <c r="EM181" s="62"/>
      <c r="EN181" s="62"/>
      <c r="EO181" s="62"/>
      <c r="EP181" s="62"/>
      <c r="EQ181" s="62"/>
      <c r="ER181" s="62"/>
      <c r="ES181" s="62"/>
      <c r="ET181" s="62"/>
      <c r="EU181" s="62"/>
      <c r="EV181" s="62"/>
      <c r="EW181" s="62"/>
      <c r="EX181" s="62"/>
      <c r="EY181" s="62"/>
      <c r="EZ181" s="62"/>
      <c r="FA181" s="62"/>
      <c r="FB181" s="62"/>
      <c r="FC181" s="62"/>
      <c r="FD181" s="62"/>
      <c r="FE181" s="62"/>
      <c r="FF181" s="62"/>
      <c r="FG181" s="62"/>
      <c r="FH181" s="62"/>
      <c r="FI181" s="62"/>
      <c r="FJ181" s="62"/>
      <c r="FK181" s="62"/>
      <c r="FL181" s="62"/>
      <c r="FM181" s="62"/>
      <c r="FN181" s="62"/>
      <c r="FO181" s="62"/>
      <c r="FP181" s="62"/>
      <c r="FQ181" s="62"/>
      <c r="FR181" s="62"/>
      <c r="FS181" s="62"/>
      <c r="FT181" s="62"/>
      <c r="FU181" s="62"/>
      <c r="FV181" s="62"/>
      <c r="FW181" s="62"/>
      <c r="FX181" s="62"/>
      <c r="FY181" s="62"/>
      <c r="FZ181" s="62"/>
      <c r="GA181" s="62"/>
      <c r="GB181" s="62"/>
      <c r="GC181" s="62"/>
      <c r="GD181" s="62"/>
      <c r="GF181" s="62"/>
      <c r="GG181" s="62"/>
      <c r="GH181" s="62"/>
      <c r="GI181" s="62"/>
      <c r="GJ181" s="62"/>
      <c r="GK181" s="62"/>
      <c r="GL181" s="62"/>
      <c r="GM181" s="62"/>
      <c r="GN181" s="62"/>
      <c r="GO181" s="62"/>
      <c r="GP181" s="62"/>
      <c r="GQ181" s="62"/>
      <c r="GR181" s="62"/>
      <c r="GS181" s="62"/>
      <c r="GT181" s="62"/>
      <c r="GU181" s="62"/>
      <c r="GV181" s="62"/>
      <c r="GW181" s="62"/>
      <c r="GX181" s="62"/>
      <c r="GY181" s="62"/>
      <c r="GZ181" s="62"/>
      <c r="HA181" s="62"/>
      <c r="HB181" s="62"/>
      <c r="HC181" s="62"/>
      <c r="HD181" s="62"/>
      <c r="HE181" s="62"/>
      <c r="HF181" s="62"/>
      <c r="HG181" s="62"/>
      <c r="HH181" s="62"/>
      <c r="HI181" s="62"/>
      <c r="HJ181" s="62"/>
      <c r="HK181" s="62"/>
      <c r="HL181" s="62"/>
      <c r="HM181" s="62"/>
      <c r="HN181" s="62"/>
      <c r="HO181" s="62"/>
      <c r="HP181" s="62"/>
      <c r="HQ181" s="62"/>
      <c r="HR181" s="62"/>
      <c r="HS181" s="62"/>
      <c r="HT181" s="62"/>
      <c r="HU181" s="62"/>
      <c r="HV181" s="62"/>
      <c r="HW181" s="62"/>
      <c r="HX181" s="62"/>
      <c r="HY181" s="62"/>
      <c r="HZ181" s="62"/>
      <c r="IA181" s="62"/>
      <c r="IB181" s="62"/>
      <c r="IC181" s="62"/>
      <c r="ID181" s="62"/>
      <c r="IE181" s="62"/>
      <c r="IF181" s="62"/>
      <c r="IG181" s="62"/>
      <c r="IH181" s="62"/>
      <c r="II181" s="62"/>
      <c r="IJ181" s="62"/>
      <c r="IK181" s="62"/>
      <c r="IL181" s="62"/>
      <c r="IM181" s="62"/>
      <c r="IN181" s="62"/>
      <c r="IO181" s="62"/>
      <c r="IP181" s="62"/>
      <c r="IQ181" s="62"/>
      <c r="IR181" s="62"/>
      <c r="IS181" s="62"/>
      <c r="IT181" s="62"/>
      <c r="IU181" s="62"/>
      <c r="IV181" s="62"/>
      <c r="IW181" s="62"/>
      <c r="IX181" s="62"/>
      <c r="IY181" s="62"/>
      <c r="IZ181" s="62"/>
      <c r="JA181" s="62"/>
      <c r="JB181" s="62"/>
      <c r="JC181" s="62"/>
      <c r="JD181" s="62"/>
      <c r="JE181" s="62"/>
      <c r="JF181" s="62"/>
      <c r="JG181" s="62"/>
      <c r="JH181" s="62"/>
      <c r="JI181" s="62"/>
      <c r="JJ181" s="62"/>
      <c r="JK181" s="62"/>
      <c r="JL181" s="62"/>
      <c r="JM181" s="62"/>
      <c r="JN181" s="62"/>
      <c r="JO181" s="62"/>
      <c r="JP181" s="62"/>
      <c r="JQ181" s="62"/>
      <c r="JR181" s="62"/>
      <c r="JS181" s="62"/>
      <c r="JT181" s="62"/>
      <c r="JU181" s="62"/>
      <c r="JV181" s="62"/>
      <c r="JW181" s="62"/>
      <c r="JX181" s="62"/>
      <c r="JY181" s="62"/>
      <c r="JZ181" s="62"/>
      <c r="KA181" s="62"/>
      <c r="KB181" s="62"/>
      <c r="KC181" s="62"/>
      <c r="KD181" s="62"/>
      <c r="KE181" s="62"/>
      <c r="KF181" s="62"/>
      <c r="KG181" s="62"/>
      <c r="KH181" s="62"/>
      <c r="KI181" s="62"/>
      <c r="KJ181" s="62"/>
      <c r="KK181" s="62"/>
      <c r="KL181" s="62"/>
      <c r="KM181" s="62"/>
      <c r="KN181" s="62"/>
      <c r="KO181" s="62"/>
      <c r="KP181" s="62"/>
      <c r="KQ181" s="62"/>
      <c r="KR181" s="62"/>
      <c r="KS181" s="62"/>
      <c r="KT181" s="62"/>
      <c r="KU181" s="62"/>
      <c r="KV181" s="62"/>
      <c r="KW181" s="62"/>
      <c r="KX181" s="62"/>
      <c r="KY181" s="62"/>
      <c r="KZ181" s="62"/>
      <c r="LA181" s="62"/>
      <c r="LB181" s="62"/>
      <c r="LC181" s="62"/>
      <c r="LD181" s="62"/>
      <c r="LE181" s="62"/>
      <c r="LF181" s="62"/>
      <c r="LG181" s="62"/>
      <c r="LH181" s="62"/>
      <c r="LI181" s="62"/>
    </row>
    <row r="182" spans="1:321">
      <c r="D182" s="59">
        <v>4622</v>
      </c>
      <c r="E182" s="60" t="s">
        <v>476</v>
      </c>
      <c r="F182" s="67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9"/>
      <c r="R182" s="67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9"/>
      <c r="AD182" s="67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9"/>
      <c r="AP182" s="67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9"/>
      <c r="BB182" s="67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9"/>
      <c r="BN182" s="67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9"/>
      <c r="BZ182" s="67"/>
      <c r="CA182" s="68"/>
      <c r="CB182" s="68"/>
      <c r="CC182" s="68"/>
      <c r="CD182" s="68"/>
      <c r="CE182" s="68"/>
      <c r="CF182" s="68"/>
      <c r="CG182" s="68"/>
      <c r="CH182" s="68"/>
      <c r="CI182" s="68"/>
      <c r="CJ182" s="68"/>
      <c r="CK182" s="68"/>
      <c r="CL182" s="67">
        <v>0</v>
      </c>
      <c r="CM182" s="68">
        <v>0</v>
      </c>
      <c r="CN182" s="68">
        <v>0</v>
      </c>
      <c r="CO182" s="68">
        <v>0</v>
      </c>
      <c r="CP182" s="68">
        <v>0</v>
      </c>
      <c r="CQ182" s="68">
        <v>0</v>
      </c>
      <c r="CR182" s="68">
        <v>60056480</v>
      </c>
      <c r="CS182" s="68">
        <v>42720790.93</v>
      </c>
      <c r="CT182" s="68">
        <v>0</v>
      </c>
      <c r="CU182" s="68">
        <v>0</v>
      </c>
      <c r="CV182" s="68">
        <v>0</v>
      </c>
      <c r="CW182" s="69">
        <v>0</v>
      </c>
      <c r="CX182" s="67">
        <v>0</v>
      </c>
      <c r="CY182" s="68">
        <v>0</v>
      </c>
      <c r="CZ182" s="68">
        <v>0</v>
      </c>
      <c r="DA182" s="68">
        <v>0</v>
      </c>
      <c r="DB182" s="68">
        <v>0</v>
      </c>
      <c r="DC182" s="68">
        <v>0</v>
      </c>
      <c r="DD182" s="68">
        <v>0</v>
      </c>
      <c r="DE182" s="68">
        <v>0</v>
      </c>
      <c r="DF182" s="68">
        <v>0</v>
      </c>
      <c r="DG182" s="68">
        <v>0</v>
      </c>
      <c r="DH182" s="68">
        <v>0</v>
      </c>
      <c r="DI182" s="69">
        <v>0</v>
      </c>
      <c r="DJ182" s="67">
        <v>0</v>
      </c>
      <c r="DK182" s="68">
        <v>0</v>
      </c>
      <c r="DL182" s="68">
        <v>0</v>
      </c>
      <c r="DM182" s="68">
        <v>0</v>
      </c>
      <c r="DN182" s="68">
        <v>0</v>
      </c>
      <c r="DO182" s="68">
        <v>0</v>
      </c>
      <c r="DP182" s="68">
        <v>0</v>
      </c>
      <c r="DQ182" s="68">
        <v>0</v>
      </c>
      <c r="DR182" s="68">
        <v>0</v>
      </c>
      <c r="DS182" s="68">
        <v>0</v>
      </c>
      <c r="DT182" s="68">
        <v>0</v>
      </c>
      <c r="DU182" s="69">
        <v>0</v>
      </c>
      <c r="DV182" s="61">
        <v>0</v>
      </c>
      <c r="DW182" s="61">
        <v>0</v>
      </c>
      <c r="DX182" s="61">
        <v>0</v>
      </c>
      <c r="DY182" s="61">
        <v>0</v>
      </c>
      <c r="DZ182" s="79"/>
      <c r="EB182" s="79"/>
      <c r="EC182" s="79"/>
      <c r="ED182" s="79"/>
      <c r="EE182" s="79"/>
      <c r="EF182" s="79"/>
      <c r="EG182" s="79"/>
      <c r="ET182" s="62"/>
      <c r="EU182" s="62"/>
      <c r="EV182" s="62"/>
      <c r="EW182" s="62"/>
      <c r="EX182" s="62"/>
      <c r="EY182" s="62"/>
      <c r="EZ182" s="62"/>
      <c r="FA182" s="62"/>
      <c r="FB182" s="62"/>
      <c r="FC182" s="62"/>
      <c r="FD182" s="62"/>
      <c r="FE182" s="62"/>
      <c r="FF182" s="62"/>
      <c r="FG182" s="62"/>
      <c r="FH182" s="62"/>
      <c r="FI182" s="62"/>
      <c r="FJ182" s="62"/>
      <c r="FK182" s="62"/>
      <c r="FL182" s="62"/>
      <c r="FM182" s="62"/>
      <c r="FN182" s="62"/>
      <c r="FO182" s="62"/>
      <c r="FP182" s="62"/>
      <c r="FQ182" s="62"/>
      <c r="FR182" s="62"/>
      <c r="FS182" s="62"/>
      <c r="FT182" s="62"/>
      <c r="FU182" s="62"/>
      <c r="FV182" s="62"/>
      <c r="FW182" s="62"/>
      <c r="FX182" s="62"/>
      <c r="FY182" s="62"/>
      <c r="FZ182" s="62"/>
      <c r="GA182" s="62"/>
      <c r="GB182" s="62"/>
      <c r="GC182" s="62"/>
      <c r="GD182" s="62"/>
      <c r="GF182" s="62"/>
      <c r="GG182" s="62"/>
      <c r="GH182" s="62"/>
      <c r="GI182" s="62"/>
      <c r="GJ182" s="62"/>
      <c r="GK182" s="62"/>
      <c r="GL182" s="62"/>
      <c r="GM182" s="62"/>
      <c r="GN182" s="62"/>
      <c r="GO182" s="62"/>
      <c r="GP182" s="62"/>
      <c r="GQ182" s="62"/>
      <c r="GR182" s="62"/>
      <c r="GS182" s="62"/>
      <c r="GT182" s="62"/>
      <c r="GU182" s="62"/>
      <c r="GV182" s="62"/>
      <c r="GW182" s="62"/>
      <c r="GX182" s="62"/>
      <c r="GY182" s="62"/>
      <c r="GZ182" s="62"/>
      <c r="HA182" s="62"/>
      <c r="HB182" s="62"/>
      <c r="HC182" s="62"/>
      <c r="HD182" s="62"/>
      <c r="HE182" s="62"/>
      <c r="HF182" s="62"/>
      <c r="HG182" s="62"/>
      <c r="HH182" s="62"/>
      <c r="HI182" s="62"/>
      <c r="HJ182" s="62"/>
      <c r="HK182" s="62"/>
      <c r="HL182" s="62"/>
      <c r="HM182" s="62"/>
      <c r="HN182" s="62"/>
      <c r="HO182" s="62"/>
      <c r="HP182" s="62"/>
      <c r="HQ182" s="62"/>
      <c r="HR182" s="62"/>
      <c r="HS182" s="62"/>
      <c r="HT182" s="62"/>
      <c r="HU182" s="62"/>
      <c r="HV182" s="62"/>
      <c r="HW182" s="62"/>
      <c r="HX182" s="62"/>
      <c r="HY182" s="62"/>
      <c r="HZ182" s="62"/>
      <c r="IA182" s="62"/>
      <c r="IB182" s="62"/>
      <c r="IC182" s="62"/>
      <c r="ID182" s="62"/>
      <c r="IE182" s="62"/>
      <c r="IF182" s="62"/>
      <c r="IG182" s="62"/>
      <c r="IH182" s="62"/>
      <c r="II182" s="62"/>
      <c r="IJ182" s="62"/>
      <c r="IK182" s="62"/>
      <c r="IL182" s="62"/>
      <c r="IM182" s="62"/>
      <c r="IN182" s="62"/>
      <c r="IO182" s="62"/>
      <c r="IP182" s="62"/>
      <c r="IQ182" s="62"/>
      <c r="IR182" s="62"/>
      <c r="IS182" s="62"/>
      <c r="IT182" s="62"/>
      <c r="IU182" s="62"/>
      <c r="IV182" s="62"/>
      <c r="IW182" s="62"/>
      <c r="IX182" s="62"/>
      <c r="IY182" s="62"/>
      <c r="IZ182" s="62"/>
      <c r="JA182" s="62"/>
      <c r="JB182" s="62"/>
      <c r="JC182" s="62"/>
      <c r="JD182" s="62"/>
      <c r="JE182" s="62"/>
      <c r="JF182" s="62"/>
      <c r="JG182" s="62"/>
      <c r="JH182" s="62"/>
      <c r="JI182" s="62"/>
      <c r="JJ182" s="62"/>
      <c r="JK182" s="62"/>
      <c r="JL182" s="62"/>
      <c r="JM182" s="62"/>
      <c r="JN182" s="62"/>
      <c r="JO182" s="62"/>
      <c r="JP182" s="62"/>
      <c r="JQ182" s="62"/>
      <c r="JR182" s="62"/>
      <c r="JS182" s="62"/>
      <c r="JT182" s="62"/>
      <c r="JU182" s="62"/>
      <c r="JV182" s="62"/>
      <c r="JW182" s="62"/>
      <c r="JX182" s="62"/>
      <c r="JY182" s="62"/>
      <c r="JZ182" s="62"/>
      <c r="KA182" s="62"/>
      <c r="KB182" s="62"/>
      <c r="KC182" s="62"/>
      <c r="KD182" s="62"/>
      <c r="KE182" s="62"/>
      <c r="KF182" s="62"/>
      <c r="KG182" s="62"/>
      <c r="KH182" s="62"/>
      <c r="KI182" s="62"/>
      <c r="KJ182" s="62"/>
      <c r="KK182" s="62"/>
      <c r="KL182" s="62"/>
      <c r="KM182" s="62"/>
      <c r="KN182" s="62"/>
      <c r="KO182" s="62"/>
      <c r="KP182" s="62"/>
      <c r="KQ182" s="62"/>
      <c r="KR182" s="62"/>
      <c r="KS182" s="62"/>
      <c r="KT182" s="62"/>
      <c r="KU182" s="62"/>
      <c r="KV182" s="62"/>
      <c r="KW182" s="62"/>
      <c r="KX182" s="62"/>
      <c r="KY182" s="62"/>
      <c r="KZ182" s="62"/>
      <c r="LA182" s="62"/>
      <c r="LB182" s="62"/>
      <c r="LC182" s="62"/>
      <c r="LD182" s="62"/>
      <c r="LE182" s="62"/>
      <c r="LF182" s="62"/>
      <c r="LG182" s="62"/>
      <c r="LH182" s="62"/>
      <c r="LI182" s="62"/>
    </row>
    <row r="183" spans="1:321" ht="30">
      <c r="C183" s="59">
        <v>463</v>
      </c>
      <c r="D183" s="59">
        <v>4630</v>
      </c>
      <c r="E183" s="60" t="s">
        <v>184</v>
      </c>
      <c r="F183" s="67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9"/>
      <c r="R183" s="67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9"/>
      <c r="AD183" s="67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9"/>
      <c r="AP183" s="67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9"/>
      <c r="BB183" s="67"/>
      <c r="BC183" s="68"/>
      <c r="BD183" s="68"/>
      <c r="BE183" s="68"/>
      <c r="BF183" s="68"/>
      <c r="BG183" s="68"/>
      <c r="BH183" s="68"/>
      <c r="BI183" s="68"/>
      <c r="BJ183" s="68"/>
      <c r="BK183" s="68"/>
      <c r="BL183" s="68"/>
      <c r="BM183" s="69"/>
      <c r="BN183" s="67"/>
      <c r="BO183" s="68"/>
      <c r="BP183" s="68"/>
      <c r="BQ183" s="68"/>
      <c r="BR183" s="68"/>
      <c r="BS183" s="68"/>
      <c r="BT183" s="68"/>
      <c r="BU183" s="68"/>
      <c r="BV183" s="68"/>
      <c r="BW183" s="68"/>
      <c r="BX183" s="68"/>
      <c r="BY183" s="69"/>
      <c r="BZ183" s="67"/>
      <c r="CA183" s="68"/>
      <c r="CB183" s="68"/>
      <c r="CC183" s="68"/>
      <c r="CD183" s="68"/>
      <c r="CE183" s="68"/>
      <c r="CF183" s="68"/>
      <c r="CG183" s="68"/>
      <c r="CH183" s="68"/>
      <c r="CI183" s="68"/>
      <c r="CJ183" s="68"/>
      <c r="CK183" s="68"/>
      <c r="CL183" s="67">
        <v>2525490.48</v>
      </c>
      <c r="CM183" s="68">
        <v>6326878.6600000001</v>
      </c>
      <c r="CN183" s="68">
        <v>2148000.9300000002</v>
      </c>
      <c r="CO183" s="68">
        <v>2468111.15</v>
      </c>
      <c r="CP183" s="68">
        <v>1102492.1000000001</v>
      </c>
      <c r="CQ183" s="68">
        <v>6182153.1799999997</v>
      </c>
      <c r="CR183" s="68">
        <v>15345385.48</v>
      </c>
      <c r="CS183" s="68">
        <v>6244697.2600000203</v>
      </c>
      <c r="CT183" s="68">
        <v>5189842.2</v>
      </c>
      <c r="CU183" s="68">
        <v>2777987.47</v>
      </c>
      <c r="CV183" s="68">
        <v>2751258.04</v>
      </c>
      <c r="CW183" s="69">
        <v>7480893.1500000004</v>
      </c>
      <c r="CX183" s="67">
        <v>3537398.16</v>
      </c>
      <c r="CY183" s="68">
        <v>1619286.4</v>
      </c>
      <c r="CZ183" s="68">
        <v>1848944.28</v>
      </c>
      <c r="DA183" s="68">
        <v>1378572.94</v>
      </c>
      <c r="DB183" s="68">
        <v>1300692.72</v>
      </c>
      <c r="DC183" s="68">
        <v>9428423.1400000006</v>
      </c>
      <c r="DD183" s="68">
        <v>10716449.039999999</v>
      </c>
      <c r="DE183" s="68">
        <v>7406618.4699999997</v>
      </c>
      <c r="DF183" s="68">
        <v>1622410.38</v>
      </c>
      <c r="DG183" s="68">
        <v>1457465.03</v>
      </c>
      <c r="DH183" s="68">
        <v>5940231.8700000001</v>
      </c>
      <c r="DI183" s="69">
        <v>18916387.73</v>
      </c>
      <c r="DJ183" s="67">
        <v>1536097.24</v>
      </c>
      <c r="DK183" s="68">
        <v>1937879.02</v>
      </c>
      <c r="DL183" s="68">
        <v>1971947.62</v>
      </c>
      <c r="DM183" s="68">
        <v>4020535.44</v>
      </c>
      <c r="DN183" s="68">
        <v>2400528.15</v>
      </c>
      <c r="DO183" s="68">
        <v>27216080.920000002</v>
      </c>
      <c r="DP183" s="68">
        <v>11508008.75</v>
      </c>
      <c r="DQ183" s="68">
        <v>3347239.4800000102</v>
      </c>
      <c r="DR183" s="68">
        <v>8276196.9900000002</v>
      </c>
      <c r="DS183" s="68">
        <v>9196248.02999999</v>
      </c>
      <c r="DT183" s="68">
        <v>2828438.83</v>
      </c>
      <c r="DU183" s="69">
        <v>3168736.68</v>
      </c>
      <c r="DV183" s="61">
        <v>1609721.35</v>
      </c>
      <c r="DW183" s="61">
        <v>10483507.640000001</v>
      </c>
      <c r="DX183" s="61">
        <v>4724051.7699999996</v>
      </c>
      <c r="DY183" s="61">
        <v>2047957.73</v>
      </c>
      <c r="DZ183" s="79">
        <v>2053386.86</v>
      </c>
      <c r="EA183" s="79">
        <v>8110472.5899999999</v>
      </c>
      <c r="EB183" s="79">
        <v>7965006.6600000001</v>
      </c>
      <c r="EC183" s="84">
        <v>3231942.88</v>
      </c>
      <c r="ED183" s="79">
        <v>1945521.6</v>
      </c>
      <c r="EE183" s="79">
        <v>1915541.45</v>
      </c>
      <c r="EF183" s="79">
        <v>8036203.4800000004</v>
      </c>
      <c r="EG183" s="79">
        <v>17139214.640000001</v>
      </c>
      <c r="EH183" s="62">
        <v>2184051.7200000002</v>
      </c>
      <c r="EI183" s="62">
        <v>1764900.98</v>
      </c>
      <c r="EJ183" s="62">
        <v>2883254.52</v>
      </c>
      <c r="EK183" s="62">
        <v>1767565.23</v>
      </c>
      <c r="EL183" s="62">
        <v>1819114.92</v>
      </c>
      <c r="EM183" s="62">
        <v>3273831.52</v>
      </c>
      <c r="EN183" s="62">
        <v>12593149</v>
      </c>
      <c r="EO183" s="62">
        <v>3919363.28</v>
      </c>
      <c r="EP183" s="62">
        <v>2388146.7200000002</v>
      </c>
      <c r="EQ183" s="62">
        <v>2862908.84</v>
      </c>
      <c r="ER183" s="62">
        <v>2620351.65</v>
      </c>
      <c r="ES183" s="62">
        <v>1884186.27</v>
      </c>
      <c r="ET183" s="62">
        <v>1698819.3</v>
      </c>
      <c r="EU183" s="62">
        <v>2215955.08</v>
      </c>
      <c r="EV183" s="62">
        <v>2027778.28</v>
      </c>
      <c r="EW183" s="62">
        <v>2489375.33</v>
      </c>
      <c r="EX183" s="62">
        <v>1250843.27</v>
      </c>
      <c r="EY183" s="62">
        <v>1981350.35</v>
      </c>
      <c r="EZ183" s="62">
        <v>4562283.55</v>
      </c>
      <c r="FA183" s="62">
        <v>924617.69</v>
      </c>
      <c r="FB183" s="62">
        <v>872755.39</v>
      </c>
      <c r="FC183" s="62">
        <v>1966075.9</v>
      </c>
      <c r="FD183" s="62">
        <v>1659582.3</v>
      </c>
      <c r="FE183" s="62">
        <v>1578931.59</v>
      </c>
      <c r="FF183" s="62">
        <v>1205053.3500000001</v>
      </c>
      <c r="FG183" s="62">
        <v>1401737.72</v>
      </c>
      <c r="FH183" s="62">
        <v>1741137.89</v>
      </c>
      <c r="FI183" s="62">
        <v>1783880</v>
      </c>
      <c r="FJ183" s="62">
        <v>1470007.64</v>
      </c>
      <c r="FK183" s="62">
        <v>1833346.11</v>
      </c>
      <c r="FL183" s="1">
        <v>4446503.8099999996</v>
      </c>
      <c r="FM183" s="62">
        <v>903390.64</v>
      </c>
      <c r="FN183" s="62">
        <v>1579978.54</v>
      </c>
      <c r="FO183" s="62">
        <v>1224373.1000000001</v>
      </c>
      <c r="FP183" s="62">
        <v>1244693.3799999999</v>
      </c>
      <c r="FQ183" s="62">
        <v>1806907.1</v>
      </c>
      <c r="FR183" s="62">
        <v>1234088.2</v>
      </c>
      <c r="FS183" s="62">
        <v>1922034.51</v>
      </c>
      <c r="FT183" s="62">
        <v>1360035.97</v>
      </c>
      <c r="FU183" s="62">
        <v>1039845.76</v>
      </c>
      <c r="FV183" s="62">
        <v>1116425.95</v>
      </c>
      <c r="FW183" s="62">
        <v>2100790.54</v>
      </c>
      <c r="FX183" s="62">
        <v>2646429.7400000002</v>
      </c>
      <c r="FY183" s="62">
        <v>837443.38</v>
      </c>
      <c r="FZ183" s="62">
        <v>764871</v>
      </c>
      <c r="GA183" s="62">
        <v>783371.07</v>
      </c>
      <c r="GB183" s="62">
        <v>1847365.97</v>
      </c>
      <c r="GC183" s="62">
        <v>3122782.61</v>
      </c>
      <c r="GD183" s="62"/>
      <c r="GF183" s="62"/>
      <c r="GG183" s="62"/>
      <c r="GH183" s="62"/>
      <c r="GI183" s="62"/>
      <c r="GJ183" s="62"/>
      <c r="GK183" s="62"/>
      <c r="GL183" s="62"/>
      <c r="GM183" s="62"/>
      <c r="GN183" s="62"/>
      <c r="GO183" s="62"/>
      <c r="GP183" s="62"/>
      <c r="GQ183" s="62"/>
      <c r="GR183" s="62"/>
      <c r="GS183" s="62"/>
      <c r="GT183" s="62"/>
      <c r="GU183" s="62"/>
      <c r="GV183" s="62"/>
      <c r="GW183" s="62"/>
      <c r="GX183" s="62"/>
      <c r="GY183" s="62"/>
      <c r="GZ183" s="62"/>
      <c r="HA183" s="62"/>
      <c r="HB183" s="62"/>
      <c r="HC183" s="62"/>
      <c r="HD183" s="62"/>
      <c r="HE183" s="62"/>
      <c r="HF183" s="62"/>
      <c r="HG183" s="62"/>
      <c r="HH183" s="62"/>
      <c r="HI183" s="62"/>
      <c r="HJ183" s="62"/>
      <c r="HK183" s="62"/>
      <c r="HL183" s="62"/>
      <c r="HM183" s="62"/>
      <c r="HN183" s="62"/>
      <c r="HO183" s="62"/>
      <c r="HP183" s="62"/>
      <c r="HQ183" s="62"/>
      <c r="HR183" s="62"/>
      <c r="HS183" s="62"/>
      <c r="HT183" s="62"/>
      <c r="HU183" s="62"/>
      <c r="HV183" s="62"/>
      <c r="HW183" s="62"/>
      <c r="HX183" s="62"/>
      <c r="HY183" s="62"/>
      <c r="HZ183" s="62"/>
      <c r="IA183" s="62"/>
      <c r="IB183" s="62"/>
      <c r="IC183" s="62"/>
      <c r="ID183" s="62"/>
      <c r="IE183" s="62"/>
      <c r="IF183" s="62"/>
      <c r="IG183" s="62"/>
      <c r="IH183" s="62"/>
      <c r="II183" s="62"/>
      <c r="IJ183" s="62"/>
      <c r="IK183" s="62"/>
      <c r="IL183" s="62"/>
      <c r="IM183" s="62"/>
      <c r="IN183" s="62"/>
      <c r="IO183" s="62"/>
      <c r="IP183" s="62"/>
      <c r="IQ183" s="62"/>
      <c r="IR183" s="62"/>
      <c r="IS183" s="62"/>
      <c r="IT183" s="62"/>
      <c r="IU183" s="62"/>
      <c r="IV183" s="62"/>
      <c r="IW183" s="62"/>
      <c r="IX183" s="62"/>
      <c r="IY183" s="62"/>
      <c r="IZ183" s="62"/>
      <c r="JA183" s="62"/>
      <c r="JB183" s="62"/>
      <c r="JC183" s="62"/>
      <c r="JD183" s="62"/>
      <c r="JE183" s="62"/>
      <c r="JF183" s="62"/>
      <c r="JG183" s="62"/>
      <c r="JH183" s="62"/>
      <c r="JI183" s="62"/>
      <c r="JJ183" s="62"/>
      <c r="JK183" s="62"/>
      <c r="JL183" s="62"/>
      <c r="JM183" s="62"/>
      <c r="JN183" s="62"/>
      <c r="JO183" s="62"/>
      <c r="JP183" s="62"/>
      <c r="JQ183" s="62"/>
      <c r="JR183" s="62"/>
      <c r="JS183" s="62"/>
      <c r="JT183" s="62"/>
      <c r="JU183" s="62"/>
      <c r="JV183" s="62"/>
      <c r="JW183" s="62"/>
      <c r="JX183" s="62"/>
      <c r="JY183" s="62"/>
      <c r="JZ183" s="62"/>
      <c r="KA183" s="62"/>
      <c r="KB183" s="62"/>
      <c r="KC183" s="62"/>
      <c r="KD183" s="62"/>
      <c r="KE183" s="62"/>
      <c r="KF183" s="62"/>
      <c r="KG183" s="62"/>
      <c r="KH183" s="62"/>
      <c r="KI183" s="62"/>
      <c r="KJ183" s="62"/>
      <c r="KK183" s="62"/>
      <c r="KL183" s="62"/>
      <c r="KM183" s="62"/>
      <c r="KN183" s="62"/>
      <c r="KO183" s="62"/>
      <c r="KP183" s="62"/>
      <c r="KQ183" s="62"/>
      <c r="KR183" s="62"/>
      <c r="KS183" s="62"/>
      <c r="KT183" s="62"/>
      <c r="KU183" s="62"/>
      <c r="KV183" s="62"/>
      <c r="KW183" s="62"/>
      <c r="KX183" s="62"/>
      <c r="KY183" s="62"/>
      <c r="KZ183" s="62"/>
      <c r="LA183" s="62"/>
      <c r="LB183" s="62"/>
      <c r="LC183" s="62"/>
      <c r="LD183" s="62"/>
      <c r="LE183" s="62"/>
      <c r="LF183" s="62"/>
      <c r="LG183" s="62"/>
      <c r="LH183" s="62"/>
      <c r="LI183" s="62"/>
    </row>
    <row r="184" spans="1:321">
      <c r="A184" s="59" t="s">
        <v>6</v>
      </c>
      <c r="B184" s="59">
        <v>47</v>
      </c>
      <c r="D184" s="59">
        <v>47</v>
      </c>
      <c r="E184" s="60" t="s">
        <v>164</v>
      </c>
      <c r="F184" s="67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9"/>
      <c r="R184" s="67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9"/>
      <c r="AD184" s="67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9"/>
      <c r="AP184" s="67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9"/>
      <c r="BB184" s="67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9"/>
      <c r="BN184" s="67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9"/>
      <c r="BZ184" s="67"/>
      <c r="CA184" s="68"/>
      <c r="CB184" s="68"/>
      <c r="CC184" s="68"/>
      <c r="CD184" s="68"/>
      <c r="CE184" s="68"/>
      <c r="CF184" s="68"/>
      <c r="CG184" s="68"/>
      <c r="CH184" s="68"/>
      <c r="CI184" s="68"/>
      <c r="CJ184" s="68"/>
      <c r="CK184" s="68"/>
      <c r="CL184" s="67">
        <v>152480</v>
      </c>
      <c r="CM184" s="68">
        <v>69850</v>
      </c>
      <c r="CN184" s="68">
        <v>381882.21</v>
      </c>
      <c r="CO184" s="68">
        <v>795860</v>
      </c>
      <c r="CP184" s="68">
        <v>1010265.09</v>
      </c>
      <c r="CQ184" s="68">
        <v>3303845.5</v>
      </c>
      <c r="CR184" s="68">
        <v>2217610</v>
      </c>
      <c r="CS184" s="68">
        <v>1221150.82</v>
      </c>
      <c r="CT184" s="68">
        <v>2522421.1</v>
      </c>
      <c r="CU184" s="68">
        <v>283431.86</v>
      </c>
      <c r="CV184" s="68">
        <v>862021</v>
      </c>
      <c r="CW184" s="69">
        <v>1306027.21</v>
      </c>
      <c r="CX184" s="67">
        <v>987800</v>
      </c>
      <c r="CY184" s="68">
        <v>1479416.02</v>
      </c>
      <c r="CZ184" s="68">
        <v>1804250.62</v>
      </c>
      <c r="DA184" s="68">
        <v>0</v>
      </c>
      <c r="DB184" s="68">
        <v>227494.67</v>
      </c>
      <c r="DC184" s="68">
        <v>653597.98</v>
      </c>
      <c r="DD184" s="68">
        <v>858028.14</v>
      </c>
      <c r="DE184" s="68">
        <v>1253986.73</v>
      </c>
      <c r="DF184" s="68">
        <v>1638486.63</v>
      </c>
      <c r="DG184" s="68">
        <v>1434433.17</v>
      </c>
      <c r="DH184" s="68">
        <v>608624.21</v>
      </c>
      <c r="DI184" s="69">
        <v>2586424.5499999998</v>
      </c>
      <c r="DJ184" s="67">
        <v>0</v>
      </c>
      <c r="DK184" s="68">
        <v>0</v>
      </c>
      <c r="DL184" s="68">
        <v>851526.67</v>
      </c>
      <c r="DM184" s="68">
        <v>2065789.5</v>
      </c>
      <c r="DN184" s="68">
        <v>349813.47</v>
      </c>
      <c r="DO184" s="68">
        <v>2801716.91</v>
      </c>
      <c r="DP184" s="68">
        <v>4098120.6</v>
      </c>
      <c r="DQ184" s="68">
        <v>487975.56</v>
      </c>
      <c r="DR184" s="68">
        <v>3584705.75</v>
      </c>
      <c r="DS184" s="68">
        <v>589832.69999999995</v>
      </c>
      <c r="DT184" s="68">
        <v>80295.47</v>
      </c>
      <c r="DU184" s="69">
        <v>1733917.4</v>
      </c>
      <c r="DV184" s="61">
        <v>130000</v>
      </c>
      <c r="DW184" s="61">
        <v>3436897.95</v>
      </c>
      <c r="DX184" s="61">
        <v>959016.23</v>
      </c>
      <c r="DY184" s="61">
        <v>768573.09</v>
      </c>
      <c r="DZ184" s="79">
        <v>772013.71</v>
      </c>
      <c r="EA184" s="79"/>
      <c r="EB184" s="79">
        <v>2744750.61</v>
      </c>
      <c r="EC184" s="84">
        <v>290224.19</v>
      </c>
      <c r="ED184" s="79">
        <v>181226.94</v>
      </c>
      <c r="EE184" s="79">
        <v>773947.6</v>
      </c>
      <c r="EF184" s="79">
        <v>415858.03</v>
      </c>
      <c r="EG184" s="79">
        <v>8425505.6199999992</v>
      </c>
      <c r="EH184" s="62">
        <v>5000</v>
      </c>
      <c r="EI184" s="62">
        <v>25400</v>
      </c>
      <c r="EJ184" s="62">
        <v>493700</v>
      </c>
      <c r="EK184" s="62">
        <v>285897.84000000003</v>
      </c>
      <c r="EL184" s="62">
        <v>4315705.9400000004</v>
      </c>
      <c r="EM184" s="62">
        <v>1297104.97</v>
      </c>
      <c r="EN184" s="62">
        <v>826758.17</v>
      </c>
      <c r="EO184" s="62">
        <v>1509270</v>
      </c>
      <c r="EP184" s="62">
        <v>1178123.47</v>
      </c>
      <c r="EQ184" s="62">
        <v>4740919.33</v>
      </c>
      <c r="ER184" s="62">
        <v>1360299.94</v>
      </c>
      <c r="ES184" s="62">
        <v>3645650.27</v>
      </c>
      <c r="ET184" s="62">
        <v>190000</v>
      </c>
      <c r="EU184" s="62">
        <v>92000</v>
      </c>
      <c r="EV184" s="62">
        <v>2352909.08</v>
      </c>
      <c r="EW184" s="62">
        <v>460039.86</v>
      </c>
      <c r="EX184" s="62">
        <v>4042331.56</v>
      </c>
      <c r="EY184" s="62">
        <v>1980934.15</v>
      </c>
      <c r="EZ184" s="62">
        <v>1798952.01</v>
      </c>
      <c r="FA184" s="62">
        <v>249386.57</v>
      </c>
      <c r="FB184" s="62">
        <v>1509208.74</v>
      </c>
      <c r="FC184" s="62">
        <v>559184.78</v>
      </c>
      <c r="FD184" s="62">
        <v>1953551.9</v>
      </c>
      <c r="FE184" s="62">
        <v>8699001.4000000004</v>
      </c>
      <c r="FF184" s="62"/>
      <c r="FG184" s="62">
        <v>1952871.71</v>
      </c>
      <c r="FH184" s="62">
        <v>278787.49</v>
      </c>
      <c r="FI184" s="62">
        <v>1806704.1</v>
      </c>
      <c r="FJ184" s="62">
        <v>1407800</v>
      </c>
      <c r="FK184" s="62">
        <v>1291723.94</v>
      </c>
      <c r="FL184" s="1">
        <v>6488928.9000000004</v>
      </c>
      <c r="FM184" s="62">
        <v>433973.31</v>
      </c>
      <c r="FN184" s="62">
        <v>745665.27</v>
      </c>
      <c r="FO184" s="62">
        <v>424125.36</v>
      </c>
      <c r="FP184" s="62">
        <v>5226150</v>
      </c>
      <c r="FQ184" s="62">
        <v>4239725.51</v>
      </c>
      <c r="FR184" s="62">
        <v>1941194</v>
      </c>
      <c r="FS184" s="62">
        <v>720000</v>
      </c>
      <c r="FT184" s="62">
        <v>117020</v>
      </c>
      <c r="FU184" s="62">
        <v>3138464.05</v>
      </c>
      <c r="FV184" s="62">
        <v>16941995.850000001</v>
      </c>
      <c r="FW184" s="62">
        <v>18264699.84</v>
      </c>
      <c r="FX184" s="62">
        <v>10247185.029999999</v>
      </c>
      <c r="FY184" s="62">
        <v>34716650.759999998</v>
      </c>
      <c r="FZ184" s="62">
        <v>5007344.8</v>
      </c>
      <c r="GA184" s="62">
        <v>9782266.6999999993</v>
      </c>
      <c r="GB184" s="62">
        <v>6000238.46</v>
      </c>
      <c r="GC184" s="62">
        <v>9536649.7100000009</v>
      </c>
      <c r="GD184" s="62"/>
      <c r="GF184" s="62"/>
      <c r="GG184" s="62"/>
      <c r="GH184" s="62"/>
      <c r="GI184" s="62"/>
      <c r="GJ184" s="62"/>
      <c r="GK184" s="62"/>
      <c r="GL184" s="62"/>
      <c r="GM184" s="62"/>
      <c r="GN184" s="62"/>
      <c r="GO184" s="62"/>
      <c r="GP184" s="62"/>
      <c r="GQ184" s="62"/>
      <c r="GR184" s="62"/>
      <c r="GS184" s="62"/>
      <c r="GT184" s="62"/>
      <c r="GU184" s="62"/>
      <c r="GV184" s="62"/>
      <c r="GW184" s="62"/>
      <c r="GX184" s="62"/>
      <c r="GY184" s="62"/>
      <c r="GZ184" s="62"/>
      <c r="HA184" s="62"/>
      <c r="HB184" s="62"/>
      <c r="HC184" s="62"/>
      <c r="HD184" s="62"/>
      <c r="HE184" s="62"/>
      <c r="HF184" s="62"/>
      <c r="HG184" s="62"/>
      <c r="HH184" s="62"/>
      <c r="HI184" s="62"/>
      <c r="HJ184" s="62"/>
      <c r="HK184" s="62"/>
      <c r="HL184" s="62"/>
      <c r="HM184" s="62"/>
      <c r="HN184" s="62"/>
      <c r="HO184" s="62"/>
      <c r="HP184" s="62"/>
      <c r="HQ184" s="62"/>
      <c r="HR184" s="62"/>
      <c r="HS184" s="62"/>
      <c r="HT184" s="62"/>
      <c r="HU184" s="62"/>
      <c r="HV184" s="62"/>
      <c r="HW184" s="62"/>
      <c r="HX184" s="62"/>
      <c r="HY184" s="62"/>
      <c r="HZ184" s="62"/>
      <c r="IA184" s="62"/>
      <c r="IB184" s="62"/>
      <c r="IC184" s="62"/>
      <c r="ID184" s="62"/>
      <c r="IE184" s="62"/>
      <c r="IF184" s="62"/>
      <c r="IG184" s="62"/>
      <c r="IH184" s="62"/>
      <c r="II184" s="62"/>
      <c r="IJ184" s="62"/>
      <c r="IK184" s="62"/>
      <c r="IL184" s="62"/>
      <c r="IM184" s="62"/>
      <c r="IN184" s="62"/>
      <c r="IO184" s="62"/>
      <c r="IP184" s="62"/>
      <c r="IQ184" s="62"/>
      <c r="IR184" s="62"/>
      <c r="IS184" s="62"/>
      <c r="IT184" s="62"/>
      <c r="IU184" s="62"/>
      <c r="IV184" s="62"/>
      <c r="IW184" s="62"/>
      <c r="IX184" s="62"/>
      <c r="IY184" s="62"/>
      <c r="IZ184" s="62"/>
      <c r="JA184" s="62"/>
      <c r="JB184" s="62"/>
      <c r="JC184" s="62"/>
      <c r="JD184" s="62"/>
      <c r="JE184" s="62"/>
      <c r="JF184" s="62"/>
      <c r="JG184" s="62"/>
      <c r="JH184" s="62"/>
      <c r="JI184" s="62"/>
      <c r="JJ184" s="62"/>
      <c r="JK184" s="62"/>
      <c r="JL184" s="62"/>
      <c r="JM184" s="62"/>
      <c r="JN184" s="62"/>
      <c r="JO184" s="62"/>
      <c r="JP184" s="62"/>
      <c r="JQ184" s="62"/>
      <c r="JR184" s="62"/>
      <c r="JS184" s="62"/>
      <c r="JT184" s="62"/>
      <c r="JU184" s="62"/>
      <c r="JV184" s="62"/>
      <c r="JW184" s="62"/>
      <c r="JX184" s="62"/>
      <c r="JY184" s="62"/>
      <c r="JZ184" s="62"/>
      <c r="KA184" s="62"/>
      <c r="KB184" s="62"/>
      <c r="KC184" s="62"/>
      <c r="KD184" s="62"/>
      <c r="KE184" s="62"/>
      <c r="KF184" s="62"/>
      <c r="KG184" s="62"/>
      <c r="KH184" s="62"/>
      <c r="KI184" s="62"/>
      <c r="KJ184" s="62"/>
      <c r="KK184" s="62"/>
      <c r="KL184" s="62"/>
      <c r="KM184" s="62"/>
      <c r="KN184" s="62"/>
      <c r="KO184" s="62"/>
      <c r="KP184" s="62"/>
      <c r="KQ184" s="62"/>
      <c r="KR184" s="62"/>
      <c r="KS184" s="62"/>
      <c r="KT184" s="62"/>
      <c r="KU184" s="62"/>
      <c r="KV184" s="62"/>
      <c r="KW184" s="62"/>
      <c r="KX184" s="62"/>
      <c r="KY184" s="62"/>
      <c r="KZ184" s="62"/>
      <c r="LA184" s="62"/>
      <c r="LB184" s="62"/>
      <c r="LC184" s="62"/>
      <c r="LD184" s="62"/>
      <c r="LE184" s="62"/>
      <c r="LF184" s="62"/>
      <c r="LG184" s="62"/>
      <c r="LH184" s="62"/>
      <c r="LI184" s="62"/>
    </row>
    <row r="185" spans="1:321">
      <c r="A185" s="59" t="s">
        <v>6</v>
      </c>
      <c r="B185" s="59" t="s">
        <v>6</v>
      </c>
      <c r="C185" s="59">
        <v>471</v>
      </c>
      <c r="D185" s="59">
        <v>4710</v>
      </c>
      <c r="E185" s="60" t="s">
        <v>477</v>
      </c>
      <c r="F185" s="67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9"/>
      <c r="R185" s="67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9"/>
      <c r="AD185" s="67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9"/>
      <c r="AP185" s="67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9"/>
      <c r="BB185" s="67"/>
      <c r="BC185" s="68"/>
      <c r="BD185" s="68"/>
      <c r="BE185" s="68"/>
      <c r="BF185" s="68"/>
      <c r="BG185" s="68"/>
      <c r="BH185" s="68"/>
      <c r="BI185" s="68"/>
      <c r="BJ185" s="68"/>
      <c r="BK185" s="68"/>
      <c r="BL185" s="68"/>
      <c r="BM185" s="69"/>
      <c r="BN185" s="67"/>
      <c r="BO185" s="68"/>
      <c r="BP185" s="68"/>
      <c r="BQ185" s="68"/>
      <c r="BR185" s="68"/>
      <c r="BS185" s="68"/>
      <c r="BT185" s="68"/>
      <c r="BU185" s="68"/>
      <c r="BV185" s="68"/>
      <c r="BW185" s="68"/>
      <c r="BX185" s="68"/>
      <c r="BY185" s="69"/>
      <c r="BZ185" s="67"/>
      <c r="CA185" s="68"/>
      <c r="CB185" s="68"/>
      <c r="CC185" s="68"/>
      <c r="CD185" s="68"/>
      <c r="CE185" s="68"/>
      <c r="CF185" s="68"/>
      <c r="CG185" s="68"/>
      <c r="CH185" s="68"/>
      <c r="CI185" s="68"/>
      <c r="CJ185" s="68"/>
      <c r="CK185" s="68"/>
      <c r="CL185" s="67">
        <v>152480</v>
      </c>
      <c r="CM185" s="68">
        <v>69850</v>
      </c>
      <c r="CN185" s="68">
        <v>341282.21</v>
      </c>
      <c r="CO185" s="68">
        <v>430460</v>
      </c>
      <c r="CP185" s="68">
        <v>1010265.09</v>
      </c>
      <c r="CQ185" s="68">
        <v>3303845.5</v>
      </c>
      <c r="CR185" s="68">
        <v>2217610</v>
      </c>
      <c r="CS185" s="68">
        <v>1221150.82</v>
      </c>
      <c r="CT185" s="68">
        <v>2522421.1</v>
      </c>
      <c r="CU185" s="68">
        <v>283431.86</v>
      </c>
      <c r="CV185" s="68">
        <v>862021</v>
      </c>
      <c r="CW185" s="69">
        <v>1306027.21</v>
      </c>
      <c r="CX185" s="67">
        <v>987800</v>
      </c>
      <c r="CY185" s="68">
        <v>1479416.02</v>
      </c>
      <c r="CZ185" s="68">
        <v>1804250.62</v>
      </c>
      <c r="DA185" s="68">
        <v>0</v>
      </c>
      <c r="DB185" s="68">
        <v>227494.67</v>
      </c>
      <c r="DC185" s="68">
        <v>653597.98</v>
      </c>
      <c r="DD185" s="68">
        <v>858028.14</v>
      </c>
      <c r="DE185" s="68">
        <v>1253986.73</v>
      </c>
      <c r="DF185" s="68">
        <v>1638486.63</v>
      </c>
      <c r="DG185" s="68">
        <v>1434433.17</v>
      </c>
      <c r="DH185" s="68">
        <v>608624.21</v>
      </c>
      <c r="DI185" s="69">
        <v>2586424.5499999998</v>
      </c>
      <c r="DJ185" s="67">
        <v>0</v>
      </c>
      <c r="DK185" s="68">
        <v>0</v>
      </c>
      <c r="DL185" s="68">
        <v>851526.67</v>
      </c>
      <c r="DM185" s="68">
        <v>2065789.5</v>
      </c>
      <c r="DN185" s="68">
        <v>349813.47</v>
      </c>
      <c r="DO185" s="68">
        <v>2801716.91</v>
      </c>
      <c r="DP185" s="68">
        <v>4098120.6</v>
      </c>
      <c r="DQ185" s="68">
        <v>487975.56</v>
      </c>
      <c r="DR185" s="68">
        <v>3584705.75</v>
      </c>
      <c r="DS185" s="68">
        <v>589832.69999999995</v>
      </c>
      <c r="DT185" s="68">
        <v>80295.47</v>
      </c>
      <c r="DU185" s="69">
        <v>1733917.4</v>
      </c>
      <c r="DV185" s="61">
        <v>130000</v>
      </c>
      <c r="DW185" s="61">
        <v>3436897.95</v>
      </c>
      <c r="DX185" s="61">
        <v>959016.23</v>
      </c>
      <c r="DY185" s="61">
        <v>768573.09</v>
      </c>
      <c r="DZ185" s="79">
        <v>772013.71</v>
      </c>
      <c r="EB185" s="79">
        <v>2744750.61</v>
      </c>
      <c r="EC185" s="79"/>
      <c r="ED185" s="79"/>
      <c r="EE185" s="79"/>
      <c r="EF185" s="79"/>
      <c r="EG185" s="79"/>
      <c r="EH185" s="62">
        <v>5000</v>
      </c>
      <c r="EI185" s="62">
        <v>25400</v>
      </c>
      <c r="EJ185" s="62"/>
      <c r="EK185" s="62"/>
      <c r="EL185" s="62"/>
      <c r="EM185" s="62"/>
      <c r="EN185" s="62"/>
      <c r="EO185" s="62"/>
      <c r="EP185" s="62"/>
      <c r="EQ185" s="62"/>
      <c r="ER185" s="62"/>
      <c r="ES185" s="62"/>
      <c r="ET185" s="62"/>
      <c r="EU185" s="62"/>
      <c r="EV185" s="62"/>
      <c r="EW185" s="62"/>
      <c r="EX185" s="62"/>
      <c r="EY185" s="62"/>
      <c r="EZ185" s="62"/>
      <c r="FA185" s="62"/>
      <c r="FB185" s="62"/>
      <c r="FC185" s="62"/>
      <c r="FD185" s="62"/>
      <c r="FE185" s="62"/>
      <c r="FF185" s="62"/>
      <c r="FG185" s="62"/>
      <c r="FH185" s="62"/>
      <c r="FI185" s="62"/>
      <c r="FJ185" s="62"/>
      <c r="FK185" s="62"/>
      <c r="FL185" s="62"/>
      <c r="FM185" s="62"/>
      <c r="FN185" s="62"/>
      <c r="FO185" s="62"/>
      <c r="FP185" s="62"/>
      <c r="FQ185" s="62"/>
      <c r="FR185" s="62"/>
      <c r="FS185" s="62"/>
      <c r="FT185" s="62"/>
      <c r="FU185" s="62"/>
      <c r="FV185" s="62"/>
      <c r="FW185" s="62"/>
      <c r="FX185" s="62"/>
      <c r="FY185" s="62"/>
      <c r="FZ185" s="62"/>
      <c r="GA185" s="62"/>
      <c r="GB185" s="62"/>
      <c r="GC185" s="62"/>
      <c r="GD185" s="62"/>
      <c r="GF185" s="62"/>
      <c r="GG185" s="62"/>
      <c r="GH185" s="62"/>
      <c r="GI185" s="62"/>
      <c r="GJ185" s="62"/>
      <c r="GK185" s="62"/>
      <c r="GL185" s="62"/>
      <c r="GM185" s="62"/>
      <c r="GN185" s="62"/>
      <c r="GO185" s="62"/>
      <c r="GP185" s="62"/>
      <c r="GQ185" s="62"/>
      <c r="GR185" s="62"/>
      <c r="GS185" s="62"/>
      <c r="GT185" s="62"/>
      <c r="GU185" s="62"/>
      <c r="GV185" s="62"/>
      <c r="GW185" s="62"/>
      <c r="GX185" s="62"/>
      <c r="GY185" s="62"/>
      <c r="GZ185" s="62"/>
      <c r="HA185" s="62"/>
      <c r="HB185" s="62"/>
      <c r="HC185" s="62"/>
      <c r="HD185" s="62"/>
      <c r="HE185" s="62"/>
      <c r="HF185" s="62"/>
      <c r="HG185" s="62"/>
      <c r="HH185" s="62"/>
      <c r="HI185" s="62"/>
      <c r="HJ185" s="62"/>
      <c r="HK185" s="62"/>
      <c r="HL185" s="62"/>
      <c r="HM185" s="62"/>
      <c r="HN185" s="62"/>
      <c r="HO185" s="62"/>
      <c r="HP185" s="62"/>
      <c r="HQ185" s="62"/>
      <c r="HR185" s="62"/>
      <c r="HS185" s="62"/>
      <c r="HT185" s="62"/>
      <c r="HU185" s="62"/>
      <c r="HV185" s="62"/>
      <c r="HW185" s="62"/>
      <c r="HX185" s="62"/>
      <c r="HY185" s="62"/>
      <c r="HZ185" s="62"/>
      <c r="IA185" s="62"/>
      <c r="IB185" s="62"/>
      <c r="IC185" s="62"/>
      <c r="ID185" s="62"/>
      <c r="IE185" s="62"/>
      <c r="IF185" s="62"/>
      <c r="IG185" s="62"/>
      <c r="IH185" s="62"/>
      <c r="II185" s="62"/>
      <c r="IJ185" s="62"/>
      <c r="IK185" s="62"/>
      <c r="IL185" s="62"/>
      <c r="IM185" s="62"/>
      <c r="IN185" s="62"/>
      <c r="IO185" s="62"/>
      <c r="IP185" s="62"/>
      <c r="IQ185" s="62"/>
      <c r="IR185" s="62"/>
      <c r="IS185" s="62"/>
      <c r="IT185" s="62"/>
      <c r="IU185" s="62"/>
      <c r="IV185" s="62"/>
      <c r="IW185" s="62"/>
      <c r="IX185" s="62"/>
      <c r="IY185" s="62"/>
      <c r="IZ185" s="62"/>
      <c r="JA185" s="62"/>
      <c r="JB185" s="62"/>
      <c r="JC185" s="62"/>
      <c r="JD185" s="62"/>
      <c r="JE185" s="62"/>
      <c r="JF185" s="62"/>
      <c r="JG185" s="62"/>
      <c r="JH185" s="62"/>
      <c r="JI185" s="62"/>
      <c r="JJ185" s="62"/>
      <c r="JK185" s="62"/>
      <c r="JL185" s="62"/>
      <c r="JM185" s="62"/>
      <c r="JN185" s="62"/>
      <c r="JO185" s="62"/>
      <c r="JP185" s="62"/>
      <c r="JQ185" s="62"/>
      <c r="JR185" s="62"/>
      <c r="JS185" s="62"/>
      <c r="JT185" s="62"/>
      <c r="JU185" s="62"/>
      <c r="JV185" s="62"/>
      <c r="JW185" s="62"/>
      <c r="JX185" s="62"/>
      <c r="JY185" s="62"/>
      <c r="JZ185" s="62"/>
      <c r="KA185" s="62"/>
      <c r="KB185" s="62"/>
      <c r="KC185" s="62"/>
      <c r="KD185" s="62"/>
      <c r="KE185" s="62"/>
      <c r="KF185" s="62"/>
      <c r="KG185" s="62"/>
      <c r="KH185" s="62"/>
      <c r="KI185" s="62"/>
      <c r="KJ185" s="62"/>
      <c r="KK185" s="62"/>
      <c r="KL185" s="62"/>
      <c r="KM185" s="62"/>
      <c r="KN185" s="62"/>
      <c r="KO185" s="62"/>
      <c r="KP185" s="62"/>
      <c r="KQ185" s="62"/>
      <c r="KR185" s="62"/>
      <c r="KS185" s="62"/>
      <c r="KT185" s="62"/>
      <c r="KU185" s="62"/>
      <c r="KV185" s="62"/>
      <c r="KW185" s="62"/>
      <c r="KX185" s="62"/>
      <c r="KY185" s="62"/>
      <c r="KZ185" s="62"/>
      <c r="LA185" s="62"/>
      <c r="LB185" s="62"/>
      <c r="LC185" s="62"/>
      <c r="LD185" s="62"/>
      <c r="LE185" s="62"/>
      <c r="LF185" s="62"/>
      <c r="LG185" s="62"/>
      <c r="LH185" s="62"/>
      <c r="LI185" s="62"/>
    </row>
    <row r="186" spans="1:321">
      <c r="C186" s="59">
        <v>472</v>
      </c>
      <c r="D186" s="59">
        <v>4720</v>
      </c>
      <c r="E186" s="60" t="s">
        <v>478</v>
      </c>
      <c r="F186" s="67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9"/>
      <c r="R186" s="67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9"/>
      <c r="AD186" s="67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9"/>
      <c r="AP186" s="67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9"/>
      <c r="BB186" s="67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9"/>
      <c r="BN186" s="67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9"/>
      <c r="BZ186" s="67"/>
      <c r="CA186" s="68"/>
      <c r="CB186" s="68"/>
      <c r="CC186" s="68"/>
      <c r="CD186" s="68"/>
      <c r="CE186" s="68"/>
      <c r="CF186" s="68"/>
      <c r="CG186" s="68"/>
      <c r="CH186" s="68"/>
      <c r="CI186" s="68"/>
      <c r="CJ186" s="68"/>
      <c r="CK186" s="68"/>
      <c r="CL186" s="67">
        <v>0</v>
      </c>
      <c r="CM186" s="68">
        <v>0</v>
      </c>
      <c r="CN186" s="68">
        <v>40600</v>
      </c>
      <c r="CO186" s="68">
        <v>365400</v>
      </c>
      <c r="CP186" s="68">
        <v>0</v>
      </c>
      <c r="CQ186" s="68">
        <v>0</v>
      </c>
      <c r="CR186" s="68">
        <v>0</v>
      </c>
      <c r="CS186" s="68">
        <v>0</v>
      </c>
      <c r="CT186" s="68">
        <v>0</v>
      </c>
      <c r="CU186" s="68">
        <v>0</v>
      </c>
      <c r="CV186" s="68">
        <v>0</v>
      </c>
      <c r="CW186" s="69">
        <v>0</v>
      </c>
      <c r="CX186" s="67">
        <v>0</v>
      </c>
      <c r="CY186" s="68">
        <v>0</v>
      </c>
      <c r="CZ186" s="68">
        <v>0</v>
      </c>
      <c r="DA186" s="68">
        <v>0</v>
      </c>
      <c r="DB186" s="68">
        <v>0</v>
      </c>
      <c r="DC186" s="68">
        <v>0</v>
      </c>
      <c r="DD186" s="68">
        <v>0</v>
      </c>
      <c r="DE186" s="68">
        <v>0</v>
      </c>
      <c r="DF186" s="68">
        <v>0</v>
      </c>
      <c r="DG186" s="68">
        <v>0</v>
      </c>
      <c r="DH186" s="68">
        <v>0</v>
      </c>
      <c r="DI186" s="69">
        <v>0</v>
      </c>
      <c r="DJ186" s="67">
        <v>0</v>
      </c>
      <c r="DK186" s="68">
        <v>0</v>
      </c>
      <c r="DL186" s="68">
        <v>0</v>
      </c>
      <c r="DM186" s="68">
        <v>0</v>
      </c>
      <c r="DN186" s="68">
        <v>0</v>
      </c>
      <c r="DO186" s="68">
        <v>0</v>
      </c>
      <c r="DP186" s="68">
        <v>0</v>
      </c>
      <c r="DQ186" s="68">
        <v>0</v>
      </c>
      <c r="DR186" s="68">
        <v>0</v>
      </c>
      <c r="DS186" s="68">
        <v>0</v>
      </c>
      <c r="DT186" s="68">
        <v>0</v>
      </c>
      <c r="DU186" s="69">
        <v>0</v>
      </c>
      <c r="DV186" s="61">
        <v>0</v>
      </c>
      <c r="DW186" s="61">
        <v>0</v>
      </c>
      <c r="DX186" s="61">
        <v>0</v>
      </c>
      <c r="DY186" s="61">
        <v>0</v>
      </c>
      <c r="DZ186" s="79"/>
      <c r="EB186" s="79"/>
      <c r="EC186" s="79"/>
      <c r="ED186" s="79"/>
      <c r="EE186" s="79"/>
      <c r="EF186" s="79"/>
      <c r="EG186" s="79"/>
      <c r="EH186" s="62"/>
      <c r="EI186" s="62"/>
      <c r="EJ186" s="62"/>
      <c r="EK186" s="62"/>
      <c r="EL186" s="62"/>
      <c r="EM186" s="62"/>
      <c r="EN186" s="62"/>
      <c r="EO186" s="62"/>
      <c r="EP186" s="62"/>
      <c r="EQ186" s="62"/>
      <c r="ER186" s="62"/>
      <c r="ES186" s="62"/>
      <c r="ET186" s="62"/>
      <c r="EU186" s="62"/>
      <c r="EV186" s="62"/>
      <c r="EW186" s="62"/>
      <c r="EX186" s="62"/>
      <c r="EY186" s="91"/>
      <c r="EZ186" s="62"/>
      <c r="FA186" s="62"/>
      <c r="FB186" s="62"/>
      <c r="FC186" s="62"/>
      <c r="FD186" s="62"/>
      <c r="FE186" s="62"/>
      <c r="FF186" s="62"/>
      <c r="FG186" s="62"/>
      <c r="FH186" s="62"/>
      <c r="FI186" s="62"/>
      <c r="FJ186" s="62"/>
      <c r="FK186" s="62"/>
      <c r="FL186" s="62"/>
      <c r="FM186" s="62"/>
      <c r="FN186" s="62"/>
      <c r="FO186" s="62"/>
      <c r="FP186" s="62"/>
      <c r="FQ186" s="62"/>
      <c r="FR186" s="62"/>
      <c r="FS186" s="62"/>
      <c r="FT186" s="62"/>
      <c r="FU186" s="62"/>
      <c r="FV186" s="62"/>
      <c r="FW186" s="62"/>
      <c r="FX186" s="62"/>
      <c r="FY186" s="62"/>
      <c r="FZ186" s="62"/>
      <c r="GA186" s="62"/>
      <c r="GB186" s="62"/>
      <c r="GC186" s="62"/>
      <c r="GD186" s="62"/>
      <c r="GF186" s="62"/>
      <c r="GG186" s="62"/>
      <c r="GH186" s="62"/>
      <c r="GI186" s="62"/>
      <c r="GJ186" s="62"/>
      <c r="GK186" s="62"/>
      <c r="GL186" s="62"/>
      <c r="GM186" s="62"/>
      <c r="GN186" s="62"/>
      <c r="GO186" s="62"/>
      <c r="GP186" s="62"/>
      <c r="GQ186" s="62"/>
      <c r="GR186" s="62"/>
      <c r="GS186" s="62"/>
      <c r="GT186" s="62"/>
      <c r="GU186" s="62"/>
      <c r="GV186" s="62"/>
      <c r="GW186" s="62"/>
      <c r="GX186" s="62"/>
      <c r="GY186" s="62"/>
      <c r="GZ186" s="62"/>
      <c r="HA186" s="62"/>
      <c r="HB186" s="62"/>
      <c r="HC186" s="62"/>
      <c r="HD186" s="62"/>
      <c r="HE186" s="62"/>
      <c r="HF186" s="62"/>
      <c r="HG186" s="62"/>
      <c r="HH186" s="62"/>
      <c r="HI186" s="62"/>
      <c r="HJ186" s="62"/>
      <c r="HK186" s="62"/>
      <c r="HL186" s="62"/>
      <c r="HM186" s="62"/>
      <c r="HN186" s="62"/>
      <c r="HO186" s="62"/>
      <c r="HP186" s="62"/>
      <c r="HQ186" s="62"/>
      <c r="HR186" s="62"/>
      <c r="HS186" s="62"/>
      <c r="HT186" s="62"/>
      <c r="HU186" s="62"/>
      <c r="HV186" s="62"/>
      <c r="HW186" s="62"/>
      <c r="HX186" s="62"/>
      <c r="HY186" s="62"/>
      <c r="HZ186" s="62"/>
      <c r="IA186" s="62"/>
      <c r="IB186" s="62"/>
      <c r="IC186" s="62"/>
      <c r="ID186" s="62"/>
      <c r="IE186" s="62"/>
      <c r="IF186" s="62"/>
      <c r="IG186" s="62"/>
      <c r="IH186" s="62"/>
      <c r="II186" s="62"/>
      <c r="IJ186" s="62"/>
      <c r="IK186" s="62"/>
      <c r="IL186" s="62"/>
      <c r="IM186" s="62"/>
      <c r="IN186" s="62"/>
      <c r="IO186" s="62"/>
      <c r="IP186" s="62"/>
      <c r="IQ186" s="62"/>
      <c r="IR186" s="62"/>
      <c r="IS186" s="62"/>
      <c r="IT186" s="62"/>
      <c r="IU186" s="62"/>
      <c r="IV186" s="62"/>
      <c r="IW186" s="62"/>
      <c r="IX186" s="62"/>
      <c r="IY186" s="62"/>
      <c r="IZ186" s="62"/>
      <c r="JA186" s="62"/>
      <c r="JB186" s="62"/>
      <c r="JC186" s="62"/>
      <c r="JD186" s="62"/>
      <c r="JE186" s="62"/>
      <c r="JF186" s="62"/>
      <c r="JG186" s="62"/>
      <c r="JH186" s="62"/>
      <c r="JI186" s="62"/>
      <c r="JJ186" s="62"/>
      <c r="JK186" s="62"/>
      <c r="JL186" s="62"/>
      <c r="JM186" s="62"/>
      <c r="JN186" s="62"/>
      <c r="JO186" s="62"/>
      <c r="JP186" s="62"/>
      <c r="JQ186" s="62"/>
      <c r="JR186" s="62"/>
      <c r="JS186" s="62"/>
      <c r="JT186" s="62"/>
      <c r="JU186" s="62"/>
      <c r="JV186" s="62"/>
      <c r="JW186" s="62"/>
      <c r="JX186" s="62"/>
      <c r="JY186" s="62"/>
      <c r="JZ186" s="62"/>
      <c r="KA186" s="62"/>
      <c r="KB186" s="62"/>
      <c r="KC186" s="62"/>
      <c r="KD186" s="62"/>
      <c r="KE186" s="62"/>
      <c r="KF186" s="62"/>
      <c r="KG186" s="62"/>
      <c r="KH186" s="62"/>
      <c r="KI186" s="62"/>
      <c r="KJ186" s="62"/>
      <c r="KK186" s="62"/>
      <c r="KL186" s="62"/>
      <c r="KM186" s="62"/>
      <c r="KN186" s="62"/>
      <c r="KO186" s="62"/>
      <c r="KP186" s="62"/>
      <c r="KQ186" s="62"/>
      <c r="KR186" s="62"/>
      <c r="KS186" s="62"/>
      <c r="KT186" s="62"/>
      <c r="KU186" s="62"/>
      <c r="KV186" s="62"/>
      <c r="KW186" s="62"/>
      <c r="KX186" s="62"/>
      <c r="KY186" s="62"/>
      <c r="KZ186" s="62"/>
      <c r="LA186" s="62"/>
      <c r="LB186" s="62"/>
      <c r="LC186" s="62"/>
      <c r="LD186" s="62"/>
      <c r="LE186" s="62"/>
      <c r="LF186" s="62"/>
      <c r="LG186" s="62"/>
      <c r="LH186" s="62"/>
      <c r="LI186" s="62"/>
    </row>
    <row r="187" spans="1:321">
      <c r="C187" s="59">
        <v>473</v>
      </c>
      <c r="D187" s="59">
        <v>4730</v>
      </c>
      <c r="E187" s="60" t="s">
        <v>479</v>
      </c>
      <c r="F187" s="67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9"/>
      <c r="R187" s="67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9"/>
      <c r="AD187" s="67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9"/>
      <c r="AP187" s="67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9"/>
      <c r="BB187" s="67"/>
      <c r="BC187" s="68"/>
      <c r="BD187" s="68"/>
      <c r="BE187" s="68"/>
      <c r="BF187" s="68"/>
      <c r="BG187" s="68"/>
      <c r="BH187" s="68"/>
      <c r="BI187" s="68"/>
      <c r="BJ187" s="68"/>
      <c r="BK187" s="68"/>
      <c r="BL187" s="68"/>
      <c r="BM187" s="69"/>
      <c r="BN187" s="67"/>
      <c r="BO187" s="68"/>
      <c r="BP187" s="68"/>
      <c r="BQ187" s="68"/>
      <c r="BR187" s="68"/>
      <c r="BS187" s="68"/>
      <c r="BT187" s="68"/>
      <c r="BU187" s="68"/>
      <c r="BV187" s="68"/>
      <c r="BW187" s="68"/>
      <c r="BX187" s="68"/>
      <c r="BY187" s="69"/>
      <c r="BZ187" s="67"/>
      <c r="CA187" s="68"/>
      <c r="CB187" s="68"/>
      <c r="CC187" s="68"/>
      <c r="CD187" s="68"/>
      <c r="CE187" s="68"/>
      <c r="CF187" s="68"/>
      <c r="CG187" s="68"/>
      <c r="CH187" s="68"/>
      <c r="CI187" s="68"/>
      <c r="CJ187" s="68"/>
      <c r="CK187" s="68"/>
      <c r="CL187" s="67">
        <v>0</v>
      </c>
      <c r="CM187" s="68">
        <v>0</v>
      </c>
      <c r="CN187" s="68">
        <v>0</v>
      </c>
      <c r="CO187" s="68">
        <v>0</v>
      </c>
      <c r="CP187" s="68">
        <v>0</v>
      </c>
      <c r="CQ187" s="68">
        <v>0</v>
      </c>
      <c r="CR187" s="68">
        <v>0</v>
      </c>
      <c r="CS187" s="68">
        <v>0</v>
      </c>
      <c r="CT187" s="68">
        <v>0</v>
      </c>
      <c r="CU187" s="68">
        <v>0</v>
      </c>
      <c r="CV187" s="68">
        <v>0</v>
      </c>
      <c r="CW187" s="69">
        <v>0</v>
      </c>
      <c r="CX187" s="67">
        <v>0</v>
      </c>
      <c r="CY187" s="68">
        <v>0</v>
      </c>
      <c r="CZ187" s="68">
        <v>0</v>
      </c>
      <c r="DA187" s="68">
        <v>0</v>
      </c>
      <c r="DB187" s="68">
        <v>0</v>
      </c>
      <c r="DC187" s="68">
        <v>0</v>
      </c>
      <c r="DD187" s="68">
        <v>0</v>
      </c>
      <c r="DE187" s="68">
        <v>0</v>
      </c>
      <c r="DF187" s="68">
        <v>0</v>
      </c>
      <c r="DG187" s="68">
        <v>0</v>
      </c>
      <c r="DH187" s="68">
        <v>0</v>
      </c>
      <c r="DI187" s="69">
        <v>0</v>
      </c>
      <c r="DJ187" s="67">
        <v>0</v>
      </c>
      <c r="DK187" s="68">
        <v>0</v>
      </c>
      <c r="DL187" s="68">
        <v>0</v>
      </c>
      <c r="DM187" s="68">
        <v>0</v>
      </c>
      <c r="DN187" s="68">
        <v>0</v>
      </c>
      <c r="DO187" s="68">
        <v>0</v>
      </c>
      <c r="DP187" s="68">
        <v>0</v>
      </c>
      <c r="DQ187" s="68">
        <v>0</v>
      </c>
      <c r="DR187" s="68">
        <v>0</v>
      </c>
      <c r="DS187" s="68">
        <v>0</v>
      </c>
      <c r="DT187" s="68">
        <v>0</v>
      </c>
      <c r="DU187" s="69">
        <v>0</v>
      </c>
      <c r="DV187" s="61">
        <v>0</v>
      </c>
      <c r="DW187" s="61">
        <v>0</v>
      </c>
      <c r="DX187" s="61">
        <v>0</v>
      </c>
      <c r="DY187" s="61">
        <v>0</v>
      </c>
      <c r="DZ187" s="79"/>
      <c r="EC187" s="79"/>
      <c r="ED187" s="79"/>
      <c r="EE187" s="79"/>
      <c r="EF187" s="79"/>
      <c r="EG187" s="79"/>
      <c r="EH187" s="62"/>
      <c r="EI187" s="62"/>
      <c r="EJ187" s="62"/>
      <c r="EK187" s="62"/>
      <c r="EL187" s="62"/>
      <c r="EM187" s="62"/>
      <c r="EN187" s="62"/>
      <c r="EO187" s="62"/>
      <c r="EP187" s="62"/>
      <c r="EQ187" s="62"/>
      <c r="ER187" s="62"/>
      <c r="ES187" s="62"/>
      <c r="ET187" s="62"/>
      <c r="EU187" s="62"/>
      <c r="EV187" s="62"/>
      <c r="EW187" s="62"/>
      <c r="EX187" s="62"/>
      <c r="EY187" s="62"/>
      <c r="EZ187" s="62"/>
      <c r="FA187" s="62"/>
      <c r="FB187" s="62"/>
      <c r="FC187" s="62"/>
      <c r="FD187" s="62"/>
      <c r="FE187" s="62"/>
      <c r="FF187" s="62"/>
      <c r="FG187" s="62"/>
      <c r="FH187" s="62"/>
      <c r="FI187" s="62"/>
      <c r="FJ187" s="62"/>
      <c r="FK187" s="62"/>
      <c r="FL187" s="62"/>
      <c r="FM187" s="62"/>
      <c r="FN187" s="62"/>
      <c r="FO187" s="62"/>
      <c r="FP187" s="62"/>
      <c r="FQ187" s="62"/>
      <c r="FR187" s="62"/>
      <c r="FS187" s="62"/>
      <c r="FT187" s="62"/>
      <c r="FU187" s="62"/>
      <c r="FV187" s="62"/>
      <c r="FW187" s="62"/>
      <c r="FX187" s="62"/>
      <c r="FY187" s="62"/>
      <c r="FZ187" s="62"/>
      <c r="GA187" s="62"/>
      <c r="GB187" s="62"/>
      <c r="GC187" s="62"/>
      <c r="GD187" s="62"/>
      <c r="GF187" s="62"/>
      <c r="GG187" s="62"/>
      <c r="GH187" s="62"/>
      <c r="GI187" s="62"/>
      <c r="GJ187" s="62"/>
      <c r="GK187" s="62"/>
      <c r="GL187" s="62"/>
      <c r="GM187" s="62"/>
      <c r="GN187" s="62"/>
      <c r="GO187" s="62"/>
      <c r="GP187" s="62"/>
      <c r="GQ187" s="62"/>
      <c r="GR187" s="62"/>
      <c r="GS187" s="62"/>
      <c r="GT187" s="62"/>
      <c r="GU187" s="62"/>
      <c r="GV187" s="62"/>
      <c r="GW187" s="62"/>
      <c r="GX187" s="62"/>
      <c r="GY187" s="62"/>
      <c r="GZ187" s="62"/>
      <c r="HA187" s="62"/>
      <c r="HB187" s="62"/>
      <c r="HC187" s="62"/>
      <c r="HD187" s="62"/>
      <c r="HE187" s="62"/>
      <c r="HF187" s="62"/>
      <c r="HG187" s="62"/>
      <c r="HH187" s="62"/>
      <c r="HI187" s="62"/>
      <c r="HJ187" s="62"/>
      <c r="HK187" s="62"/>
      <c r="HL187" s="62"/>
      <c r="HM187" s="62"/>
      <c r="HN187" s="62"/>
      <c r="HO187" s="62"/>
      <c r="HP187" s="62"/>
      <c r="HQ187" s="62"/>
      <c r="HR187" s="62"/>
      <c r="HS187" s="62"/>
      <c r="HT187" s="62"/>
      <c r="HU187" s="62"/>
      <c r="HV187" s="62"/>
      <c r="HW187" s="62"/>
      <c r="HX187" s="62"/>
      <c r="HY187" s="62"/>
      <c r="HZ187" s="62"/>
      <c r="IA187" s="62"/>
      <c r="IB187" s="62"/>
      <c r="IC187" s="62"/>
      <c r="ID187" s="62"/>
      <c r="IE187" s="62"/>
      <c r="IF187" s="62"/>
      <c r="IG187" s="62"/>
      <c r="IH187" s="62"/>
      <c r="II187" s="62"/>
      <c r="IJ187" s="62"/>
      <c r="IK187" s="62"/>
      <c r="IL187" s="62"/>
      <c r="IM187" s="62"/>
      <c r="IN187" s="62"/>
      <c r="IO187" s="62"/>
      <c r="IP187" s="62"/>
      <c r="IQ187" s="62"/>
      <c r="IR187" s="62"/>
      <c r="IS187" s="62"/>
      <c r="IT187" s="62"/>
      <c r="IU187" s="62"/>
      <c r="IV187" s="62"/>
      <c r="IW187" s="62"/>
      <c r="IX187" s="62"/>
      <c r="IY187" s="62"/>
      <c r="IZ187" s="62"/>
      <c r="JA187" s="62"/>
      <c r="JB187" s="62"/>
      <c r="JC187" s="62"/>
      <c r="JD187" s="62"/>
      <c r="JE187" s="62"/>
      <c r="JF187" s="62"/>
      <c r="JG187" s="62"/>
      <c r="JH187" s="62"/>
      <c r="JI187" s="62"/>
      <c r="JJ187" s="62"/>
      <c r="JK187" s="62"/>
      <c r="JL187" s="62"/>
      <c r="JM187" s="62"/>
      <c r="JN187" s="62"/>
      <c r="JO187" s="62"/>
      <c r="JP187" s="62"/>
      <c r="JQ187" s="62"/>
      <c r="JR187" s="62"/>
      <c r="JS187" s="62"/>
      <c r="JT187" s="62"/>
      <c r="JU187" s="62"/>
      <c r="JV187" s="62"/>
      <c r="JW187" s="62"/>
      <c r="JX187" s="62"/>
      <c r="JY187" s="62"/>
      <c r="JZ187" s="62"/>
      <c r="KA187" s="62"/>
      <c r="KB187" s="62"/>
      <c r="KC187" s="62"/>
      <c r="KD187" s="62"/>
      <c r="KE187" s="62"/>
      <c r="KF187" s="62"/>
      <c r="KG187" s="62"/>
      <c r="KH187" s="62"/>
      <c r="KI187" s="62"/>
      <c r="KJ187" s="62"/>
      <c r="KK187" s="62"/>
      <c r="KL187" s="62"/>
      <c r="KM187" s="62"/>
      <c r="KN187" s="62"/>
      <c r="KO187" s="62"/>
      <c r="KP187" s="62"/>
      <c r="KQ187" s="62"/>
      <c r="KR187" s="62"/>
      <c r="KS187" s="62"/>
      <c r="KT187" s="62"/>
      <c r="KU187" s="62"/>
      <c r="KV187" s="62"/>
      <c r="KW187" s="62"/>
      <c r="KX187" s="62"/>
      <c r="KY187" s="62"/>
      <c r="KZ187" s="62"/>
      <c r="LA187" s="62"/>
      <c r="LB187" s="62"/>
      <c r="LC187" s="62"/>
      <c r="LD187" s="62"/>
      <c r="LE187" s="62"/>
      <c r="LF187" s="62"/>
      <c r="LG187" s="62"/>
      <c r="LH187" s="62"/>
      <c r="LI187" s="62"/>
    </row>
    <row r="188" spans="1:321">
      <c r="D188" s="59">
        <v>1005</v>
      </c>
      <c r="E188" s="60" t="s">
        <v>167</v>
      </c>
      <c r="F188" s="67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9"/>
      <c r="R188" s="67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9"/>
      <c r="AD188" s="67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9"/>
      <c r="AP188" s="67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9"/>
      <c r="BB188" s="67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9"/>
      <c r="BN188" s="67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9"/>
      <c r="BZ188" s="67"/>
      <c r="CA188" s="68"/>
      <c r="CB188" s="68"/>
      <c r="CC188" s="68"/>
      <c r="CD188" s="68"/>
      <c r="CE188" s="68"/>
      <c r="CF188" s="68"/>
      <c r="CG188" s="68"/>
      <c r="CH188" s="68"/>
      <c r="CI188" s="68"/>
      <c r="CJ188" s="68"/>
      <c r="CK188" s="68"/>
      <c r="CL188" s="67"/>
      <c r="CM188" s="68"/>
      <c r="CN188" s="68"/>
      <c r="CO188" s="68"/>
      <c r="CP188" s="68"/>
      <c r="CQ188" s="68"/>
      <c r="CR188" s="68"/>
      <c r="CS188" s="68"/>
      <c r="CT188" s="68"/>
      <c r="CU188" s="68"/>
      <c r="CV188" s="68"/>
      <c r="CW188" s="69">
        <v>14438105.227299999</v>
      </c>
      <c r="CX188" s="67"/>
      <c r="CY188" s="68"/>
      <c r="CZ188" s="68"/>
      <c r="DA188" s="68"/>
      <c r="DB188" s="68"/>
      <c r="DC188" s="68"/>
      <c r="DD188" s="68"/>
      <c r="DE188" s="68"/>
      <c r="DF188" s="68"/>
      <c r="DG188" s="68"/>
      <c r="DH188" s="68"/>
      <c r="DI188" s="69">
        <v>4091319.16</v>
      </c>
      <c r="DJ188" s="67"/>
      <c r="DK188" s="68"/>
      <c r="DL188" s="68"/>
      <c r="DM188" s="68"/>
      <c r="DN188" s="68"/>
      <c r="DO188" s="68"/>
      <c r="DP188" s="68"/>
      <c r="DQ188" s="68"/>
      <c r="DR188" s="68"/>
      <c r="DS188" s="68"/>
      <c r="DT188" s="68"/>
      <c r="DU188" s="69">
        <v>-15133946.66</v>
      </c>
      <c r="DZ188" s="92"/>
      <c r="EC188" s="79"/>
      <c r="ED188" s="79"/>
      <c r="EE188" s="79"/>
      <c r="EF188" s="79"/>
      <c r="EG188" s="79">
        <v>-12686256.23</v>
      </c>
      <c r="EH188" s="62"/>
      <c r="EI188" s="62"/>
      <c r="EJ188" s="62"/>
      <c r="EK188" s="62"/>
      <c r="EL188" s="62"/>
      <c r="EM188" s="62"/>
      <c r="EN188" s="62"/>
      <c r="EO188" s="62"/>
      <c r="EP188" s="62"/>
      <c r="EQ188" s="62"/>
      <c r="ER188" s="62"/>
      <c r="ES188" s="79">
        <v>13993228.51</v>
      </c>
      <c r="ET188" s="62"/>
      <c r="EU188" s="62"/>
      <c r="EV188" s="62"/>
      <c r="EW188" s="62"/>
      <c r="EX188" s="62"/>
      <c r="EY188" s="70"/>
      <c r="EZ188" s="62"/>
      <c r="FA188" s="62"/>
      <c r="FB188" s="62"/>
      <c r="FC188" s="62"/>
      <c r="FD188" s="62"/>
      <c r="FE188" s="62">
        <v>28097590.27</v>
      </c>
      <c r="FF188" s="62"/>
      <c r="FG188" s="62"/>
      <c r="FH188" s="62"/>
      <c r="FI188" s="62"/>
      <c r="FJ188" s="62"/>
      <c r="FK188" s="62"/>
      <c r="FL188" s="62"/>
      <c r="FM188" s="62"/>
      <c r="FN188" s="62"/>
      <c r="FO188" s="62"/>
      <c r="FP188" s="62"/>
      <c r="FQ188" s="62"/>
      <c r="FR188" s="62"/>
      <c r="FS188" s="62"/>
      <c r="FT188" s="62"/>
      <c r="FU188" s="62"/>
      <c r="FV188" s="62"/>
      <c r="FW188" s="62"/>
      <c r="FX188" s="62"/>
      <c r="FY188" s="62"/>
      <c r="FZ188" s="62"/>
      <c r="GA188" s="62"/>
      <c r="GB188" s="62"/>
      <c r="GC188" s="62"/>
      <c r="GD188" s="62"/>
      <c r="GF188" s="62"/>
      <c r="GG188" s="62"/>
      <c r="GH188" s="62"/>
      <c r="GI188" s="62"/>
      <c r="GJ188" s="62"/>
      <c r="GK188" s="62"/>
      <c r="GL188" s="62"/>
      <c r="GM188" s="62"/>
      <c r="GN188" s="62"/>
      <c r="GO188" s="62"/>
      <c r="GP188" s="62"/>
      <c r="GQ188" s="62"/>
      <c r="GR188" s="62"/>
      <c r="GS188" s="62"/>
      <c r="GT188" s="62"/>
      <c r="GU188" s="62"/>
      <c r="GV188" s="62"/>
      <c r="GW188" s="62"/>
      <c r="GX188" s="62"/>
      <c r="GY188" s="62"/>
      <c r="GZ188" s="62"/>
      <c r="HA188" s="62"/>
      <c r="HB188" s="62"/>
      <c r="HC188" s="62"/>
      <c r="HD188" s="62"/>
      <c r="HE188" s="62"/>
      <c r="HF188" s="62"/>
      <c r="HG188" s="62"/>
      <c r="HH188" s="62"/>
      <c r="HI188" s="62"/>
      <c r="HJ188" s="62"/>
      <c r="HK188" s="62"/>
      <c r="HL188" s="62"/>
      <c r="HM188" s="62"/>
      <c r="HN188" s="62"/>
      <c r="HO188" s="62"/>
      <c r="HP188" s="62"/>
      <c r="HQ188" s="62"/>
      <c r="HR188" s="62"/>
      <c r="HS188" s="62"/>
      <c r="HT188" s="62"/>
      <c r="HU188" s="62"/>
      <c r="HV188" s="62"/>
      <c r="HW188" s="62"/>
      <c r="HX188" s="62"/>
      <c r="HY188" s="62"/>
      <c r="HZ188" s="62"/>
      <c r="IA188" s="62"/>
      <c r="IB188" s="62"/>
      <c r="IC188" s="62"/>
      <c r="ID188" s="62"/>
      <c r="IE188" s="62"/>
      <c r="IF188" s="62"/>
      <c r="IG188" s="62"/>
      <c r="IH188" s="62"/>
      <c r="II188" s="62"/>
      <c r="IJ188" s="62"/>
      <c r="IK188" s="62"/>
      <c r="IL188" s="62"/>
      <c r="IM188" s="62"/>
      <c r="IN188" s="62"/>
      <c r="IO188" s="62"/>
      <c r="IP188" s="62"/>
      <c r="IQ188" s="62"/>
      <c r="IR188" s="62"/>
      <c r="IS188" s="62"/>
      <c r="IT188" s="62"/>
      <c r="IU188" s="62"/>
      <c r="IV188" s="62"/>
      <c r="IW188" s="62"/>
      <c r="IX188" s="62"/>
      <c r="IY188" s="62"/>
      <c r="IZ188" s="62"/>
      <c r="JA188" s="62"/>
      <c r="JB188" s="62"/>
      <c r="JC188" s="62"/>
      <c r="JD188" s="62"/>
      <c r="JE188" s="62"/>
      <c r="JF188" s="62"/>
      <c r="JG188" s="62"/>
      <c r="JH188" s="62"/>
      <c r="JI188" s="62"/>
      <c r="JJ188" s="62"/>
      <c r="JK188" s="62"/>
      <c r="JL188" s="62"/>
      <c r="JM188" s="62"/>
      <c r="JN188" s="62"/>
      <c r="JO188" s="62"/>
      <c r="JP188" s="62"/>
      <c r="JQ188" s="62"/>
      <c r="JR188" s="62"/>
      <c r="JS188" s="62"/>
      <c r="JT188" s="62"/>
      <c r="JU188" s="62"/>
      <c r="JV188" s="62"/>
      <c r="JW188" s="62"/>
      <c r="JX188" s="62"/>
      <c r="JY188" s="62"/>
      <c r="JZ188" s="62"/>
      <c r="KA188" s="62"/>
      <c r="KB188" s="62"/>
      <c r="KC188" s="62"/>
      <c r="KD188" s="62"/>
      <c r="KE188" s="62"/>
      <c r="KF188" s="62"/>
      <c r="KG188" s="62"/>
      <c r="KH188" s="62"/>
      <c r="KI188" s="62"/>
      <c r="KJ188" s="62"/>
      <c r="KK188" s="62"/>
      <c r="KL188" s="62"/>
      <c r="KM188" s="62"/>
      <c r="KN188" s="62"/>
      <c r="KO188" s="62"/>
      <c r="KP188" s="62"/>
      <c r="KQ188" s="62"/>
      <c r="KR188" s="62"/>
      <c r="KS188" s="62"/>
      <c r="KT188" s="62"/>
      <c r="KU188" s="62"/>
      <c r="KV188" s="62"/>
      <c r="KW188" s="62"/>
      <c r="KX188" s="62"/>
      <c r="KY188" s="62"/>
      <c r="KZ188" s="62"/>
      <c r="LA188" s="62"/>
      <c r="LB188" s="62"/>
      <c r="LC188" s="62"/>
      <c r="LD188" s="62"/>
      <c r="LE188" s="62"/>
      <c r="LF188" s="62"/>
      <c r="LG188" s="62"/>
      <c r="LH188" s="62"/>
      <c r="LI188" s="62"/>
    </row>
    <row r="189" spans="1:321">
      <c r="F189" s="67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9"/>
      <c r="R189" s="67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9"/>
      <c r="AD189" s="67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9"/>
      <c r="AP189" s="67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9"/>
      <c r="BB189" s="67"/>
      <c r="BC189" s="68"/>
      <c r="BD189" s="68"/>
      <c r="BE189" s="68"/>
      <c r="BF189" s="68"/>
      <c r="BG189" s="68"/>
      <c r="BH189" s="68"/>
      <c r="BI189" s="68"/>
      <c r="BJ189" s="68"/>
      <c r="BK189" s="68"/>
      <c r="BL189" s="68"/>
      <c r="BM189" s="69"/>
      <c r="BN189" s="67"/>
      <c r="BO189" s="68"/>
      <c r="BP189" s="68"/>
      <c r="BQ189" s="68"/>
      <c r="BR189" s="68"/>
      <c r="BS189" s="68"/>
      <c r="BT189" s="68"/>
      <c r="BU189" s="68"/>
      <c r="BV189" s="68"/>
      <c r="BW189" s="68"/>
      <c r="BX189" s="68"/>
      <c r="BY189" s="69"/>
      <c r="BZ189" s="67"/>
      <c r="CA189" s="68"/>
      <c r="CB189" s="68"/>
      <c r="CC189" s="68"/>
      <c r="CD189" s="68"/>
      <c r="CE189" s="68"/>
      <c r="CF189" s="68"/>
      <c r="CG189" s="68"/>
      <c r="CH189" s="68"/>
      <c r="CI189" s="68"/>
      <c r="CJ189" s="68"/>
      <c r="CK189" s="68"/>
      <c r="CL189" s="67"/>
      <c r="CM189" s="68"/>
      <c r="CN189" s="68"/>
      <c r="CO189" s="68"/>
      <c r="CP189" s="68"/>
      <c r="CQ189" s="68"/>
      <c r="CR189" s="68"/>
      <c r="CS189" s="68"/>
      <c r="CT189" s="68"/>
      <c r="CU189" s="68"/>
      <c r="CV189" s="68"/>
      <c r="CW189" s="69"/>
      <c r="CX189" s="67"/>
      <c r="CY189" s="68"/>
      <c r="CZ189" s="68"/>
      <c r="DA189" s="68"/>
      <c r="DB189" s="68"/>
      <c r="DC189" s="68"/>
      <c r="DD189" s="68"/>
      <c r="DE189" s="68"/>
      <c r="DF189" s="68"/>
      <c r="DG189" s="68"/>
      <c r="DH189" s="68"/>
      <c r="DI189" s="69"/>
      <c r="DJ189" s="67"/>
      <c r="DK189" s="68"/>
      <c r="DL189" s="68"/>
      <c r="DM189" s="68"/>
      <c r="DN189" s="68"/>
      <c r="DO189" s="68"/>
      <c r="DP189" s="68"/>
      <c r="DQ189" s="68"/>
      <c r="DR189" s="68"/>
      <c r="DS189" s="68"/>
      <c r="DT189" s="68"/>
      <c r="DU189" s="69"/>
      <c r="EC189" s="79"/>
      <c r="ED189" s="79"/>
      <c r="EE189" s="79"/>
      <c r="EF189" s="79"/>
      <c r="EG189" s="79"/>
      <c r="EH189" s="62"/>
      <c r="EI189" s="62"/>
      <c r="EJ189" s="62"/>
      <c r="EK189" s="62"/>
      <c r="EL189" s="62"/>
      <c r="EM189" s="62"/>
      <c r="EN189" s="62"/>
      <c r="EO189" s="62"/>
      <c r="EP189" s="62"/>
      <c r="EQ189" s="62"/>
      <c r="ER189" s="62"/>
      <c r="ES189" s="62"/>
      <c r="ET189" s="62"/>
      <c r="EU189" s="62"/>
      <c r="EV189" s="62"/>
      <c r="EW189" s="62"/>
      <c r="EX189" s="62"/>
      <c r="EY189" s="62"/>
      <c r="EZ189" s="62"/>
      <c r="FA189" s="62"/>
      <c r="FB189" s="62"/>
      <c r="FC189" s="62"/>
      <c r="FD189" s="62"/>
      <c r="FE189" s="62"/>
      <c r="FF189" s="62"/>
      <c r="FG189" s="62"/>
      <c r="FH189" s="62"/>
      <c r="FI189" s="62"/>
      <c r="FJ189" s="62"/>
      <c r="FK189" s="62"/>
      <c r="FL189" s="62"/>
      <c r="FM189" s="62"/>
      <c r="FN189" s="62"/>
      <c r="FO189" s="62"/>
      <c r="FP189" s="62"/>
      <c r="FQ189" s="62"/>
      <c r="FR189" s="62"/>
      <c r="FS189" s="62"/>
      <c r="FT189" s="62"/>
      <c r="FU189" s="62"/>
      <c r="FV189" s="62"/>
      <c r="FW189" s="62"/>
      <c r="FX189" s="62"/>
      <c r="FY189" s="62"/>
      <c r="FZ189" s="62"/>
      <c r="GA189" s="62"/>
      <c r="GB189" s="62"/>
      <c r="GC189" s="62"/>
      <c r="GD189" s="62"/>
      <c r="GF189" s="62"/>
      <c r="GG189" s="62"/>
      <c r="GH189" s="62"/>
      <c r="GI189" s="62"/>
      <c r="GJ189" s="62"/>
      <c r="GK189" s="62"/>
      <c r="GL189" s="62"/>
      <c r="GM189" s="62"/>
      <c r="GN189" s="62"/>
      <c r="GO189" s="62"/>
      <c r="GP189" s="62"/>
      <c r="GQ189" s="62"/>
      <c r="GR189" s="62"/>
      <c r="GS189" s="62"/>
      <c r="GT189" s="62"/>
      <c r="GU189" s="62"/>
      <c r="GV189" s="62"/>
      <c r="GW189" s="62"/>
      <c r="GX189" s="62"/>
      <c r="GY189" s="62"/>
      <c r="GZ189" s="62"/>
      <c r="HA189" s="62"/>
      <c r="HB189" s="62"/>
      <c r="HC189" s="62"/>
      <c r="HD189" s="62"/>
      <c r="HE189" s="62"/>
      <c r="HF189" s="62"/>
      <c r="HG189" s="62"/>
      <c r="HH189" s="62"/>
      <c r="HI189" s="62"/>
      <c r="HJ189" s="62"/>
      <c r="HK189" s="62"/>
      <c r="HL189" s="62"/>
      <c r="HM189" s="62"/>
      <c r="HN189" s="62"/>
      <c r="HO189" s="62"/>
      <c r="HP189" s="62"/>
      <c r="HQ189" s="62"/>
      <c r="HR189" s="62"/>
      <c r="HS189" s="62"/>
      <c r="HT189" s="62"/>
      <c r="HU189" s="62"/>
      <c r="HV189" s="62"/>
      <c r="HW189" s="62"/>
      <c r="HX189" s="62"/>
      <c r="HY189" s="62"/>
      <c r="HZ189" s="62"/>
      <c r="IA189" s="62"/>
      <c r="IB189" s="62"/>
      <c r="IC189" s="62"/>
      <c r="ID189" s="62"/>
      <c r="IE189" s="62"/>
      <c r="IF189" s="62"/>
      <c r="IG189" s="62"/>
      <c r="IH189" s="62"/>
      <c r="II189" s="62"/>
      <c r="IJ189" s="62"/>
      <c r="IK189" s="62"/>
      <c r="IL189" s="62"/>
      <c r="IM189" s="62"/>
      <c r="IN189" s="62"/>
      <c r="IO189" s="62"/>
      <c r="IP189" s="62"/>
      <c r="IQ189" s="62"/>
      <c r="IR189" s="62"/>
      <c r="IS189" s="62"/>
      <c r="IT189" s="62"/>
      <c r="IU189" s="62"/>
      <c r="IV189" s="62"/>
      <c r="IW189" s="62"/>
      <c r="IX189" s="62"/>
      <c r="IY189" s="62"/>
      <c r="IZ189" s="62"/>
      <c r="JA189" s="62"/>
      <c r="JB189" s="62"/>
      <c r="JC189" s="62"/>
      <c r="JD189" s="62"/>
      <c r="JE189" s="62"/>
      <c r="JF189" s="62"/>
      <c r="JG189" s="62"/>
      <c r="JH189" s="62"/>
      <c r="JI189" s="62"/>
      <c r="JJ189" s="62"/>
      <c r="JK189" s="62"/>
      <c r="JL189" s="62"/>
      <c r="JM189" s="62"/>
      <c r="JN189" s="62"/>
      <c r="JO189" s="62"/>
      <c r="JP189" s="62"/>
      <c r="JQ189" s="62"/>
      <c r="JR189" s="62"/>
      <c r="JS189" s="62"/>
      <c r="JT189" s="62"/>
      <c r="JU189" s="62"/>
      <c r="JV189" s="62"/>
      <c r="JW189" s="62"/>
      <c r="JX189" s="62"/>
      <c r="JY189" s="62"/>
      <c r="JZ189" s="62"/>
      <c r="KA189" s="62"/>
      <c r="KB189" s="62"/>
      <c r="KC189" s="62"/>
      <c r="KD189" s="62"/>
      <c r="KE189" s="62"/>
      <c r="KF189" s="62"/>
      <c r="KG189" s="62"/>
      <c r="KH189" s="62"/>
      <c r="KI189" s="62"/>
      <c r="KJ189" s="62"/>
      <c r="KK189" s="62"/>
      <c r="KL189" s="62"/>
      <c r="KM189" s="62"/>
      <c r="KN189" s="62"/>
      <c r="KO189" s="62"/>
      <c r="KP189" s="62"/>
      <c r="KQ189" s="62"/>
      <c r="KR189" s="62"/>
      <c r="KS189" s="62"/>
      <c r="KT189" s="62"/>
      <c r="KU189" s="62"/>
      <c r="KV189" s="62"/>
      <c r="KW189" s="62"/>
      <c r="KX189" s="62"/>
      <c r="KY189" s="62"/>
      <c r="KZ189" s="62"/>
      <c r="LA189" s="62"/>
      <c r="LB189" s="62"/>
      <c r="LC189" s="62"/>
      <c r="LD189" s="62"/>
      <c r="LE189" s="62"/>
      <c r="LF189" s="62"/>
      <c r="LG189" s="62"/>
      <c r="LH189" s="62"/>
      <c r="LI189" s="62"/>
    </row>
    <row r="190" spans="1:321">
      <c r="E190" s="60" t="str">
        <f>+Master!G30</f>
        <v>Prihodi budžeta</v>
      </c>
      <c r="CL190" s="68" t="e">
        <f>+#REF!</f>
        <v>#REF!</v>
      </c>
      <c r="CM190" s="68" t="e">
        <f>+#REF!</f>
        <v>#REF!</v>
      </c>
      <c r="CN190" s="68" t="e">
        <f>+#REF!</f>
        <v>#REF!</v>
      </c>
      <c r="CO190" s="68" t="e">
        <f>+#REF!</f>
        <v>#REF!</v>
      </c>
      <c r="CP190" s="68" t="e">
        <f>+#REF!</f>
        <v>#REF!</v>
      </c>
      <c r="CQ190" s="68" t="e">
        <f>+#REF!</f>
        <v>#REF!</v>
      </c>
      <c r="CR190" s="68" t="e">
        <f>+#REF!</f>
        <v>#REF!</v>
      </c>
      <c r="CS190" s="68" t="e">
        <f>+#REF!</f>
        <v>#REF!</v>
      </c>
      <c r="CT190" s="68" t="e">
        <f>+#REF!</f>
        <v>#REF!</v>
      </c>
      <c r="CU190" s="68" t="e">
        <f>+#REF!</f>
        <v>#REF!</v>
      </c>
      <c r="CV190" s="68" t="e">
        <f>+#REF!</f>
        <v>#REF!</v>
      </c>
      <c r="CW190" s="68" t="e">
        <f>+#REF!</f>
        <v>#REF!</v>
      </c>
      <c r="CX190" s="68" t="e">
        <f>+#REF!</f>
        <v>#REF!</v>
      </c>
      <c r="CY190" s="68" t="e">
        <f>+#REF!</f>
        <v>#REF!</v>
      </c>
      <c r="CZ190" s="68" t="e">
        <f>+#REF!</f>
        <v>#REF!</v>
      </c>
      <c r="DA190" s="68" t="e">
        <f>+#REF!</f>
        <v>#REF!</v>
      </c>
      <c r="DB190" s="68" t="e">
        <f>+#REF!</f>
        <v>#REF!</v>
      </c>
      <c r="DC190" s="68" t="e">
        <f>+#REF!</f>
        <v>#REF!</v>
      </c>
      <c r="DD190" s="68" t="e">
        <f>+#REF!</f>
        <v>#REF!</v>
      </c>
      <c r="DE190" s="68" t="e">
        <f>+#REF!</f>
        <v>#REF!</v>
      </c>
      <c r="DF190" s="68" t="e">
        <f>+#REF!</f>
        <v>#REF!</v>
      </c>
      <c r="DG190" s="68" t="e">
        <f>+#REF!</f>
        <v>#REF!</v>
      </c>
      <c r="DH190" s="68" t="e">
        <f>+#REF!</f>
        <v>#REF!</v>
      </c>
      <c r="DI190" s="68" t="e">
        <f>+#REF!</f>
        <v>#REF!</v>
      </c>
      <c r="EC190" s="79"/>
      <c r="ED190" s="79"/>
      <c r="EE190" s="79"/>
      <c r="EF190" s="79"/>
      <c r="EG190" s="79"/>
      <c r="EH190" s="62"/>
      <c r="EI190" s="62"/>
      <c r="EJ190" s="62"/>
      <c r="EK190" s="62"/>
      <c r="EL190" s="62"/>
      <c r="EM190" s="62"/>
      <c r="EN190" s="62"/>
      <c r="EO190" s="62"/>
      <c r="EP190" s="62"/>
      <c r="EQ190" s="62"/>
      <c r="ER190" s="62"/>
      <c r="ES190" s="62"/>
      <c r="ET190" s="62"/>
      <c r="EU190" s="62"/>
      <c r="EV190" s="62"/>
      <c r="EW190" s="62"/>
      <c r="EX190" s="62"/>
      <c r="EY190" s="62"/>
      <c r="EZ190" s="62"/>
      <c r="FA190" s="62"/>
      <c r="FB190" s="62"/>
      <c r="FC190" s="62"/>
      <c r="FD190" s="62"/>
      <c r="FE190" s="62"/>
      <c r="FF190" s="62"/>
      <c r="FG190" s="62"/>
      <c r="FH190" s="62"/>
      <c r="FI190" s="62"/>
      <c r="FJ190" s="62"/>
      <c r="FK190" s="62"/>
      <c r="FL190" s="62"/>
      <c r="FM190" s="62"/>
      <c r="FN190" s="62"/>
      <c r="FO190" s="62"/>
      <c r="FP190" s="62"/>
      <c r="FQ190" s="62"/>
      <c r="FR190" s="62"/>
      <c r="FS190" s="62"/>
      <c r="FT190" s="62"/>
      <c r="FU190" s="62"/>
      <c r="FV190" s="62"/>
      <c r="FW190" s="62"/>
      <c r="FX190" s="62"/>
      <c r="FY190" s="62"/>
      <c r="FZ190" s="62"/>
      <c r="GA190" s="62"/>
      <c r="GB190" s="62"/>
      <c r="GC190" s="62"/>
      <c r="GD190" s="62"/>
      <c r="GF190" s="62"/>
      <c r="GG190" s="62"/>
      <c r="GH190" s="62"/>
      <c r="GI190" s="62"/>
      <c r="GJ190" s="62"/>
      <c r="GK190" s="62"/>
      <c r="GL190" s="62"/>
      <c r="GM190" s="62"/>
      <c r="GN190" s="62"/>
      <c r="GO190" s="62"/>
      <c r="GP190" s="62"/>
      <c r="GQ190" s="62"/>
      <c r="GR190" s="62"/>
      <c r="GS190" s="62"/>
      <c r="GT190" s="62"/>
      <c r="GU190" s="62"/>
      <c r="GV190" s="62"/>
      <c r="GW190" s="62"/>
      <c r="GX190" s="62"/>
      <c r="GY190" s="62"/>
      <c r="GZ190" s="62"/>
      <c r="HA190" s="62"/>
      <c r="HB190" s="62"/>
      <c r="HC190" s="62"/>
      <c r="HD190" s="62"/>
      <c r="HE190" s="62"/>
      <c r="HF190" s="62"/>
      <c r="HG190" s="62"/>
      <c r="HH190" s="62"/>
      <c r="HI190" s="62"/>
      <c r="HJ190" s="62"/>
      <c r="HK190" s="62"/>
      <c r="HL190" s="62"/>
      <c r="HM190" s="62"/>
      <c r="HN190" s="62"/>
      <c r="HO190" s="62"/>
      <c r="HP190" s="62"/>
      <c r="HQ190" s="62"/>
      <c r="HR190" s="62"/>
      <c r="HS190" s="62"/>
      <c r="HT190" s="62"/>
      <c r="HU190" s="62"/>
      <c r="HV190" s="62"/>
      <c r="HW190" s="62"/>
      <c r="HX190" s="62"/>
      <c r="HY190" s="62"/>
      <c r="HZ190" s="62"/>
      <c r="IA190" s="62"/>
      <c r="IB190" s="62"/>
      <c r="IC190" s="62"/>
      <c r="ID190" s="62"/>
      <c r="IE190" s="62"/>
      <c r="IF190" s="62"/>
      <c r="IG190" s="62"/>
      <c r="IH190" s="62"/>
      <c r="II190" s="62"/>
      <c r="IJ190" s="62"/>
      <c r="IK190" s="62"/>
      <c r="IL190" s="62"/>
      <c r="IM190" s="62"/>
      <c r="IN190" s="62"/>
      <c r="IO190" s="62"/>
      <c r="IP190" s="62"/>
      <c r="IQ190" s="62"/>
      <c r="IR190" s="62"/>
      <c r="IS190" s="62"/>
      <c r="IT190" s="62"/>
      <c r="IU190" s="62"/>
      <c r="IV190" s="62"/>
      <c r="IW190" s="62"/>
      <c r="IX190" s="62"/>
      <c r="IY190" s="62"/>
      <c r="IZ190" s="62"/>
      <c r="JA190" s="62"/>
      <c r="JB190" s="62"/>
      <c r="JC190" s="62"/>
      <c r="JD190" s="62"/>
      <c r="JE190" s="62"/>
      <c r="JF190" s="62"/>
      <c r="JG190" s="62"/>
      <c r="JH190" s="62"/>
      <c r="JI190" s="62"/>
      <c r="JJ190" s="62"/>
      <c r="JK190" s="62"/>
      <c r="JL190" s="62"/>
      <c r="JM190" s="62"/>
      <c r="JN190" s="62"/>
      <c r="JO190" s="62"/>
      <c r="JP190" s="62"/>
      <c r="JQ190" s="62"/>
      <c r="JR190" s="62"/>
      <c r="JS190" s="62"/>
      <c r="JT190" s="62"/>
      <c r="JU190" s="62"/>
      <c r="JV190" s="62"/>
      <c r="JW190" s="62"/>
      <c r="JX190" s="62"/>
      <c r="JY190" s="62"/>
      <c r="JZ190" s="62"/>
      <c r="KA190" s="62"/>
      <c r="KB190" s="62"/>
      <c r="KC190" s="62"/>
      <c r="KD190" s="62"/>
      <c r="KE190" s="62"/>
      <c r="KF190" s="62"/>
      <c r="KG190" s="62"/>
      <c r="KH190" s="62"/>
      <c r="KI190" s="62"/>
      <c r="KJ190" s="62"/>
      <c r="KK190" s="62"/>
      <c r="KL190" s="62"/>
      <c r="KM190" s="62"/>
      <c r="KN190" s="62"/>
      <c r="KO190" s="62"/>
      <c r="KP190" s="62"/>
      <c r="KQ190" s="62"/>
      <c r="KR190" s="62"/>
      <c r="KS190" s="62"/>
      <c r="KT190" s="62"/>
      <c r="KU190" s="62"/>
      <c r="KV190" s="62"/>
      <c r="KW190" s="62"/>
      <c r="KX190" s="62"/>
      <c r="KY190" s="62"/>
      <c r="KZ190" s="62"/>
      <c r="LA190" s="62"/>
      <c r="LB190" s="62"/>
      <c r="LC190" s="62"/>
      <c r="LD190" s="62"/>
      <c r="LE190" s="62"/>
      <c r="LF190" s="62"/>
      <c r="LG190" s="62"/>
      <c r="LH190" s="62"/>
      <c r="LI190" s="62"/>
    </row>
    <row r="191" spans="1:321">
      <c r="E191" s="60" t="str">
        <f>+Master!G82</f>
        <v>Izdaci budžeta</v>
      </c>
      <c r="CL191" s="68" t="e">
        <f>+#REF!</f>
        <v>#REF!</v>
      </c>
      <c r="CM191" s="68" t="e">
        <f>+#REF!</f>
        <v>#REF!</v>
      </c>
      <c r="CN191" s="68" t="e">
        <f>+#REF!</f>
        <v>#REF!</v>
      </c>
      <c r="CO191" s="68" t="e">
        <f>+#REF!</f>
        <v>#REF!</v>
      </c>
      <c r="CP191" s="68" t="e">
        <f>+#REF!</f>
        <v>#REF!</v>
      </c>
      <c r="CQ191" s="68" t="e">
        <f>+#REF!</f>
        <v>#REF!</v>
      </c>
      <c r="CR191" s="68" t="e">
        <f>+#REF!</f>
        <v>#REF!</v>
      </c>
      <c r="CS191" s="68" t="e">
        <f>+#REF!</f>
        <v>#REF!</v>
      </c>
      <c r="CT191" s="68" t="e">
        <f>+#REF!</f>
        <v>#REF!</v>
      </c>
      <c r="CU191" s="68" t="e">
        <f>+#REF!</f>
        <v>#REF!</v>
      </c>
      <c r="CV191" s="68" t="e">
        <f>+#REF!</f>
        <v>#REF!</v>
      </c>
      <c r="CW191" s="68" t="e">
        <f>+#REF!</f>
        <v>#REF!</v>
      </c>
      <c r="CX191" s="68" t="e">
        <f>+#REF!</f>
        <v>#REF!</v>
      </c>
      <c r="CY191" s="68" t="e">
        <f>+#REF!</f>
        <v>#REF!</v>
      </c>
      <c r="CZ191" s="68" t="e">
        <f>+#REF!</f>
        <v>#REF!</v>
      </c>
      <c r="DA191" s="68" t="e">
        <f>+#REF!</f>
        <v>#REF!</v>
      </c>
      <c r="DB191" s="68" t="e">
        <f>+#REF!</f>
        <v>#REF!</v>
      </c>
      <c r="DC191" s="68" t="e">
        <f>+#REF!</f>
        <v>#REF!</v>
      </c>
      <c r="DD191" s="68" t="e">
        <f>+#REF!</f>
        <v>#REF!</v>
      </c>
      <c r="DE191" s="68" t="e">
        <f>+#REF!</f>
        <v>#REF!</v>
      </c>
      <c r="DF191" s="68" t="e">
        <f>+#REF!</f>
        <v>#REF!</v>
      </c>
      <c r="DG191" s="68" t="e">
        <f>+#REF!</f>
        <v>#REF!</v>
      </c>
      <c r="DH191" s="68" t="e">
        <f>+#REF!</f>
        <v>#REF!</v>
      </c>
      <c r="DI191" s="68" t="e">
        <f>+#REF!</f>
        <v>#REF!</v>
      </c>
      <c r="EC191" s="79"/>
      <c r="ED191" s="79"/>
      <c r="EE191" s="79"/>
      <c r="EF191" s="79"/>
      <c r="EG191" s="79"/>
      <c r="EH191" s="62"/>
      <c r="EI191" s="62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F191" s="62"/>
      <c r="GG191" s="62"/>
      <c r="GH191" s="62"/>
      <c r="GI191" s="62"/>
      <c r="GJ191" s="62"/>
      <c r="GK191" s="62"/>
      <c r="GL191" s="62"/>
      <c r="GM191" s="62"/>
      <c r="GN191" s="62"/>
      <c r="GO191" s="62"/>
      <c r="GP191" s="62"/>
      <c r="GQ191" s="62"/>
      <c r="GR191" s="62"/>
      <c r="GS191" s="62"/>
      <c r="GT191" s="62"/>
      <c r="GU191" s="62"/>
      <c r="GV191" s="62"/>
      <c r="GW191" s="62"/>
      <c r="GX191" s="62"/>
      <c r="GY191" s="62"/>
      <c r="GZ191" s="62"/>
      <c r="HA191" s="62"/>
      <c r="HB191" s="62"/>
      <c r="HC191" s="62"/>
      <c r="HD191" s="62"/>
      <c r="HE191" s="62"/>
      <c r="HF191" s="62"/>
      <c r="HG191" s="62"/>
      <c r="HH191" s="62"/>
      <c r="HI191" s="62"/>
      <c r="HJ191" s="62"/>
      <c r="HK191" s="62"/>
      <c r="HL191" s="62"/>
      <c r="HM191" s="62"/>
      <c r="HN191" s="62"/>
      <c r="HO191" s="62"/>
      <c r="HP191" s="62"/>
      <c r="HQ191" s="62"/>
      <c r="HR191" s="62"/>
      <c r="HS191" s="62"/>
      <c r="HT191" s="62"/>
      <c r="HU191" s="62"/>
      <c r="HV191" s="62"/>
      <c r="HW191" s="62"/>
      <c r="HX191" s="62"/>
      <c r="HY191" s="62"/>
      <c r="HZ191" s="62"/>
      <c r="IA191" s="62"/>
      <c r="IB191" s="62"/>
      <c r="IC191" s="62"/>
      <c r="ID191" s="62"/>
      <c r="IE191" s="62"/>
      <c r="IF191" s="62"/>
      <c r="IG191" s="62"/>
      <c r="IH191" s="62"/>
      <c r="II191" s="62"/>
      <c r="IJ191" s="62"/>
      <c r="IK191" s="62"/>
      <c r="IL191" s="62"/>
      <c r="IM191" s="62"/>
      <c r="IN191" s="62"/>
      <c r="IO191" s="62"/>
      <c r="IP191" s="62"/>
      <c r="IQ191" s="62"/>
      <c r="IR191" s="62"/>
      <c r="IS191" s="62"/>
      <c r="IT191" s="62"/>
      <c r="IU191" s="62"/>
      <c r="IV191" s="62"/>
      <c r="IW191" s="62"/>
      <c r="IX191" s="62"/>
      <c r="IY191" s="62"/>
      <c r="IZ191" s="62"/>
      <c r="JA191" s="62"/>
      <c r="JB191" s="62"/>
      <c r="JC191" s="62"/>
      <c r="JD191" s="62"/>
      <c r="JE191" s="62"/>
      <c r="JF191" s="62"/>
      <c r="JG191" s="62"/>
      <c r="JH191" s="62"/>
      <c r="JI191" s="62"/>
      <c r="JJ191" s="62"/>
      <c r="JK191" s="62"/>
      <c r="JL191" s="62"/>
      <c r="JM191" s="62"/>
      <c r="JN191" s="62"/>
      <c r="JO191" s="62"/>
      <c r="JP191" s="62"/>
      <c r="JQ191" s="62"/>
      <c r="JR191" s="62"/>
      <c r="JS191" s="62"/>
      <c r="JT191" s="62"/>
      <c r="JU191" s="62"/>
      <c r="JV191" s="62"/>
      <c r="JW191" s="62"/>
      <c r="JX191" s="62"/>
      <c r="JY191" s="62"/>
      <c r="JZ191" s="62"/>
      <c r="KA191" s="62"/>
      <c r="KB191" s="62"/>
      <c r="KC191" s="62"/>
      <c r="KD191" s="62"/>
      <c r="KE191" s="62"/>
      <c r="KF191" s="62"/>
      <c r="KG191" s="62"/>
      <c r="KH191" s="62"/>
      <c r="KI191" s="62"/>
      <c r="KJ191" s="62"/>
      <c r="KK191" s="62"/>
      <c r="KL191" s="62"/>
      <c r="KM191" s="62"/>
      <c r="KN191" s="62"/>
      <c r="KO191" s="62"/>
      <c r="KP191" s="62"/>
      <c r="KQ191" s="62"/>
      <c r="KR191" s="62"/>
      <c r="KS191" s="62"/>
      <c r="KT191" s="62"/>
      <c r="KU191" s="62"/>
      <c r="KV191" s="62"/>
      <c r="KW191" s="62"/>
      <c r="KX191" s="62"/>
      <c r="KY191" s="62"/>
      <c r="KZ191" s="62"/>
      <c r="LA191" s="62"/>
      <c r="LB191" s="62"/>
      <c r="LC191" s="62"/>
      <c r="LD191" s="62"/>
      <c r="LE191" s="62"/>
      <c r="LF191" s="62"/>
      <c r="LG191" s="62"/>
      <c r="LH191" s="62"/>
      <c r="LI191" s="62"/>
    </row>
    <row r="192" spans="1:321">
      <c r="E192" s="60" t="str">
        <f>+Master!G220</f>
        <v>Suficit / deficit</v>
      </c>
      <c r="CL192" s="68" t="e">
        <f>+#REF!</f>
        <v>#REF!</v>
      </c>
      <c r="CM192" s="68" t="e">
        <f>+#REF!</f>
        <v>#REF!</v>
      </c>
      <c r="CN192" s="68" t="e">
        <f>+#REF!</f>
        <v>#REF!</v>
      </c>
      <c r="CO192" s="68" t="e">
        <f>+#REF!</f>
        <v>#REF!</v>
      </c>
      <c r="CP192" s="68" t="e">
        <f>+#REF!</f>
        <v>#REF!</v>
      </c>
      <c r="CQ192" s="68" t="e">
        <f>+#REF!</f>
        <v>#REF!</v>
      </c>
      <c r="CR192" s="68" t="e">
        <f>+#REF!</f>
        <v>#REF!</v>
      </c>
      <c r="CS192" s="68" t="e">
        <f>+#REF!</f>
        <v>#REF!</v>
      </c>
      <c r="CT192" s="68" t="e">
        <f>+#REF!</f>
        <v>#REF!</v>
      </c>
      <c r="CU192" s="68" t="e">
        <f>+#REF!</f>
        <v>#REF!</v>
      </c>
      <c r="CV192" s="68" t="e">
        <f>+#REF!</f>
        <v>#REF!</v>
      </c>
      <c r="CW192" s="68" t="e">
        <f>+#REF!</f>
        <v>#REF!</v>
      </c>
      <c r="CX192" s="68" t="e">
        <f>+CX190-CX191</f>
        <v>#REF!</v>
      </c>
      <c r="CY192" s="68" t="e">
        <f t="shared" ref="CY192:DI192" si="15">+CY190-CY191</f>
        <v>#REF!</v>
      </c>
      <c r="CZ192" s="68" t="e">
        <f t="shared" si="15"/>
        <v>#REF!</v>
      </c>
      <c r="DA192" s="68" t="e">
        <f t="shared" si="15"/>
        <v>#REF!</v>
      </c>
      <c r="DB192" s="68" t="e">
        <f t="shared" si="15"/>
        <v>#REF!</v>
      </c>
      <c r="DC192" s="68" t="e">
        <f t="shared" si="15"/>
        <v>#REF!</v>
      </c>
      <c r="DD192" s="68" t="e">
        <f t="shared" si="15"/>
        <v>#REF!</v>
      </c>
      <c r="DE192" s="68" t="e">
        <f t="shared" si="15"/>
        <v>#REF!</v>
      </c>
      <c r="DF192" s="68" t="e">
        <f t="shared" si="15"/>
        <v>#REF!</v>
      </c>
      <c r="DG192" s="68" t="e">
        <f t="shared" si="15"/>
        <v>#REF!</v>
      </c>
      <c r="DH192" s="68" t="e">
        <f t="shared" si="15"/>
        <v>#REF!</v>
      </c>
      <c r="DI192" s="68" t="e">
        <f t="shared" si="15"/>
        <v>#REF!</v>
      </c>
      <c r="EC192" s="79"/>
      <c r="ED192" s="79"/>
      <c r="EE192" s="79"/>
      <c r="EF192" s="79"/>
      <c r="EG192" s="79"/>
      <c r="EH192" s="62"/>
      <c r="EI192" s="62"/>
      <c r="EJ192" s="62"/>
      <c r="EK192" s="62"/>
      <c r="EL192" s="62"/>
      <c r="EM192" s="62"/>
      <c r="EN192" s="62"/>
      <c r="EO192" s="62"/>
      <c r="EP192" s="62"/>
      <c r="EQ192" s="62"/>
      <c r="ER192" s="62"/>
      <c r="ES192" s="62"/>
      <c r="ET192" s="88"/>
      <c r="EU192" s="62"/>
      <c r="EV192" s="62"/>
      <c r="EW192" s="62"/>
      <c r="EX192" s="62"/>
      <c r="EY192" s="62"/>
      <c r="EZ192" s="62"/>
      <c r="FA192" s="62"/>
      <c r="FB192" s="62"/>
      <c r="FC192" s="62"/>
      <c r="FD192" s="62"/>
      <c r="FE192" s="62"/>
      <c r="FF192" s="62"/>
      <c r="FG192" s="62"/>
      <c r="FH192" s="62"/>
      <c r="FI192" s="62"/>
      <c r="FJ192" s="62"/>
      <c r="FK192" s="62"/>
      <c r="FL192" s="62"/>
      <c r="FM192" s="62"/>
      <c r="FN192" s="62"/>
      <c r="FO192" s="62"/>
      <c r="FP192" s="62"/>
      <c r="FQ192" s="62"/>
      <c r="FR192" s="62"/>
      <c r="FS192" s="62"/>
      <c r="FT192" s="62"/>
      <c r="FU192" s="62"/>
      <c r="FV192" s="62"/>
      <c r="FW192" s="62"/>
      <c r="FX192" s="62"/>
      <c r="FY192" s="62"/>
      <c r="FZ192" s="62"/>
      <c r="GA192" s="62"/>
      <c r="GB192" s="62"/>
      <c r="GC192" s="62"/>
      <c r="GD192" s="62"/>
      <c r="GF192" s="62"/>
      <c r="GG192" s="62"/>
      <c r="GH192" s="62"/>
      <c r="GI192" s="62"/>
      <c r="GJ192" s="62"/>
      <c r="GK192" s="62"/>
      <c r="GL192" s="62"/>
      <c r="GM192" s="62"/>
      <c r="GN192" s="62"/>
      <c r="GO192" s="62"/>
      <c r="GP192" s="62"/>
      <c r="GQ192" s="62"/>
      <c r="GR192" s="62"/>
      <c r="GS192" s="62"/>
      <c r="GT192" s="62"/>
      <c r="GU192" s="62"/>
      <c r="GV192" s="62"/>
      <c r="GW192" s="62"/>
      <c r="GX192" s="62"/>
      <c r="GY192" s="62"/>
      <c r="GZ192" s="62"/>
      <c r="HA192" s="62"/>
      <c r="HB192" s="62"/>
      <c r="HC192" s="62"/>
      <c r="HD192" s="62"/>
      <c r="HE192" s="62"/>
      <c r="HF192" s="62"/>
      <c r="HG192" s="62"/>
      <c r="HH192" s="62"/>
      <c r="HI192" s="62"/>
      <c r="HJ192" s="62"/>
      <c r="HK192" s="62"/>
      <c r="HL192" s="62"/>
      <c r="HM192" s="62"/>
      <c r="HN192" s="62"/>
      <c r="HO192" s="62"/>
      <c r="HP192" s="62"/>
      <c r="HQ192" s="62"/>
      <c r="HR192" s="62"/>
      <c r="HS192" s="62"/>
      <c r="HT192" s="62"/>
      <c r="HU192" s="62"/>
      <c r="HV192" s="62"/>
      <c r="HW192" s="62"/>
      <c r="HX192" s="62"/>
      <c r="HY192" s="62"/>
      <c r="HZ192" s="62"/>
      <c r="IA192" s="62"/>
      <c r="IB192" s="62"/>
      <c r="IC192" s="62"/>
      <c r="ID192" s="62"/>
      <c r="IE192" s="62"/>
      <c r="IF192" s="62"/>
      <c r="IG192" s="62"/>
      <c r="IH192" s="62"/>
      <c r="II192" s="62"/>
      <c r="IJ192" s="62"/>
      <c r="IK192" s="62"/>
      <c r="IL192" s="62"/>
      <c r="IM192" s="62"/>
      <c r="IN192" s="62"/>
      <c r="IO192" s="62"/>
      <c r="IP192" s="62"/>
      <c r="IQ192" s="62"/>
      <c r="IR192" s="62"/>
      <c r="IS192" s="62"/>
      <c r="IT192" s="62"/>
      <c r="IU192" s="62"/>
      <c r="IV192" s="62"/>
      <c r="IW192" s="62"/>
      <c r="IX192" s="62"/>
      <c r="IY192" s="62"/>
      <c r="IZ192" s="62"/>
      <c r="JA192" s="62"/>
      <c r="JB192" s="62"/>
      <c r="JC192" s="62"/>
      <c r="JD192" s="62"/>
      <c r="JE192" s="62"/>
      <c r="JF192" s="62"/>
      <c r="JG192" s="62"/>
      <c r="JH192" s="62"/>
      <c r="JI192" s="62"/>
      <c r="JJ192" s="62"/>
      <c r="JK192" s="62"/>
      <c r="JL192" s="62"/>
      <c r="JM192" s="62"/>
      <c r="JN192" s="62"/>
      <c r="JO192" s="62"/>
      <c r="JP192" s="62"/>
      <c r="JQ192" s="62"/>
      <c r="JR192" s="62"/>
      <c r="JS192" s="62"/>
      <c r="JT192" s="62"/>
      <c r="JU192" s="62"/>
      <c r="JV192" s="62"/>
      <c r="JW192" s="62"/>
      <c r="JX192" s="62"/>
      <c r="JY192" s="62"/>
      <c r="JZ192" s="62"/>
      <c r="KA192" s="62"/>
      <c r="KB192" s="62"/>
      <c r="KC192" s="62"/>
      <c r="KD192" s="62"/>
      <c r="KE192" s="62"/>
      <c r="KF192" s="62"/>
      <c r="KG192" s="62"/>
      <c r="KH192" s="62"/>
      <c r="KI192" s="62"/>
      <c r="KJ192" s="62"/>
      <c r="KK192" s="62"/>
      <c r="KL192" s="62"/>
      <c r="KM192" s="62"/>
      <c r="KN192" s="62"/>
      <c r="KO192" s="62"/>
      <c r="KP192" s="62"/>
      <c r="KQ192" s="62"/>
      <c r="KR192" s="62"/>
      <c r="KS192" s="62"/>
      <c r="KT192" s="62"/>
      <c r="KU192" s="62"/>
      <c r="KV192" s="62"/>
      <c r="KW192" s="62"/>
      <c r="KX192" s="62"/>
      <c r="KY192" s="62"/>
      <c r="KZ192" s="62"/>
      <c r="LA192" s="62"/>
      <c r="LB192" s="62"/>
      <c r="LC192" s="62"/>
      <c r="LD192" s="62"/>
      <c r="LE192" s="62"/>
      <c r="LF192" s="62"/>
      <c r="LG192" s="62"/>
      <c r="LH192" s="62"/>
      <c r="LI192" s="62"/>
    </row>
    <row r="193" spans="133:321">
      <c r="EC193" s="79"/>
      <c r="ED193" s="79"/>
      <c r="EE193" s="79"/>
      <c r="EF193" s="79"/>
      <c r="EG193" s="79"/>
      <c r="EH193" s="62"/>
      <c r="EI193" s="62"/>
      <c r="EJ193" s="62"/>
      <c r="EK193" s="62"/>
      <c r="EL193" s="62"/>
      <c r="EM193" s="62"/>
      <c r="EN193" s="62"/>
      <c r="EO193" s="62"/>
      <c r="EP193" s="62"/>
      <c r="EQ193" s="62"/>
      <c r="ER193" s="62"/>
      <c r="ES193" s="62"/>
      <c r="ET193" s="62"/>
      <c r="EU193" s="62"/>
      <c r="EV193" s="62"/>
      <c r="EW193" s="62"/>
      <c r="EX193" s="62"/>
      <c r="EY193" s="62"/>
      <c r="EZ193" s="62"/>
      <c r="FA193" s="62"/>
      <c r="FB193" s="62"/>
      <c r="FC193" s="62"/>
      <c r="FD193" s="62"/>
      <c r="FE193" s="62"/>
      <c r="FF193" s="62"/>
      <c r="FG193" s="62"/>
      <c r="FH193" s="62"/>
      <c r="FI193" s="62"/>
      <c r="FJ193" s="62"/>
      <c r="FK193" s="62"/>
      <c r="FL193" s="62"/>
      <c r="FM193" s="62"/>
      <c r="FN193" s="62"/>
      <c r="FO193" s="62"/>
      <c r="FP193" s="62"/>
      <c r="FQ193" s="62"/>
      <c r="FR193" s="62"/>
      <c r="FS193" s="62"/>
      <c r="FT193" s="62"/>
      <c r="FU193" s="62"/>
      <c r="FV193" s="62"/>
      <c r="FW193" s="62"/>
      <c r="FX193" s="62"/>
      <c r="FY193" s="62"/>
      <c r="FZ193" s="62"/>
      <c r="GA193" s="62"/>
      <c r="GB193" s="62"/>
      <c r="GC193" s="62"/>
      <c r="GD193" s="62"/>
      <c r="GF193" s="62"/>
      <c r="GG193" s="62"/>
      <c r="GH193" s="62"/>
      <c r="GI193" s="62"/>
      <c r="GJ193" s="62"/>
      <c r="GK193" s="62"/>
      <c r="GL193" s="62"/>
      <c r="GM193" s="62"/>
      <c r="GN193" s="62"/>
      <c r="GO193" s="62"/>
      <c r="GP193" s="62"/>
      <c r="GQ193" s="62"/>
      <c r="GR193" s="62"/>
      <c r="GS193" s="62"/>
      <c r="GT193" s="62"/>
      <c r="GU193" s="62"/>
      <c r="GV193" s="62"/>
      <c r="GW193" s="62"/>
      <c r="GX193" s="62"/>
      <c r="GY193" s="62"/>
      <c r="GZ193" s="62"/>
      <c r="HA193" s="62"/>
      <c r="HB193" s="62"/>
      <c r="HC193" s="62"/>
      <c r="HD193" s="62"/>
      <c r="HE193" s="62"/>
      <c r="HF193" s="62"/>
      <c r="HG193" s="62"/>
      <c r="HH193" s="62"/>
      <c r="HI193" s="62"/>
      <c r="HJ193" s="62"/>
      <c r="HK193" s="62"/>
      <c r="HL193" s="62"/>
      <c r="HM193" s="62"/>
      <c r="HN193" s="62"/>
      <c r="HO193" s="62"/>
      <c r="HP193" s="62"/>
      <c r="HQ193" s="62"/>
      <c r="HR193" s="62"/>
      <c r="HS193" s="62"/>
      <c r="HT193" s="62"/>
      <c r="HU193" s="62"/>
      <c r="HV193" s="62"/>
      <c r="HW193" s="62"/>
      <c r="HX193" s="62"/>
      <c r="HY193" s="62"/>
      <c r="HZ193" s="62"/>
      <c r="IA193" s="62"/>
      <c r="IB193" s="62"/>
      <c r="IC193" s="62"/>
      <c r="ID193" s="62"/>
      <c r="IE193" s="62"/>
      <c r="IF193" s="62"/>
      <c r="IG193" s="62"/>
      <c r="IH193" s="62"/>
      <c r="II193" s="62"/>
      <c r="IJ193" s="62"/>
      <c r="IK193" s="62"/>
      <c r="IL193" s="62"/>
      <c r="IM193" s="62"/>
      <c r="IN193" s="62"/>
      <c r="IO193" s="62"/>
      <c r="IP193" s="62"/>
      <c r="IQ193" s="62"/>
      <c r="IR193" s="62"/>
      <c r="IS193" s="62"/>
      <c r="IT193" s="62"/>
      <c r="IU193" s="62"/>
      <c r="IV193" s="62"/>
      <c r="IW193" s="62"/>
      <c r="IX193" s="62"/>
      <c r="IY193" s="62"/>
      <c r="IZ193" s="62"/>
      <c r="JA193" s="62"/>
      <c r="JB193" s="62"/>
      <c r="JC193" s="62"/>
      <c r="JD193" s="62"/>
      <c r="JE193" s="62"/>
      <c r="JF193" s="62"/>
      <c r="JG193" s="62"/>
      <c r="JH193" s="62"/>
      <c r="JI193" s="62"/>
      <c r="JJ193" s="62"/>
      <c r="JK193" s="62"/>
      <c r="JL193" s="62"/>
      <c r="JM193" s="62"/>
      <c r="JN193" s="62"/>
      <c r="JO193" s="62"/>
      <c r="JP193" s="62"/>
      <c r="JQ193" s="62"/>
      <c r="JR193" s="62"/>
      <c r="JS193" s="62"/>
      <c r="JT193" s="62"/>
      <c r="JU193" s="62"/>
      <c r="JV193" s="62"/>
      <c r="JW193" s="62"/>
      <c r="JX193" s="62"/>
      <c r="JY193" s="62"/>
      <c r="JZ193" s="62"/>
      <c r="KA193" s="62"/>
      <c r="KB193" s="62"/>
      <c r="KC193" s="62"/>
      <c r="KD193" s="62"/>
      <c r="KE193" s="62"/>
      <c r="KF193" s="62"/>
      <c r="KG193" s="62"/>
      <c r="KH193" s="62"/>
      <c r="KI193" s="62"/>
      <c r="KJ193" s="62"/>
      <c r="KK193" s="62"/>
      <c r="KL193" s="62"/>
      <c r="KM193" s="62"/>
      <c r="KN193" s="62"/>
      <c r="KO193" s="62"/>
      <c r="KP193" s="62"/>
      <c r="KQ193" s="62"/>
      <c r="KR193" s="62"/>
      <c r="KS193" s="62"/>
      <c r="KT193" s="62"/>
      <c r="KU193" s="62"/>
      <c r="KV193" s="62"/>
      <c r="KW193" s="62"/>
      <c r="KX193" s="62"/>
      <c r="KY193" s="62"/>
      <c r="KZ193" s="62"/>
      <c r="LA193" s="62"/>
      <c r="LB193" s="62"/>
      <c r="LC193" s="62"/>
      <c r="LD193" s="62"/>
      <c r="LE193" s="62"/>
      <c r="LF193" s="62"/>
      <c r="LG193" s="62"/>
      <c r="LH193" s="62"/>
      <c r="LI193" s="62"/>
    </row>
    <row r="194" spans="133:321">
      <c r="EC194" s="79"/>
      <c r="ED194" s="79"/>
      <c r="EE194" s="79"/>
      <c r="EF194" s="79"/>
      <c r="EG194" s="79"/>
      <c r="EH194" s="62"/>
      <c r="EI194" s="62"/>
      <c r="EJ194" s="62"/>
      <c r="EK194" s="62"/>
      <c r="EL194" s="62"/>
      <c r="EM194" s="62"/>
      <c r="EN194" s="62"/>
      <c r="EO194" s="62"/>
      <c r="EP194" s="62"/>
      <c r="EQ194" s="62"/>
      <c r="ER194" s="62"/>
      <c r="ES194" s="62"/>
      <c r="ET194" s="62"/>
      <c r="EU194" s="62"/>
      <c r="EV194" s="62"/>
      <c r="EW194" s="62"/>
      <c r="EX194" s="62"/>
      <c r="EY194" s="62"/>
      <c r="EZ194" s="62"/>
      <c r="FA194" s="62"/>
      <c r="FB194" s="62"/>
      <c r="FC194" s="62"/>
      <c r="FD194" s="62"/>
      <c r="FE194" s="62"/>
      <c r="FF194" s="62"/>
      <c r="FG194" s="62"/>
      <c r="FH194" s="62"/>
      <c r="FI194" s="62"/>
      <c r="FJ194" s="62"/>
      <c r="FK194" s="62"/>
      <c r="FL194" s="62"/>
      <c r="FM194" s="62"/>
      <c r="FN194" s="62"/>
      <c r="FO194" s="62"/>
      <c r="FP194" s="62"/>
      <c r="FQ194" s="62"/>
      <c r="FR194" s="62"/>
      <c r="FS194" s="62"/>
      <c r="FT194" s="62"/>
      <c r="FU194" s="62"/>
      <c r="FV194" s="62"/>
      <c r="FW194" s="62"/>
      <c r="FX194" s="62"/>
      <c r="FY194" s="62"/>
      <c r="FZ194" s="62"/>
      <c r="GA194" s="62"/>
      <c r="GB194" s="62"/>
      <c r="GC194" s="62"/>
      <c r="GD194" s="62"/>
      <c r="GF194" s="62"/>
      <c r="GG194" s="62"/>
      <c r="GH194" s="62"/>
      <c r="GI194" s="62"/>
      <c r="GJ194" s="62"/>
      <c r="GK194" s="62"/>
      <c r="GL194" s="62"/>
      <c r="GM194" s="62"/>
      <c r="GN194" s="62"/>
      <c r="GO194" s="62"/>
      <c r="GP194" s="62"/>
      <c r="GQ194" s="62"/>
      <c r="GR194" s="62"/>
      <c r="GS194" s="62"/>
      <c r="GT194" s="62"/>
      <c r="GU194" s="62"/>
      <c r="GV194" s="62"/>
      <c r="GW194" s="62"/>
      <c r="GX194" s="62"/>
      <c r="GY194" s="62"/>
      <c r="GZ194" s="62"/>
      <c r="HA194" s="62"/>
      <c r="HB194" s="62"/>
      <c r="HC194" s="62"/>
      <c r="HD194" s="62"/>
      <c r="HE194" s="62"/>
      <c r="HF194" s="62"/>
      <c r="HG194" s="62"/>
      <c r="HH194" s="62"/>
      <c r="HI194" s="62"/>
      <c r="HJ194" s="62"/>
      <c r="HK194" s="62"/>
      <c r="HL194" s="62"/>
      <c r="HM194" s="62"/>
      <c r="HN194" s="62"/>
      <c r="HO194" s="62"/>
      <c r="HP194" s="62"/>
      <c r="HQ194" s="62"/>
      <c r="HR194" s="62"/>
      <c r="HS194" s="62"/>
      <c r="HT194" s="62"/>
      <c r="HU194" s="62"/>
      <c r="HV194" s="62"/>
      <c r="HW194" s="62"/>
      <c r="HX194" s="62"/>
      <c r="HY194" s="62"/>
      <c r="HZ194" s="62"/>
      <c r="IA194" s="62"/>
      <c r="IB194" s="62"/>
      <c r="IC194" s="62"/>
      <c r="ID194" s="62"/>
      <c r="IE194" s="62"/>
      <c r="IF194" s="62"/>
      <c r="IG194" s="62"/>
      <c r="IH194" s="62"/>
      <c r="II194" s="62"/>
      <c r="IJ194" s="62"/>
      <c r="IK194" s="62"/>
      <c r="IL194" s="62"/>
      <c r="IM194" s="62"/>
      <c r="IN194" s="62"/>
      <c r="IO194" s="62"/>
      <c r="IP194" s="62"/>
      <c r="IQ194" s="62"/>
      <c r="IR194" s="62"/>
      <c r="IS194" s="62"/>
      <c r="IT194" s="62"/>
      <c r="IU194" s="62"/>
      <c r="IV194" s="62"/>
      <c r="IW194" s="62"/>
      <c r="IX194" s="62"/>
      <c r="IY194" s="62"/>
      <c r="IZ194" s="62"/>
      <c r="JA194" s="62"/>
      <c r="JB194" s="62"/>
      <c r="JC194" s="62"/>
      <c r="JD194" s="62"/>
      <c r="JE194" s="62"/>
      <c r="JF194" s="62"/>
      <c r="JG194" s="62"/>
      <c r="JH194" s="62"/>
      <c r="JI194" s="62"/>
      <c r="JJ194" s="62"/>
      <c r="JK194" s="62"/>
      <c r="JL194" s="62"/>
      <c r="JM194" s="62"/>
      <c r="JN194" s="62"/>
      <c r="JO194" s="62"/>
      <c r="JP194" s="62"/>
      <c r="JQ194" s="62"/>
      <c r="JR194" s="62"/>
      <c r="JS194" s="62"/>
      <c r="JT194" s="62"/>
      <c r="JU194" s="62"/>
      <c r="JV194" s="62"/>
      <c r="JW194" s="62"/>
      <c r="JX194" s="62"/>
      <c r="JY194" s="62"/>
      <c r="JZ194" s="62"/>
      <c r="KA194" s="62"/>
      <c r="KB194" s="62"/>
      <c r="KC194" s="62"/>
      <c r="KD194" s="62"/>
      <c r="KE194" s="62"/>
      <c r="KF194" s="62"/>
      <c r="KG194" s="62"/>
      <c r="KH194" s="62"/>
      <c r="KI194" s="62"/>
      <c r="KJ194" s="62"/>
      <c r="KK194" s="62"/>
      <c r="KL194" s="62"/>
      <c r="KM194" s="62"/>
      <c r="KN194" s="62"/>
      <c r="KO194" s="62"/>
      <c r="KP194" s="62"/>
      <c r="KQ194" s="62"/>
      <c r="KR194" s="62"/>
      <c r="KS194" s="62"/>
      <c r="KT194" s="62"/>
      <c r="KU194" s="62"/>
      <c r="KV194" s="62"/>
      <c r="KW194" s="62"/>
      <c r="KX194" s="62"/>
      <c r="KY194" s="62"/>
      <c r="KZ194" s="62"/>
      <c r="LA194" s="62"/>
      <c r="LB194" s="62"/>
      <c r="LC194" s="62"/>
      <c r="LD194" s="62"/>
      <c r="LE194" s="62"/>
      <c r="LF194" s="62"/>
      <c r="LG194" s="62"/>
      <c r="LH194" s="62"/>
      <c r="LI194" s="62"/>
    </row>
    <row r="195" spans="133:321">
      <c r="EC195" s="79"/>
      <c r="ED195" s="79"/>
      <c r="EE195" s="79"/>
      <c r="EF195" s="79"/>
      <c r="EG195" s="79"/>
      <c r="EH195" s="62"/>
      <c r="EI195" s="62"/>
      <c r="EJ195" s="62"/>
      <c r="EK195" s="62"/>
      <c r="EL195" s="62"/>
      <c r="EM195" s="62"/>
      <c r="EN195" s="62"/>
      <c r="EO195" s="62"/>
      <c r="EP195" s="62"/>
      <c r="EQ195" s="62"/>
      <c r="ER195" s="62"/>
      <c r="ES195" s="62"/>
      <c r="ET195" s="62"/>
      <c r="EU195" s="93"/>
      <c r="EV195" s="62"/>
      <c r="EW195" s="62"/>
      <c r="EX195" s="62"/>
      <c r="EY195" s="62"/>
      <c r="EZ195" s="62"/>
      <c r="FA195" s="62"/>
      <c r="FB195" s="62"/>
      <c r="FC195" s="62"/>
      <c r="FD195" s="62"/>
      <c r="FE195" s="62"/>
      <c r="FF195" s="62"/>
      <c r="FG195" s="62"/>
      <c r="FH195" s="62"/>
      <c r="FI195" s="62"/>
      <c r="FJ195" s="62"/>
      <c r="FK195" s="62"/>
      <c r="FL195" s="62"/>
      <c r="FM195" s="62"/>
      <c r="FN195" s="62"/>
      <c r="FO195" s="62"/>
      <c r="FP195" s="62"/>
      <c r="FQ195" s="62"/>
      <c r="FR195" s="62"/>
      <c r="FS195" s="62"/>
      <c r="FT195" s="62"/>
      <c r="FU195" s="62"/>
      <c r="FV195" s="62"/>
      <c r="FW195" s="62"/>
      <c r="FX195" s="62"/>
      <c r="FY195" s="62"/>
      <c r="FZ195" s="62"/>
      <c r="GA195" s="62"/>
      <c r="GB195" s="62"/>
      <c r="GC195" s="62"/>
      <c r="GD195" s="62"/>
      <c r="GF195" s="62"/>
      <c r="GG195" s="62"/>
      <c r="GH195" s="62"/>
      <c r="GI195" s="62"/>
      <c r="GJ195" s="62"/>
      <c r="GK195" s="62"/>
      <c r="GL195" s="62"/>
      <c r="GM195" s="62"/>
      <c r="GN195" s="62"/>
      <c r="GO195" s="62"/>
      <c r="GP195" s="62"/>
      <c r="GQ195" s="62"/>
      <c r="GR195" s="62"/>
      <c r="GS195" s="62"/>
      <c r="GT195" s="62"/>
      <c r="GU195" s="62"/>
      <c r="GV195" s="62"/>
      <c r="GW195" s="62"/>
      <c r="GX195" s="62"/>
      <c r="GY195" s="62"/>
      <c r="GZ195" s="62"/>
      <c r="HA195" s="62"/>
      <c r="HB195" s="62"/>
      <c r="HC195" s="62"/>
      <c r="HD195" s="62"/>
      <c r="HE195" s="62"/>
      <c r="HF195" s="62"/>
      <c r="HG195" s="62"/>
      <c r="HH195" s="62"/>
      <c r="HI195" s="62"/>
      <c r="HJ195" s="62"/>
      <c r="HK195" s="62"/>
      <c r="HL195" s="62"/>
      <c r="HM195" s="62"/>
      <c r="HN195" s="62"/>
      <c r="HO195" s="62"/>
      <c r="HP195" s="62"/>
      <c r="HQ195" s="62"/>
      <c r="HR195" s="62"/>
      <c r="HS195" s="62"/>
      <c r="HT195" s="62"/>
      <c r="HU195" s="62"/>
      <c r="HV195" s="62"/>
      <c r="HW195" s="62"/>
      <c r="HX195" s="62"/>
      <c r="HY195" s="62"/>
      <c r="HZ195" s="62"/>
      <c r="IA195" s="62"/>
      <c r="IB195" s="62"/>
      <c r="IC195" s="62"/>
      <c r="ID195" s="62"/>
      <c r="IE195" s="62"/>
      <c r="IF195" s="62"/>
      <c r="IG195" s="62"/>
      <c r="IH195" s="62"/>
      <c r="II195" s="62"/>
      <c r="IJ195" s="62"/>
      <c r="IK195" s="62"/>
      <c r="IL195" s="62"/>
      <c r="IM195" s="62"/>
      <c r="IN195" s="62"/>
      <c r="IO195" s="62"/>
      <c r="IP195" s="62"/>
      <c r="IQ195" s="62"/>
      <c r="IR195" s="62"/>
      <c r="IS195" s="62"/>
      <c r="IT195" s="62"/>
      <c r="IU195" s="62"/>
      <c r="IV195" s="62"/>
      <c r="IW195" s="62"/>
      <c r="IX195" s="62"/>
      <c r="IY195" s="62"/>
      <c r="IZ195" s="62"/>
      <c r="JA195" s="62"/>
      <c r="JB195" s="62"/>
      <c r="JC195" s="62"/>
      <c r="JD195" s="62"/>
      <c r="JE195" s="62"/>
      <c r="JF195" s="62"/>
      <c r="JG195" s="62"/>
      <c r="JH195" s="62"/>
      <c r="JI195" s="62"/>
      <c r="JJ195" s="62"/>
      <c r="JK195" s="62"/>
      <c r="JL195" s="62"/>
      <c r="JM195" s="62"/>
      <c r="JN195" s="62"/>
      <c r="JO195" s="62"/>
      <c r="JP195" s="62"/>
      <c r="JQ195" s="62"/>
      <c r="JR195" s="62"/>
      <c r="JS195" s="62"/>
      <c r="JT195" s="62"/>
      <c r="JU195" s="62"/>
      <c r="JV195" s="62"/>
      <c r="JW195" s="62"/>
      <c r="JX195" s="62"/>
      <c r="JY195" s="62"/>
      <c r="JZ195" s="62"/>
      <c r="KA195" s="62"/>
      <c r="KB195" s="62"/>
      <c r="KC195" s="62"/>
      <c r="KD195" s="62"/>
      <c r="KE195" s="62"/>
      <c r="KF195" s="62"/>
      <c r="KG195" s="62"/>
      <c r="KH195" s="62"/>
      <c r="KI195" s="62"/>
      <c r="KJ195" s="62"/>
      <c r="KK195" s="62"/>
      <c r="KL195" s="62"/>
      <c r="KM195" s="62"/>
      <c r="KN195" s="62"/>
      <c r="KO195" s="62"/>
      <c r="KP195" s="62"/>
      <c r="KQ195" s="62"/>
      <c r="KR195" s="62"/>
      <c r="KS195" s="62"/>
      <c r="KT195" s="62"/>
      <c r="KU195" s="62"/>
      <c r="KV195" s="62"/>
      <c r="KW195" s="62"/>
      <c r="KX195" s="62"/>
      <c r="KY195" s="62"/>
      <c r="KZ195" s="62"/>
      <c r="LA195" s="62"/>
      <c r="LB195" s="62"/>
      <c r="LC195" s="62"/>
      <c r="LD195" s="62"/>
      <c r="LE195" s="62"/>
      <c r="LF195" s="62"/>
      <c r="LG195" s="62"/>
      <c r="LH195" s="62"/>
      <c r="LI195" s="62"/>
    </row>
    <row r="211" spans="1:187">
      <c r="EH211" s="83"/>
    </row>
    <row r="214" spans="1:187">
      <c r="E214" s="668" t="s">
        <v>480</v>
      </c>
      <c r="F214" s="665">
        <v>2006</v>
      </c>
      <c r="G214" s="666"/>
      <c r="H214" s="666"/>
      <c r="I214" s="666"/>
      <c r="J214" s="666"/>
      <c r="K214" s="666"/>
      <c r="L214" s="666"/>
      <c r="M214" s="666"/>
      <c r="N214" s="666"/>
      <c r="O214" s="666"/>
      <c r="P214" s="666"/>
      <c r="Q214" s="667"/>
      <c r="R214" s="665">
        <v>2007</v>
      </c>
      <c r="S214" s="666"/>
      <c r="T214" s="666"/>
      <c r="U214" s="666"/>
      <c r="V214" s="666"/>
      <c r="W214" s="666"/>
      <c r="X214" s="666"/>
      <c r="Y214" s="666"/>
      <c r="Z214" s="666"/>
      <c r="AA214" s="666"/>
      <c r="AB214" s="666"/>
      <c r="AC214" s="667"/>
      <c r="AD214" s="665">
        <v>2008</v>
      </c>
      <c r="AE214" s="666"/>
      <c r="AF214" s="666"/>
      <c r="AG214" s="666"/>
      <c r="AH214" s="666"/>
      <c r="AI214" s="666"/>
      <c r="AJ214" s="666"/>
      <c r="AK214" s="666"/>
      <c r="AL214" s="666"/>
      <c r="AM214" s="666"/>
      <c r="AN214" s="666"/>
      <c r="AO214" s="667"/>
      <c r="AP214" s="665">
        <v>2009</v>
      </c>
      <c r="AQ214" s="666"/>
      <c r="AR214" s="666"/>
      <c r="AS214" s="666"/>
      <c r="AT214" s="666"/>
      <c r="AU214" s="666"/>
      <c r="AV214" s="666"/>
      <c r="AW214" s="666"/>
      <c r="AX214" s="666"/>
      <c r="AY214" s="666"/>
      <c r="AZ214" s="666"/>
      <c r="BA214" s="667"/>
      <c r="BB214" s="665">
        <v>2010</v>
      </c>
      <c r="BC214" s="666"/>
      <c r="BD214" s="666"/>
      <c r="BE214" s="666"/>
      <c r="BF214" s="666"/>
      <c r="BG214" s="666"/>
      <c r="BH214" s="666"/>
      <c r="BI214" s="666"/>
      <c r="BJ214" s="666"/>
      <c r="BK214" s="666"/>
      <c r="BL214" s="666"/>
      <c r="BM214" s="667"/>
      <c r="BN214" s="665">
        <v>2011</v>
      </c>
      <c r="BO214" s="666"/>
      <c r="BP214" s="666"/>
      <c r="BQ214" s="666"/>
      <c r="BR214" s="666"/>
      <c r="BS214" s="666"/>
      <c r="BT214" s="666"/>
      <c r="BU214" s="666"/>
      <c r="BV214" s="666"/>
      <c r="BW214" s="666"/>
      <c r="BX214" s="666"/>
      <c r="BY214" s="667"/>
      <c r="BZ214" s="666">
        <v>2012</v>
      </c>
      <c r="CA214" s="666"/>
      <c r="CB214" s="666"/>
      <c r="CC214" s="666"/>
      <c r="CD214" s="666"/>
      <c r="CE214" s="666"/>
      <c r="CF214" s="666"/>
      <c r="CG214" s="666"/>
      <c r="CH214" s="666"/>
      <c r="CI214" s="666"/>
      <c r="CJ214" s="666"/>
      <c r="CK214" s="666"/>
      <c r="CL214" s="665">
        <v>2013</v>
      </c>
      <c r="CM214" s="666"/>
      <c r="CN214" s="666"/>
      <c r="CO214" s="666"/>
      <c r="CP214" s="666"/>
      <c r="CQ214" s="666"/>
      <c r="CR214" s="666"/>
      <c r="CS214" s="666"/>
      <c r="CT214" s="666"/>
      <c r="CU214" s="666"/>
      <c r="CV214" s="666"/>
      <c r="CW214" s="667"/>
      <c r="CX214" s="665">
        <v>2014</v>
      </c>
      <c r="CY214" s="666"/>
      <c r="CZ214" s="666"/>
      <c r="DA214" s="666"/>
      <c r="DB214" s="666"/>
      <c r="DC214" s="666"/>
      <c r="DD214" s="666"/>
      <c r="DE214" s="666"/>
      <c r="DF214" s="666"/>
      <c r="DG214" s="666"/>
      <c r="DH214" s="666"/>
      <c r="DI214" s="667"/>
      <c r="DJ214" s="665">
        <v>2015</v>
      </c>
      <c r="DK214" s="666"/>
      <c r="DL214" s="666"/>
      <c r="DM214" s="666"/>
      <c r="DN214" s="666"/>
      <c r="DO214" s="666"/>
      <c r="DP214" s="666"/>
      <c r="DQ214" s="666"/>
      <c r="DR214" s="666"/>
      <c r="DS214" s="666"/>
      <c r="DT214" s="666"/>
      <c r="DU214" s="667"/>
    </row>
    <row r="215" spans="1:187">
      <c r="E215" s="668"/>
      <c r="F215" s="65" t="s">
        <v>481</v>
      </c>
      <c r="G215" s="1" t="s">
        <v>482</v>
      </c>
      <c r="H215" s="1" t="s">
        <v>483</v>
      </c>
      <c r="I215" s="1" t="s">
        <v>484</v>
      </c>
      <c r="J215" s="1" t="s">
        <v>485</v>
      </c>
      <c r="K215" s="1" t="s">
        <v>486</v>
      </c>
      <c r="L215" s="1" t="s">
        <v>487</v>
      </c>
      <c r="M215" s="1" t="s">
        <v>488</v>
      </c>
      <c r="N215" s="1" t="s">
        <v>489</v>
      </c>
      <c r="O215" s="1" t="s">
        <v>490</v>
      </c>
      <c r="P215" s="1" t="s">
        <v>491</v>
      </c>
      <c r="Q215" s="66" t="s">
        <v>492</v>
      </c>
      <c r="R215" s="65" t="s">
        <v>493</v>
      </c>
      <c r="S215" s="1" t="s">
        <v>494</v>
      </c>
      <c r="T215" s="1" t="s">
        <v>495</v>
      </c>
      <c r="U215" s="1" t="s">
        <v>496</v>
      </c>
      <c r="V215" s="1" t="s">
        <v>497</v>
      </c>
      <c r="W215" s="1" t="s">
        <v>498</v>
      </c>
      <c r="X215" s="1" t="s">
        <v>499</v>
      </c>
      <c r="Y215" s="1" t="s">
        <v>500</v>
      </c>
      <c r="Z215" s="1" t="s">
        <v>501</v>
      </c>
      <c r="AA215" s="1" t="s">
        <v>502</v>
      </c>
      <c r="AB215" s="1" t="s">
        <v>503</v>
      </c>
      <c r="AC215" s="66" t="s">
        <v>504</v>
      </c>
      <c r="AD215" s="65" t="s">
        <v>505</v>
      </c>
      <c r="AE215" s="1" t="s">
        <v>506</v>
      </c>
      <c r="AF215" s="1" t="s">
        <v>507</v>
      </c>
      <c r="AG215" s="1" t="s">
        <v>508</v>
      </c>
      <c r="AH215" s="1" t="s">
        <v>509</v>
      </c>
      <c r="AI215" s="1" t="s">
        <v>510</v>
      </c>
      <c r="AJ215" s="1" t="s">
        <v>511</v>
      </c>
      <c r="AK215" s="1" t="s">
        <v>512</v>
      </c>
      <c r="AL215" s="1" t="s">
        <v>513</v>
      </c>
      <c r="AM215" s="1" t="s">
        <v>514</v>
      </c>
      <c r="AN215" s="1" t="s">
        <v>515</v>
      </c>
      <c r="AO215" s="66" t="s">
        <v>516</v>
      </c>
      <c r="AP215" s="65" t="s">
        <v>517</v>
      </c>
      <c r="AQ215" s="1" t="s">
        <v>518</v>
      </c>
      <c r="AR215" s="1" t="s">
        <v>519</v>
      </c>
      <c r="AS215" s="1" t="s">
        <v>520</v>
      </c>
      <c r="AT215" s="1" t="s">
        <v>521</v>
      </c>
      <c r="AU215" s="1" t="s">
        <v>522</v>
      </c>
      <c r="AV215" s="1" t="s">
        <v>523</v>
      </c>
      <c r="AW215" s="1" t="s">
        <v>524</v>
      </c>
      <c r="AX215" s="1" t="s">
        <v>525</v>
      </c>
      <c r="AY215" s="1" t="s">
        <v>526</v>
      </c>
      <c r="AZ215" s="1" t="s">
        <v>527</v>
      </c>
      <c r="BA215" s="66" t="s">
        <v>528</v>
      </c>
      <c r="BB215" s="65" t="s">
        <v>529</v>
      </c>
      <c r="BC215" s="1" t="s">
        <v>530</v>
      </c>
      <c r="BD215" s="1" t="s">
        <v>531</v>
      </c>
      <c r="BE215" s="1" t="s">
        <v>532</v>
      </c>
      <c r="BF215" s="1" t="s">
        <v>533</v>
      </c>
      <c r="BG215" s="1" t="s">
        <v>534</v>
      </c>
      <c r="BH215" s="1" t="s">
        <v>535</v>
      </c>
      <c r="BI215" s="1" t="s">
        <v>536</v>
      </c>
      <c r="BJ215" s="1" t="s">
        <v>537</v>
      </c>
      <c r="BK215" s="1" t="s">
        <v>538</v>
      </c>
      <c r="BL215" s="1" t="s">
        <v>539</v>
      </c>
      <c r="BM215" s="66" t="s">
        <v>540</v>
      </c>
      <c r="BN215" s="65" t="s">
        <v>541</v>
      </c>
      <c r="BO215" s="1" t="s">
        <v>542</v>
      </c>
      <c r="BP215" s="1" t="s">
        <v>543</v>
      </c>
      <c r="BQ215" s="1" t="s">
        <v>544</v>
      </c>
      <c r="BR215" s="1" t="s">
        <v>545</v>
      </c>
      <c r="BS215" s="1" t="s">
        <v>546</v>
      </c>
      <c r="BT215" s="1" t="s">
        <v>547</v>
      </c>
      <c r="BU215" s="1" t="s">
        <v>548</v>
      </c>
      <c r="BV215" s="1" t="s">
        <v>549</v>
      </c>
      <c r="BW215" s="1" t="s">
        <v>550</v>
      </c>
      <c r="BX215" s="1" t="s">
        <v>551</v>
      </c>
      <c r="BY215" s="66" t="s">
        <v>552</v>
      </c>
      <c r="BZ215" s="1" t="s">
        <v>553</v>
      </c>
      <c r="CA215" s="1" t="s">
        <v>554</v>
      </c>
      <c r="CB215" s="1" t="s">
        <v>555</v>
      </c>
      <c r="CC215" s="1" t="s">
        <v>556</v>
      </c>
      <c r="CD215" s="1" t="s">
        <v>557</v>
      </c>
      <c r="CE215" s="1" t="s">
        <v>558</v>
      </c>
      <c r="CF215" s="1" t="s">
        <v>559</v>
      </c>
      <c r="CG215" s="1" t="s">
        <v>560</v>
      </c>
      <c r="CH215" s="1" t="s">
        <v>561</v>
      </c>
      <c r="CI215" s="1" t="s">
        <v>562</v>
      </c>
      <c r="CJ215" s="1" t="s">
        <v>563</v>
      </c>
      <c r="CK215" s="1" t="s">
        <v>564</v>
      </c>
      <c r="CL215" s="65" t="s">
        <v>565</v>
      </c>
      <c r="CM215" s="1" t="s">
        <v>566</v>
      </c>
      <c r="CN215" s="1" t="s">
        <v>567</v>
      </c>
      <c r="CO215" s="1" t="s">
        <v>568</v>
      </c>
      <c r="CP215" s="1" t="s">
        <v>569</v>
      </c>
      <c r="CQ215" s="1" t="s">
        <v>570</v>
      </c>
      <c r="CR215" s="1" t="s">
        <v>571</v>
      </c>
      <c r="CS215" s="1" t="s">
        <v>572</v>
      </c>
      <c r="CT215" s="1" t="s">
        <v>573</v>
      </c>
      <c r="CU215" s="1" t="s">
        <v>574</v>
      </c>
      <c r="CV215" s="1" t="s">
        <v>575</v>
      </c>
      <c r="CW215" s="66" t="s">
        <v>576</v>
      </c>
      <c r="CX215" s="65" t="s">
        <v>577</v>
      </c>
      <c r="CY215" s="1" t="s">
        <v>578</v>
      </c>
      <c r="CZ215" s="1" t="s">
        <v>579</v>
      </c>
      <c r="DA215" s="1" t="s">
        <v>580</v>
      </c>
      <c r="DB215" s="1" t="s">
        <v>581</v>
      </c>
      <c r="DC215" s="1" t="s">
        <v>582</v>
      </c>
      <c r="DD215" s="1" t="s">
        <v>583</v>
      </c>
      <c r="DE215" s="1" t="s">
        <v>584</v>
      </c>
      <c r="DF215" s="1" t="s">
        <v>585</v>
      </c>
      <c r="DG215" s="1" t="s">
        <v>586</v>
      </c>
      <c r="DH215" s="1" t="s">
        <v>587</v>
      </c>
      <c r="DI215" s="66" t="s">
        <v>588</v>
      </c>
      <c r="DJ215" s="65" t="s">
        <v>589</v>
      </c>
      <c r="DK215" s="1" t="s">
        <v>590</v>
      </c>
      <c r="DL215" s="1" t="s">
        <v>591</v>
      </c>
      <c r="DM215" s="1" t="s">
        <v>592</v>
      </c>
      <c r="DN215" s="1" t="s">
        <v>593</v>
      </c>
      <c r="DO215" s="1" t="s">
        <v>594</v>
      </c>
      <c r="DP215" s="1" t="s">
        <v>595</v>
      </c>
      <c r="DQ215" s="1" t="s">
        <v>596</v>
      </c>
      <c r="DR215" s="1" t="s">
        <v>597</v>
      </c>
      <c r="DS215" s="1" t="s">
        <v>598</v>
      </c>
      <c r="DT215" s="1" t="s">
        <v>599</v>
      </c>
      <c r="DU215" s="66" t="s">
        <v>600</v>
      </c>
      <c r="DV215" s="1" t="s">
        <v>601</v>
      </c>
      <c r="DW215" s="1" t="s">
        <v>602</v>
      </c>
      <c r="DX215" s="1" t="s">
        <v>603</v>
      </c>
      <c r="DY215" s="1" t="s">
        <v>604</v>
      </c>
      <c r="DZ215" s="1" t="s">
        <v>605</v>
      </c>
      <c r="EA215" s="1" t="s">
        <v>606</v>
      </c>
      <c r="EB215" s="1" t="s">
        <v>607</v>
      </c>
      <c r="EC215" s="1" t="s">
        <v>608</v>
      </c>
      <c r="ED215" s="1" t="s">
        <v>609</v>
      </c>
      <c r="EE215" s="1" t="s">
        <v>610</v>
      </c>
      <c r="EF215" s="1" t="s">
        <v>611</v>
      </c>
      <c r="EG215" s="1" t="s">
        <v>612</v>
      </c>
      <c r="EH215" s="62" t="s">
        <v>336</v>
      </c>
      <c r="EI215" s="62" t="s">
        <v>337</v>
      </c>
      <c r="EJ215" s="62" t="s">
        <v>338</v>
      </c>
      <c r="EK215" s="62" t="s">
        <v>339</v>
      </c>
      <c r="EL215" s="62" t="s">
        <v>340</v>
      </c>
      <c r="EM215" s="62" t="s">
        <v>341</v>
      </c>
      <c r="EN215" s="62" t="s">
        <v>342</v>
      </c>
      <c r="EO215" s="62" t="s">
        <v>343</v>
      </c>
      <c r="EP215" s="62" t="s">
        <v>344</v>
      </c>
      <c r="EQ215" s="62" t="s">
        <v>345</v>
      </c>
      <c r="ER215" s="62" t="s">
        <v>346</v>
      </c>
      <c r="ES215" s="62" t="s">
        <v>347</v>
      </c>
      <c r="ET215" s="62" t="s">
        <v>187</v>
      </c>
      <c r="EU215" s="62" t="s">
        <v>188</v>
      </c>
      <c r="EV215" s="62" t="s">
        <v>189</v>
      </c>
      <c r="EW215" s="62" t="s">
        <v>190</v>
      </c>
      <c r="EX215" s="62" t="s">
        <v>191</v>
      </c>
      <c r="EY215" s="62" t="s">
        <v>192</v>
      </c>
      <c r="EZ215" s="62" t="s">
        <v>193</v>
      </c>
      <c r="FA215" s="62" t="s">
        <v>194</v>
      </c>
      <c r="FB215" s="62" t="s">
        <v>195</v>
      </c>
      <c r="FC215" s="62" t="s">
        <v>196</v>
      </c>
      <c r="FD215" s="62" t="s">
        <v>197</v>
      </c>
      <c r="FE215" s="62" t="s">
        <v>198</v>
      </c>
      <c r="FF215" s="62" t="s">
        <v>99</v>
      </c>
      <c r="FG215" s="62" t="s">
        <v>100</v>
      </c>
      <c r="FH215" s="62" t="s">
        <v>101</v>
      </c>
      <c r="FI215" s="62" t="s">
        <v>102</v>
      </c>
      <c r="FJ215" s="62" t="s">
        <v>103</v>
      </c>
      <c r="FK215" s="62" t="s">
        <v>104</v>
      </c>
      <c r="FL215" s="62" t="s">
        <v>105</v>
      </c>
      <c r="FM215" s="62" t="s">
        <v>106</v>
      </c>
      <c r="FN215" s="62" t="s">
        <v>107</v>
      </c>
      <c r="FO215" s="62" t="s">
        <v>108</v>
      </c>
      <c r="FP215" s="62" t="s">
        <v>109</v>
      </c>
      <c r="FQ215" s="62" t="s">
        <v>110</v>
      </c>
      <c r="FR215" s="1" t="s">
        <v>84</v>
      </c>
      <c r="FS215" s="94" t="s">
        <v>85</v>
      </c>
      <c r="FT215" s="1" t="s">
        <v>86</v>
      </c>
      <c r="FU215" s="1" t="s">
        <v>87</v>
      </c>
      <c r="FV215" s="1" t="s">
        <v>88</v>
      </c>
      <c r="FW215" s="1" t="s">
        <v>89</v>
      </c>
      <c r="FX215" s="1" t="s">
        <v>90</v>
      </c>
      <c r="FY215" s="1" t="s">
        <v>91</v>
      </c>
      <c r="FZ215" s="1" t="s">
        <v>92</v>
      </c>
      <c r="GA215" s="1" t="s">
        <v>93</v>
      </c>
      <c r="GB215" s="1" t="s">
        <v>94</v>
      </c>
      <c r="GC215" s="1" t="s">
        <v>95</v>
      </c>
    </row>
    <row r="216" spans="1:187">
      <c r="A216" s="59">
        <v>7</v>
      </c>
      <c r="B216" s="59" t="s">
        <v>6</v>
      </c>
      <c r="D216" s="59" t="str">
        <f t="shared" ref="D216:D224" si="16">+CONCATENATE(D8,"p")</f>
        <v>7p</v>
      </c>
      <c r="E216" s="60" t="s">
        <v>348</v>
      </c>
      <c r="F216" s="67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9"/>
      <c r="R216" s="67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9"/>
      <c r="AD216" s="67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9"/>
      <c r="AP216" s="67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9"/>
      <c r="BB216" s="67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9"/>
      <c r="BN216" s="67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9"/>
      <c r="BZ216" s="68"/>
      <c r="CA216" s="68"/>
      <c r="CB216" s="68"/>
      <c r="CC216" s="68"/>
      <c r="CD216" s="68"/>
      <c r="CE216" s="68"/>
      <c r="CF216" s="68"/>
      <c r="CG216" s="68"/>
      <c r="CH216" s="68"/>
      <c r="CI216" s="68"/>
      <c r="CJ216" s="68"/>
      <c r="CK216" s="68"/>
      <c r="CL216" s="67"/>
      <c r="CM216" s="68"/>
      <c r="CN216" s="68"/>
      <c r="CO216" s="68"/>
      <c r="CP216" s="68"/>
      <c r="CQ216" s="68"/>
      <c r="CR216" s="68"/>
      <c r="CS216" s="68"/>
      <c r="CT216" s="68"/>
      <c r="CU216" s="68"/>
      <c r="CV216" s="68"/>
      <c r="CW216" s="69"/>
      <c r="CX216" s="67"/>
      <c r="CY216" s="68"/>
      <c r="CZ216" s="68"/>
      <c r="DA216" s="68"/>
      <c r="DB216" s="68"/>
      <c r="DC216" s="68"/>
      <c r="DD216" s="68"/>
      <c r="DE216" s="68"/>
      <c r="DF216" s="68"/>
      <c r="DG216" s="68"/>
      <c r="DH216" s="68"/>
      <c r="DI216" s="69"/>
      <c r="DJ216" s="67">
        <f t="shared" ref="DJ216:DU216" si="17">+DJ217+DJ249+DJ252+DJ255+DJ259</f>
        <v>122551260.242878</v>
      </c>
      <c r="DK216" s="95">
        <f t="shared" si="17"/>
        <v>136159563.394546</v>
      </c>
      <c r="DL216" s="68">
        <f t="shared" si="17"/>
        <v>153914910.299077</v>
      </c>
      <c r="DM216" s="68">
        <f t="shared" si="17"/>
        <v>163708472.43182999</v>
      </c>
      <c r="DN216" s="68">
        <f t="shared" si="17"/>
        <v>156781589.98980999</v>
      </c>
      <c r="DO216" s="68">
        <f t="shared" si="17"/>
        <v>165239010.35287601</v>
      </c>
      <c r="DP216" s="68">
        <f t="shared" si="17"/>
        <v>177558111.715911</v>
      </c>
      <c r="DQ216" s="68">
        <f t="shared" si="17"/>
        <v>182756941.75310299</v>
      </c>
      <c r="DR216" s="68">
        <f t="shared" si="17"/>
        <v>174439167.43655899</v>
      </c>
      <c r="DS216" s="68">
        <f t="shared" si="17"/>
        <v>168685078.528474</v>
      </c>
      <c r="DT216" s="68">
        <f t="shared" si="17"/>
        <v>153670608.50422099</v>
      </c>
      <c r="DU216" s="69">
        <f t="shared" si="17"/>
        <v>207796185.840716</v>
      </c>
      <c r="DV216" s="83">
        <f t="shared" ref="DV216:ES216" si="18">DV217+DV249+DV259</f>
        <v>128850563.596595</v>
      </c>
      <c r="DW216" s="83">
        <f t="shared" si="18"/>
        <v>146614404.76445901</v>
      </c>
      <c r="DX216" s="83">
        <f t="shared" si="18"/>
        <v>163468653.87502</v>
      </c>
      <c r="DY216" s="83">
        <f t="shared" si="18"/>
        <v>175371539.58759099</v>
      </c>
      <c r="DZ216" s="83">
        <f t="shared" si="18"/>
        <v>164767421.70767799</v>
      </c>
      <c r="EA216" s="83">
        <f t="shared" si="18"/>
        <v>180014582.75346899</v>
      </c>
      <c r="EB216" s="83">
        <f t="shared" si="18"/>
        <v>195825830.759936</v>
      </c>
      <c r="EC216" s="83">
        <f t="shared" si="18"/>
        <v>197931941.23618501</v>
      </c>
      <c r="ED216" s="83">
        <f t="shared" si="18"/>
        <v>188242241.54629701</v>
      </c>
      <c r="EE216" s="83">
        <f t="shared" si="18"/>
        <v>198826191.33019999</v>
      </c>
      <c r="EF216" s="83">
        <f t="shared" si="18"/>
        <v>162119388.44968399</v>
      </c>
      <c r="EG216" s="83">
        <f t="shared" si="18"/>
        <v>223583117.22288501</v>
      </c>
      <c r="EH216" s="83">
        <f t="shared" si="18"/>
        <v>109927912.88314299</v>
      </c>
      <c r="EI216" s="83">
        <f t="shared" si="18"/>
        <v>139988884.71044001</v>
      </c>
      <c r="EJ216" s="83">
        <f t="shared" si="18"/>
        <v>168619244.90199399</v>
      </c>
      <c r="EK216" s="83">
        <f t="shared" si="18"/>
        <v>161064908.13011801</v>
      </c>
      <c r="EL216" s="83">
        <f t="shared" si="18"/>
        <v>157187778.36459899</v>
      </c>
      <c r="EM216" s="83">
        <f t="shared" si="18"/>
        <v>173103498.61526999</v>
      </c>
      <c r="EN216" s="83">
        <f t="shared" si="18"/>
        <v>173549199.05869699</v>
      </c>
      <c r="EO216" s="83">
        <f t="shared" si="18"/>
        <v>189139313.24436</v>
      </c>
      <c r="EP216" s="83">
        <f t="shared" si="18"/>
        <v>182820453.81019899</v>
      </c>
      <c r="EQ216" s="83">
        <f t="shared" si="18"/>
        <v>169544272.17165199</v>
      </c>
      <c r="ER216" s="83">
        <f t="shared" si="18"/>
        <v>161107751.27361</v>
      </c>
      <c r="ES216" s="83">
        <f t="shared" si="18"/>
        <v>219737269.933099</v>
      </c>
    </row>
    <row r="217" spans="1:187">
      <c r="B217" s="59">
        <v>71</v>
      </c>
      <c r="D217" s="59" t="str">
        <f t="shared" si="16"/>
        <v>71p</v>
      </c>
      <c r="E217" s="60" t="s">
        <v>349</v>
      </c>
      <c r="F217" s="67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9"/>
      <c r="R217" s="67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9"/>
      <c r="AD217" s="67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9"/>
      <c r="AP217" s="67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9"/>
      <c r="BB217" s="67"/>
      <c r="BC217" s="68"/>
      <c r="BD217" s="68"/>
      <c r="BE217" s="68"/>
      <c r="BF217" s="68"/>
      <c r="BG217" s="68"/>
      <c r="BH217" s="68"/>
      <c r="BI217" s="68"/>
      <c r="BJ217" s="68"/>
      <c r="BK217" s="68"/>
      <c r="BL217" s="68"/>
      <c r="BM217" s="69"/>
      <c r="BN217" s="67"/>
      <c r="BO217" s="68"/>
      <c r="BP217" s="68"/>
      <c r="BQ217" s="68"/>
      <c r="BR217" s="68"/>
      <c r="BS217" s="68"/>
      <c r="BT217" s="68"/>
      <c r="BU217" s="68"/>
      <c r="BV217" s="68"/>
      <c r="BW217" s="68"/>
      <c r="BX217" s="68"/>
      <c r="BY217" s="69"/>
      <c r="BZ217" s="68"/>
      <c r="CA217" s="68"/>
      <c r="CB217" s="68"/>
      <c r="CC217" s="68"/>
      <c r="CD217" s="68"/>
      <c r="CE217" s="68"/>
      <c r="CF217" s="68"/>
      <c r="CG217" s="68"/>
      <c r="CH217" s="68"/>
      <c r="CI217" s="68"/>
      <c r="CJ217" s="68"/>
      <c r="CK217" s="68"/>
      <c r="CL217" s="67"/>
      <c r="CM217" s="68"/>
      <c r="CN217" s="68"/>
      <c r="CO217" s="68"/>
      <c r="CP217" s="68"/>
      <c r="CQ217" s="68"/>
      <c r="CR217" s="68"/>
      <c r="CS217" s="68"/>
      <c r="CT217" s="68"/>
      <c r="CU217" s="68"/>
      <c r="CV217" s="68"/>
      <c r="CW217" s="69"/>
      <c r="CX217" s="67"/>
      <c r="CY217" s="68"/>
      <c r="CZ217" s="68"/>
      <c r="DA217" s="68"/>
      <c r="DB217" s="68"/>
      <c r="DC217" s="68"/>
      <c r="DD217" s="68"/>
      <c r="DE217" s="68"/>
      <c r="DF217" s="68"/>
      <c r="DG217" s="68"/>
      <c r="DH217" s="68"/>
      <c r="DI217" s="69"/>
      <c r="DJ217" s="67">
        <f>+DJ218+DJ227+DJ232+DJ237+DJ244</f>
        <v>69456510.490523204</v>
      </c>
      <c r="DK217" s="95">
        <v>82479571.834897503</v>
      </c>
      <c r="DL217" s="68">
        <v>100634143.85281</v>
      </c>
      <c r="DM217" s="68">
        <v>109932650.070409</v>
      </c>
      <c r="DN217" s="68">
        <v>103512228.885528</v>
      </c>
      <c r="DO217" s="68">
        <v>111657698.388046</v>
      </c>
      <c r="DP217" s="68">
        <v>123483460.277979</v>
      </c>
      <c r="DQ217" s="68">
        <v>129333860.106207</v>
      </c>
      <c r="DR217" s="68">
        <v>120724593.50129201</v>
      </c>
      <c r="DS217" s="68">
        <v>114795563.815541</v>
      </c>
      <c r="DT217" s="68">
        <v>99036019.7524717</v>
      </c>
      <c r="DU217" s="69">
        <v>152467092.98816001</v>
      </c>
      <c r="DV217" s="83">
        <f t="shared" ref="DV217:ES217" si="19">DV218+DV227+DV232+DV237+DV244+DV252+DV255</f>
        <v>73254807.508548602</v>
      </c>
      <c r="DW217" s="83">
        <f t="shared" si="19"/>
        <v>91018648.676412299</v>
      </c>
      <c r="DX217" s="83">
        <f t="shared" si="19"/>
        <v>107872897.786973</v>
      </c>
      <c r="DY217" s="83">
        <f t="shared" si="19"/>
        <v>119775783.49954399</v>
      </c>
      <c r="DZ217" s="83">
        <f t="shared" si="19"/>
        <v>109171665.61963201</v>
      </c>
      <c r="EA217" s="83">
        <f t="shared" si="19"/>
        <v>124418826.66542201</v>
      </c>
      <c r="EB217" s="83">
        <f t="shared" si="19"/>
        <v>140230074.67188999</v>
      </c>
      <c r="EC217" s="83">
        <f t="shared" si="19"/>
        <v>142336185.14813799</v>
      </c>
      <c r="ED217" s="83">
        <f t="shared" si="19"/>
        <v>132646485.458251</v>
      </c>
      <c r="EE217" s="83">
        <f t="shared" si="19"/>
        <v>143230435.24215299</v>
      </c>
      <c r="EF217" s="83">
        <f t="shared" si="19"/>
        <v>106523632.361637</v>
      </c>
      <c r="EG217" s="83">
        <f t="shared" si="19"/>
        <v>167987361.13483801</v>
      </c>
      <c r="EH217" s="83">
        <f t="shared" si="19"/>
        <v>72080094.246903896</v>
      </c>
      <c r="EI217" s="83">
        <f t="shared" si="19"/>
        <v>102141066.074201</v>
      </c>
      <c r="EJ217" s="83">
        <f t="shared" si="19"/>
        <v>130771426.265755</v>
      </c>
      <c r="EK217" s="83">
        <f t="shared" si="19"/>
        <v>123217089.49387901</v>
      </c>
      <c r="EL217" s="83">
        <f t="shared" si="19"/>
        <v>119339959.72836</v>
      </c>
      <c r="EM217" s="83">
        <f t="shared" si="19"/>
        <v>135255679.979031</v>
      </c>
      <c r="EN217" s="83">
        <f t="shared" si="19"/>
        <v>135701380.42245701</v>
      </c>
      <c r="EO217" s="83">
        <f t="shared" si="19"/>
        <v>151291494.60812101</v>
      </c>
      <c r="EP217" s="83">
        <f t="shared" si="19"/>
        <v>144972635.17396</v>
      </c>
      <c r="EQ217" s="83">
        <f t="shared" si="19"/>
        <v>131696453.535413</v>
      </c>
      <c r="ER217" s="83">
        <f t="shared" si="19"/>
        <v>123259932.637371</v>
      </c>
      <c r="ES217" s="83">
        <f t="shared" si="19"/>
        <v>181889451.29686001</v>
      </c>
    </row>
    <row r="218" spans="1:187" s="2" customFormat="1">
      <c r="A218" s="71"/>
      <c r="B218" s="71"/>
      <c r="C218" s="71">
        <v>711</v>
      </c>
      <c r="D218" s="71" t="str">
        <f t="shared" si="16"/>
        <v>711p</v>
      </c>
      <c r="E218" s="72" t="s">
        <v>127</v>
      </c>
      <c r="F218" s="73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5"/>
      <c r="R218" s="73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5"/>
      <c r="AD218" s="73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5"/>
      <c r="AP218" s="73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5"/>
      <c r="BB218" s="73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5"/>
      <c r="BN218" s="73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5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3">
        <f t="shared" ref="CL218:CX218" si="20">+SUM(CL219:CL226)</f>
        <v>41686253.110737301</v>
      </c>
      <c r="CM218" s="74">
        <f t="shared" si="20"/>
        <v>40855853.795869797</v>
      </c>
      <c r="CN218" s="74">
        <f t="shared" si="20"/>
        <v>48871129.289274201</v>
      </c>
      <c r="CO218" s="74">
        <f t="shared" si="20"/>
        <v>63044978.6675606</v>
      </c>
      <c r="CP218" s="74">
        <f t="shared" si="20"/>
        <v>59903018.246625401</v>
      </c>
      <c r="CQ218" s="74">
        <f t="shared" si="20"/>
        <v>65474825.471494503</v>
      </c>
      <c r="CR218" s="74">
        <f t="shared" si="20"/>
        <v>71410525.134797305</v>
      </c>
      <c r="CS218" s="74">
        <f t="shared" si="20"/>
        <v>66453623.073847502</v>
      </c>
      <c r="CT218" s="74">
        <f t="shared" si="20"/>
        <v>65790416.568190798</v>
      </c>
      <c r="CU218" s="74">
        <f t="shared" si="20"/>
        <v>63302926.264795601</v>
      </c>
      <c r="CV218" s="74">
        <f t="shared" si="20"/>
        <v>56224451.677824304</v>
      </c>
      <c r="CW218" s="75">
        <f t="shared" si="20"/>
        <v>57412527.940826997</v>
      </c>
      <c r="CX218" s="73">
        <f t="shared" si="20"/>
        <v>46630073.989835002</v>
      </c>
      <c r="CY218" s="74">
        <f t="shared" ref="CY218:DJ218" si="21">+SUM(CY219:CY226)</f>
        <v>47737456.241611503</v>
      </c>
      <c r="CZ218" s="74">
        <f t="shared" si="21"/>
        <v>55661924.949411303</v>
      </c>
      <c r="DA218" s="74">
        <f t="shared" si="21"/>
        <v>73380169.878103197</v>
      </c>
      <c r="DB218" s="74">
        <f t="shared" si="21"/>
        <v>63336581.530845903</v>
      </c>
      <c r="DC218" s="74">
        <f t="shared" si="21"/>
        <v>68150867.818816096</v>
      </c>
      <c r="DD218" s="74">
        <f t="shared" si="21"/>
        <v>80502115.642067596</v>
      </c>
      <c r="DE218" s="74">
        <f t="shared" si="21"/>
        <v>83661776.550335497</v>
      </c>
      <c r="DF218" s="74">
        <f t="shared" si="21"/>
        <v>77286158.272165701</v>
      </c>
      <c r="DG218" s="74">
        <f t="shared" si="21"/>
        <v>64936637.533591397</v>
      </c>
      <c r="DH218" s="74">
        <f t="shared" si="21"/>
        <v>59626792.723406501</v>
      </c>
      <c r="DI218" s="75">
        <f t="shared" si="21"/>
        <v>76918346.229341194</v>
      </c>
      <c r="DJ218" s="73">
        <f t="shared" si="21"/>
        <v>47438461.833814897</v>
      </c>
      <c r="DK218" s="96">
        <f t="shared" ref="DK218:DU218" si="22">+SUM(DK219:DK226)</f>
        <v>48051254.173922703</v>
      </c>
      <c r="DL218" s="74">
        <f t="shared" si="22"/>
        <v>68643020.701511905</v>
      </c>
      <c r="DM218" s="74">
        <f t="shared" si="22"/>
        <v>74644324.702040896</v>
      </c>
      <c r="DN218" s="74">
        <f t="shared" si="22"/>
        <v>62371540.361953899</v>
      </c>
      <c r="DO218" s="74">
        <f t="shared" si="22"/>
        <v>70088728.880090401</v>
      </c>
      <c r="DP218" s="74">
        <f t="shared" si="22"/>
        <v>83389342.293927506</v>
      </c>
      <c r="DQ218" s="74">
        <f t="shared" si="22"/>
        <v>87963080.772664607</v>
      </c>
      <c r="DR218" s="74">
        <f t="shared" si="22"/>
        <v>80794946.466777399</v>
      </c>
      <c r="DS218" s="74">
        <f t="shared" si="22"/>
        <v>70587663.8497504</v>
      </c>
      <c r="DT218" s="74">
        <f t="shared" si="22"/>
        <v>60436221.191738904</v>
      </c>
      <c r="DU218" s="75">
        <f t="shared" si="22"/>
        <v>78264034.341148093</v>
      </c>
      <c r="DV218" s="97">
        <f>SUM(DV219:DV226)</f>
        <v>48519296.027482398</v>
      </c>
      <c r="DW218" s="97">
        <f t="shared" ref="DW218:ES218" si="23">SUM(DW219:DW226)</f>
        <v>51347232.9041586</v>
      </c>
      <c r="DX218" s="97">
        <f t="shared" si="23"/>
        <v>65011100.969904698</v>
      </c>
      <c r="DY218" s="97">
        <f t="shared" si="23"/>
        <v>75093253.280867502</v>
      </c>
      <c r="DZ218" s="97">
        <f t="shared" si="23"/>
        <v>64376516.948674798</v>
      </c>
      <c r="EA218" s="97">
        <f t="shared" si="23"/>
        <v>71906788.704869807</v>
      </c>
      <c r="EB218" s="97">
        <f t="shared" si="23"/>
        <v>84224318.482175797</v>
      </c>
      <c r="EC218" s="97">
        <f t="shared" si="23"/>
        <v>88333743.072993502</v>
      </c>
      <c r="ED218" s="97">
        <f t="shared" si="23"/>
        <v>82494871.783352494</v>
      </c>
      <c r="EE218" s="97">
        <f t="shared" si="23"/>
        <v>82511282.288320497</v>
      </c>
      <c r="EF218" s="97">
        <f t="shared" si="23"/>
        <v>60879285.246393099</v>
      </c>
      <c r="EG218" s="97">
        <f t="shared" si="23"/>
        <v>73552702.3572229</v>
      </c>
      <c r="EH218" s="97">
        <f t="shared" si="23"/>
        <v>53393011.197744101</v>
      </c>
      <c r="EI218" s="97">
        <f t="shared" si="23"/>
        <v>59298498.751362599</v>
      </c>
      <c r="EJ218" s="97">
        <f t="shared" si="23"/>
        <v>79240240.613968194</v>
      </c>
      <c r="EK218" s="97">
        <f t="shared" si="23"/>
        <v>76769826.715357795</v>
      </c>
      <c r="EL218" s="97">
        <f t="shared" si="23"/>
        <v>72284574.424425393</v>
      </c>
      <c r="EM218" s="97">
        <f t="shared" si="23"/>
        <v>82867820.454024196</v>
      </c>
      <c r="EN218" s="97">
        <f t="shared" si="23"/>
        <v>90215653.4513558</v>
      </c>
      <c r="EO218" s="97">
        <f t="shared" si="23"/>
        <v>102091916.679377</v>
      </c>
      <c r="EP218" s="97">
        <f t="shared" si="23"/>
        <v>90311561.121648893</v>
      </c>
      <c r="EQ218" s="97">
        <f t="shared" si="23"/>
        <v>81590409.643190995</v>
      </c>
      <c r="ER218" s="97">
        <f t="shared" si="23"/>
        <v>71104013.719025001</v>
      </c>
      <c r="ES218" s="97">
        <f t="shared" si="23"/>
        <v>85109067.493094102</v>
      </c>
      <c r="ET218" s="98">
        <v>60295851.509999998</v>
      </c>
      <c r="EU218" s="98">
        <v>64797597.329999998</v>
      </c>
      <c r="EV218" s="98">
        <v>89261850.609999999</v>
      </c>
      <c r="EW218" s="98">
        <v>97799793.079999998</v>
      </c>
      <c r="EX218" s="98">
        <v>90553351.069999993</v>
      </c>
      <c r="EY218" s="98">
        <v>87503254.430000007</v>
      </c>
      <c r="EZ218" s="98">
        <v>99397799.482830197</v>
      </c>
      <c r="FA218" s="98">
        <v>110357770.349861</v>
      </c>
      <c r="FB218" s="98">
        <v>102093047.15872499</v>
      </c>
      <c r="FC218" s="98">
        <v>95698512.829288498</v>
      </c>
      <c r="FD218" s="98">
        <v>82424829.046484306</v>
      </c>
      <c r="FE218" s="98">
        <v>98213532.499999806</v>
      </c>
      <c r="FF218" s="99">
        <v>72429730.420000002</v>
      </c>
      <c r="FG218" s="99">
        <v>68470908.439999998</v>
      </c>
      <c r="FH218" s="99">
        <v>98709545.510000005</v>
      </c>
      <c r="FI218" s="99">
        <v>106791818.52</v>
      </c>
      <c r="FJ218" s="99">
        <v>94372185.030000001</v>
      </c>
      <c r="FK218" s="99">
        <v>89389439.689999998</v>
      </c>
      <c r="FL218" s="99">
        <v>106366803.00672001</v>
      </c>
      <c r="FM218" s="99">
        <v>110847613.637741</v>
      </c>
      <c r="FN218" s="99">
        <f>105712748.66474-4000000</f>
        <v>101712748.66474</v>
      </c>
      <c r="FO218" s="99">
        <f>92295636.2285859+4000000</f>
        <v>96295636.228585899</v>
      </c>
      <c r="FP218" s="99">
        <v>84393107.743797198</v>
      </c>
      <c r="FQ218" s="99">
        <v>92890414.095145494</v>
      </c>
      <c r="FR218" s="100">
        <f>SUM(FR219:FR226)</f>
        <v>73320205.209999993</v>
      </c>
      <c r="FS218" s="100">
        <f t="shared" ref="FS218:FX218" si="24">SUM(FS219:FS226)</f>
        <v>69683087.400000006</v>
      </c>
      <c r="FT218" s="100">
        <f t="shared" si="24"/>
        <v>105613736.66</v>
      </c>
      <c r="FU218" s="100">
        <f t="shared" si="24"/>
        <v>83521974.920000002</v>
      </c>
      <c r="FV218" s="100">
        <f t="shared" si="24"/>
        <v>69752758.120000005</v>
      </c>
      <c r="FW218" s="100">
        <f t="shared" si="24"/>
        <v>82125472.672907203</v>
      </c>
      <c r="FX218" s="100">
        <f t="shared" si="24"/>
        <v>97440527.992951095</v>
      </c>
      <c r="FY218" s="100">
        <f t="shared" ref="FY218" si="25">SUM(FY219:FY226)</f>
        <v>102835982.178223</v>
      </c>
      <c r="FZ218" s="100">
        <f t="shared" ref="FZ218" si="26">SUM(FZ219:FZ226)</f>
        <v>99861898.573637307</v>
      </c>
      <c r="GA218" s="100">
        <f t="shared" ref="GA218" si="27">SUM(GA219:GA226)</f>
        <v>96098494.299763694</v>
      </c>
      <c r="GB218" s="100">
        <f t="shared" ref="GB218" si="28">SUM(GB219:GB226)</f>
        <v>81549422.466298297</v>
      </c>
      <c r="GC218" s="100">
        <f t="shared" ref="GC218" si="29">SUM(GC219:GC226)</f>
        <v>93633799.201363906</v>
      </c>
      <c r="GE218" s="101">
        <f>SUM(FR218:GC218)</f>
        <v>1055437359.69515</v>
      </c>
    </row>
    <row r="219" spans="1:187">
      <c r="D219" s="59" t="str">
        <f t="shared" si="16"/>
        <v>7111p</v>
      </c>
      <c r="E219" s="60" t="s">
        <v>128</v>
      </c>
      <c r="F219" s="67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9"/>
      <c r="R219" s="67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9"/>
      <c r="AD219" s="67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9"/>
      <c r="AP219" s="67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9"/>
      <c r="BB219" s="67"/>
      <c r="BC219" s="68"/>
      <c r="BD219" s="68"/>
      <c r="BE219" s="68"/>
      <c r="BF219" s="68"/>
      <c r="BG219" s="68"/>
      <c r="BH219" s="68"/>
      <c r="BI219" s="68"/>
      <c r="BJ219" s="68"/>
      <c r="BK219" s="68"/>
      <c r="BL219" s="68"/>
      <c r="BM219" s="69"/>
      <c r="BN219" s="67"/>
      <c r="BO219" s="68"/>
      <c r="BP219" s="68"/>
      <c r="BQ219" s="68"/>
      <c r="BR219" s="68"/>
      <c r="BS219" s="68"/>
      <c r="BT219" s="68"/>
      <c r="BU219" s="68"/>
      <c r="BV219" s="68"/>
      <c r="BW219" s="68"/>
      <c r="BX219" s="68"/>
      <c r="BY219" s="69"/>
      <c r="BZ219" s="68"/>
      <c r="CA219" s="68"/>
      <c r="CB219" s="68"/>
      <c r="CC219" s="68"/>
      <c r="CD219" s="68"/>
      <c r="CE219" s="68"/>
      <c r="CF219" s="68"/>
      <c r="CG219" s="68"/>
      <c r="CH219" s="68"/>
      <c r="CI219" s="68"/>
      <c r="CJ219" s="68"/>
      <c r="CK219" s="68"/>
      <c r="CL219" s="67">
        <v>2820446.82236706</v>
      </c>
      <c r="CM219" s="68">
        <v>5820928.5775817595</v>
      </c>
      <c r="CN219" s="68">
        <v>6919198.03516992</v>
      </c>
      <c r="CO219" s="68">
        <v>7408525.4606941696</v>
      </c>
      <c r="CP219" s="68">
        <v>7204484.0505127097</v>
      </c>
      <c r="CQ219" s="68">
        <v>6466633.4408446904</v>
      </c>
      <c r="CR219" s="68">
        <v>8521641.6469569504</v>
      </c>
      <c r="CS219" s="68">
        <v>9664205.1361650508</v>
      </c>
      <c r="CT219" s="68">
        <v>6815248.5982489996</v>
      </c>
      <c r="CU219" s="68">
        <v>9471655.9367153402</v>
      </c>
      <c r="CV219" s="68">
        <v>8042875.0851052497</v>
      </c>
      <c r="CW219" s="69">
        <v>11726411.550236501</v>
      </c>
      <c r="CX219" s="67">
        <v>5536823.9639416998</v>
      </c>
      <c r="CY219" s="68">
        <v>6603739.60761037</v>
      </c>
      <c r="CZ219" s="68">
        <v>6676953.4988943199</v>
      </c>
      <c r="DA219" s="68">
        <v>6906912.5782146296</v>
      </c>
      <c r="DB219" s="68">
        <v>7747493.2498942297</v>
      </c>
      <c r="DC219" s="68">
        <v>6933974.2607370904</v>
      </c>
      <c r="DD219" s="68">
        <v>7575525.1255336497</v>
      </c>
      <c r="DE219" s="68">
        <v>8718912.6885207798</v>
      </c>
      <c r="DF219" s="68">
        <v>9058811.9435250796</v>
      </c>
      <c r="DG219" s="68">
        <v>7322217.3457894204</v>
      </c>
      <c r="DH219" s="68">
        <v>7332731.8430695897</v>
      </c>
      <c r="DI219" s="69">
        <v>15597558.508764001</v>
      </c>
      <c r="DJ219" s="67">
        <v>3573995.3554284601</v>
      </c>
      <c r="DK219" s="95">
        <v>6873843.9545441503</v>
      </c>
      <c r="DL219" s="68">
        <v>8628957.8256391399</v>
      </c>
      <c r="DM219" s="68">
        <v>8483434.6457901504</v>
      </c>
      <c r="DN219" s="68">
        <v>9434922.5878236108</v>
      </c>
      <c r="DO219" s="68">
        <v>8991934.6560795493</v>
      </c>
      <c r="DP219" s="68">
        <v>9046366.0797531493</v>
      </c>
      <c r="DQ219" s="68">
        <v>9922440.3850700893</v>
      </c>
      <c r="DR219" s="68">
        <v>9246654.8577025402</v>
      </c>
      <c r="DS219" s="68">
        <v>8428028.1672596093</v>
      </c>
      <c r="DT219" s="68">
        <v>8212187.9289413197</v>
      </c>
      <c r="DU219" s="69">
        <v>17086876.381307598</v>
      </c>
      <c r="DV219" s="83">
        <v>3256274.17025901</v>
      </c>
      <c r="DW219" s="83">
        <v>6307067.1265346296</v>
      </c>
      <c r="DX219" s="83">
        <v>7185867.0962893497</v>
      </c>
      <c r="DY219" s="83">
        <v>7337843.0794201996</v>
      </c>
      <c r="DZ219" s="83">
        <v>7549134.2153253201</v>
      </c>
      <c r="EA219" s="83">
        <v>7983088.0958320303</v>
      </c>
      <c r="EB219" s="83">
        <v>8209438.0719818696</v>
      </c>
      <c r="EC219" s="83">
        <v>8656256.5865458194</v>
      </c>
      <c r="ED219" s="83">
        <v>8265680.3878533598</v>
      </c>
      <c r="EE219" s="83">
        <v>10422468.3040938</v>
      </c>
      <c r="EF219" s="83">
        <v>9053001.7482958306</v>
      </c>
      <c r="EG219" s="83">
        <v>14496765.9417831</v>
      </c>
      <c r="EH219" s="83">
        <v>3445730.68</v>
      </c>
      <c r="EI219" s="61">
        <v>9145427.7004242092</v>
      </c>
      <c r="EJ219" s="61">
        <v>10121749.817724099</v>
      </c>
      <c r="EK219" s="61">
        <v>8543881.1088797208</v>
      </c>
      <c r="EL219" s="61">
        <v>8733654.6548668295</v>
      </c>
      <c r="EM219" s="61">
        <v>9954508.8904510997</v>
      </c>
      <c r="EN219" s="61">
        <v>12848847.212564901</v>
      </c>
      <c r="EO219" s="61">
        <v>11972281.172638601</v>
      </c>
      <c r="EP219" s="61">
        <v>12910432.8816048</v>
      </c>
      <c r="EQ219" s="61">
        <v>10424403.0661796</v>
      </c>
      <c r="ER219" s="61">
        <v>8922339.2000792101</v>
      </c>
      <c r="ES219" s="61">
        <v>18560135.152000699</v>
      </c>
      <c r="ET219" s="1">
        <v>3496624.83</v>
      </c>
      <c r="EU219" s="1">
        <v>8897390.9499999993</v>
      </c>
      <c r="EV219" s="1">
        <v>10001520.890000001</v>
      </c>
      <c r="EW219" s="1">
        <v>9899613.5099999998</v>
      </c>
      <c r="EX219" s="1">
        <v>10330673.77</v>
      </c>
      <c r="EY219" s="1">
        <v>10475384.99</v>
      </c>
      <c r="EZ219" s="1">
        <v>11459377.2228668</v>
      </c>
      <c r="FA219" s="1">
        <v>11349599.0627346</v>
      </c>
      <c r="FB219" s="1">
        <v>10410490.432834299</v>
      </c>
      <c r="FC219" s="1">
        <v>11079108.1710492</v>
      </c>
      <c r="FD219" s="1">
        <v>8309878.0236359304</v>
      </c>
      <c r="FE219" s="1">
        <v>15650000.3152667</v>
      </c>
      <c r="FF219" s="1">
        <v>4240913.8099999996</v>
      </c>
      <c r="FG219" s="1">
        <v>9361661.1500000004</v>
      </c>
      <c r="FH219" s="1">
        <v>9044961.5800000001</v>
      </c>
      <c r="FI219" s="1">
        <v>10767101.800000001</v>
      </c>
      <c r="FJ219" s="1">
        <v>10210712.41</v>
      </c>
      <c r="FK219" s="1">
        <v>10125793.029999999</v>
      </c>
      <c r="FL219" s="1">
        <v>10562928.1021709</v>
      </c>
      <c r="FM219" s="1">
        <v>10477537.9093521</v>
      </c>
      <c r="FN219" s="1">
        <v>8957410.6319850795</v>
      </c>
      <c r="FO219" s="1">
        <v>9589847.5886837803</v>
      </c>
      <c r="FP219" s="1">
        <v>9803639.4384757504</v>
      </c>
      <c r="FQ219" s="1">
        <v>17095010.594302401</v>
      </c>
      <c r="FR219" s="63">
        <v>4317755.12</v>
      </c>
      <c r="FS219" s="63">
        <v>9514934.0399999991</v>
      </c>
      <c r="FT219" s="63">
        <v>9988296.0800000001</v>
      </c>
      <c r="FU219" s="63">
        <v>6960084.75</v>
      </c>
      <c r="FV219" s="63">
        <v>10104597.5</v>
      </c>
      <c r="FW219" s="63">
        <v>9233273.1269990597</v>
      </c>
      <c r="FX219" s="63">
        <v>9150318.9104051199</v>
      </c>
      <c r="FY219" s="63">
        <v>8725946.6834637895</v>
      </c>
      <c r="FZ219" s="63">
        <v>8605027.8152614608</v>
      </c>
      <c r="GA219" s="63">
        <v>12215525.5668632</v>
      </c>
      <c r="GB219" s="63">
        <v>8318398.7638738099</v>
      </c>
      <c r="GC219" s="63">
        <v>15525209.395354999</v>
      </c>
      <c r="GE219" s="102">
        <f t="shared" ref="GE219:GE226" si="30">SUM(FR219:GD219)</f>
        <v>112659367.752221</v>
      </c>
    </row>
    <row r="220" spans="1:187">
      <c r="D220" s="59" t="str">
        <f t="shared" si="16"/>
        <v>7112p</v>
      </c>
      <c r="E220" s="60" t="s">
        <v>129</v>
      </c>
      <c r="F220" s="67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9"/>
      <c r="R220" s="67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9"/>
      <c r="AD220" s="67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9"/>
      <c r="AP220" s="67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9"/>
      <c r="BB220" s="67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9"/>
      <c r="BN220" s="67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9"/>
      <c r="BZ220" s="68"/>
      <c r="CA220" s="68"/>
      <c r="CB220" s="68"/>
      <c r="CC220" s="68"/>
      <c r="CD220" s="68"/>
      <c r="CE220" s="68"/>
      <c r="CF220" s="68"/>
      <c r="CG220" s="68"/>
      <c r="CH220" s="68"/>
      <c r="CI220" s="68"/>
      <c r="CJ220" s="68"/>
      <c r="CK220" s="68"/>
      <c r="CL220" s="67">
        <v>579786.54478696396</v>
      </c>
      <c r="CM220" s="68">
        <v>515115.82451773499</v>
      </c>
      <c r="CN220" s="68">
        <v>4474685.1189596504</v>
      </c>
      <c r="CO220" s="68">
        <v>12488272.4781147</v>
      </c>
      <c r="CP220" s="68">
        <v>3690917.0906183301</v>
      </c>
      <c r="CQ220" s="68">
        <v>4274773.0439898605</v>
      </c>
      <c r="CR220" s="68">
        <v>3994418.0701162601</v>
      </c>
      <c r="CS220" s="68">
        <v>3426415.4173260499</v>
      </c>
      <c r="CT220" s="68">
        <v>2644519.6751525402</v>
      </c>
      <c r="CU220" s="68">
        <v>1873134.40555057</v>
      </c>
      <c r="CV220" s="68">
        <v>1099856.27890913</v>
      </c>
      <c r="CW220" s="69">
        <v>2871073.23585033</v>
      </c>
      <c r="CX220" s="67">
        <v>542155.32839785796</v>
      </c>
      <c r="CY220" s="68">
        <v>1152750.3872009199</v>
      </c>
      <c r="CZ220" s="68">
        <v>5559762.3725619102</v>
      </c>
      <c r="DA220" s="68">
        <v>16167122.137942599</v>
      </c>
      <c r="DB220" s="68">
        <v>3342015.3051073099</v>
      </c>
      <c r="DC220" s="68">
        <v>3973142.0907613202</v>
      </c>
      <c r="DD220" s="68">
        <v>4224224.6269917199</v>
      </c>
      <c r="DE220" s="68">
        <v>3100839.3375153602</v>
      </c>
      <c r="DF220" s="68">
        <v>2550420.1743935701</v>
      </c>
      <c r="DG220" s="68">
        <v>1409658.4171760699</v>
      </c>
      <c r="DH220" s="68">
        <v>1236078.5708177499</v>
      </c>
      <c r="DI220" s="69">
        <v>1137472.7826346301</v>
      </c>
      <c r="DJ220" s="67">
        <v>932399.70044660696</v>
      </c>
      <c r="DK220" s="95">
        <v>960648.11172441195</v>
      </c>
      <c r="DL220" s="68">
        <v>11938576.266732501</v>
      </c>
      <c r="DM220" s="68">
        <v>12301967.311749799</v>
      </c>
      <c r="DN220" s="68">
        <v>2674098.0198717602</v>
      </c>
      <c r="DO220" s="68">
        <v>3180140.8522840398</v>
      </c>
      <c r="DP220" s="68">
        <v>5395660.7985904701</v>
      </c>
      <c r="DQ220" s="68">
        <v>2863130.1493314202</v>
      </c>
      <c r="DR220" s="68">
        <v>2353497.2340047802</v>
      </c>
      <c r="DS220" s="68">
        <v>1665538.32839027</v>
      </c>
      <c r="DT220" s="68">
        <v>862427.72685132304</v>
      </c>
      <c r="DU220" s="69">
        <v>1507473.9400802001</v>
      </c>
      <c r="DV220" s="83">
        <v>879216.62522751105</v>
      </c>
      <c r="DW220" s="83">
        <v>978704.97459082201</v>
      </c>
      <c r="DX220" s="83">
        <v>9565619.7261311691</v>
      </c>
      <c r="DY220" s="83">
        <v>14480647.367471</v>
      </c>
      <c r="DZ220" s="83">
        <v>2750731.3293431299</v>
      </c>
      <c r="EA220" s="83">
        <v>3704741.9987834799</v>
      </c>
      <c r="EB220" s="83">
        <v>4542486.8831950799</v>
      </c>
      <c r="EC220" s="83">
        <v>2539403.29753925</v>
      </c>
      <c r="ED220" s="83">
        <v>2385044.06122078</v>
      </c>
      <c r="EE220" s="83">
        <v>1382622.7151631</v>
      </c>
      <c r="EF220" s="83">
        <v>718783.39737050503</v>
      </c>
      <c r="EG220" s="83">
        <v>1297842.5948828899</v>
      </c>
      <c r="EH220" s="83">
        <v>319868.36632967502</v>
      </c>
      <c r="EI220" s="61">
        <v>1275692.78232297</v>
      </c>
      <c r="EJ220" s="61">
        <v>15606774.300851099</v>
      </c>
      <c r="EK220" s="61">
        <v>11880917.025348499</v>
      </c>
      <c r="EL220" s="61">
        <v>2694890.53555249</v>
      </c>
      <c r="EM220" s="61">
        <v>4614984.2836715002</v>
      </c>
      <c r="EN220" s="61">
        <v>2644838.5201759101</v>
      </c>
      <c r="EO220" s="61">
        <v>2920331.1421357398</v>
      </c>
      <c r="EP220" s="61">
        <v>1809770.5258781901</v>
      </c>
      <c r="EQ220" s="61">
        <v>1613666.65815158</v>
      </c>
      <c r="ER220" s="61">
        <v>541050.49431968795</v>
      </c>
      <c r="ES220" s="61">
        <v>999903.42131223797</v>
      </c>
      <c r="ET220" s="61">
        <v>475602.8</v>
      </c>
      <c r="EU220" s="61">
        <v>1641570.62</v>
      </c>
      <c r="EV220" s="61">
        <v>22262597.649999999</v>
      </c>
      <c r="EW220" s="61">
        <v>18095823.48</v>
      </c>
      <c r="EX220" s="61">
        <v>3730435.57</v>
      </c>
      <c r="EY220" s="61">
        <v>3402383.37</v>
      </c>
      <c r="EZ220" s="61">
        <v>2907159.2955212998</v>
      </c>
      <c r="FA220" s="61">
        <v>3013650.2072513402</v>
      </c>
      <c r="FB220" s="61">
        <v>1324416.43482287</v>
      </c>
      <c r="FC220" s="61">
        <v>2025728.0588126399</v>
      </c>
      <c r="FD220" s="61">
        <v>801101.06022479106</v>
      </c>
      <c r="FE220" s="61">
        <v>1997896.8237737301</v>
      </c>
      <c r="FF220" s="1">
        <v>936843.13</v>
      </c>
      <c r="FG220" s="1">
        <v>1962550.32</v>
      </c>
      <c r="FH220" s="1">
        <v>22465664.23</v>
      </c>
      <c r="FI220" s="1">
        <v>20408432.98</v>
      </c>
      <c r="FJ220" s="1">
        <v>4781744.7</v>
      </c>
      <c r="FK220" s="1">
        <v>3678815</v>
      </c>
      <c r="FL220" s="1">
        <v>4457741.7110314397</v>
      </c>
      <c r="FM220" s="1">
        <v>2685443.6740218201</v>
      </c>
      <c r="FN220" s="1">
        <f>6555024.30670548-4000000</f>
        <v>2555024.30670548</v>
      </c>
      <c r="FO220" s="1">
        <f>1099414.73043184+4000000</f>
        <v>5099414.7304318398</v>
      </c>
      <c r="FP220" s="1">
        <v>845177.98600747099</v>
      </c>
      <c r="FQ220" s="1">
        <v>1318007.3637119399</v>
      </c>
      <c r="FR220" s="63">
        <v>673739.6</v>
      </c>
      <c r="FS220" s="63">
        <v>2402403.02</v>
      </c>
      <c r="FT220" s="63">
        <v>21201257.989999998</v>
      </c>
      <c r="FU220" s="63">
        <v>24401832.57</v>
      </c>
      <c r="FV220" s="63">
        <v>4691004.47</v>
      </c>
      <c r="FW220" s="63">
        <v>4393088.9950781604</v>
      </c>
      <c r="FX220" s="63">
        <v>2315331.8626998202</v>
      </c>
      <c r="FY220" s="63">
        <v>2012009.4317284599</v>
      </c>
      <c r="FZ220" s="63">
        <v>2197471.5206857999</v>
      </c>
      <c r="GA220" s="63">
        <v>448859.94196204399</v>
      </c>
      <c r="GB220" s="63">
        <v>572222.09031102306</v>
      </c>
      <c r="GC220" s="63">
        <v>2287912.9892877098</v>
      </c>
      <c r="GE220" s="102">
        <f t="shared" si="30"/>
        <v>67597134.481753007</v>
      </c>
    </row>
    <row r="221" spans="1:187">
      <c r="D221" s="59" t="str">
        <f t="shared" si="16"/>
        <v>7113p</v>
      </c>
      <c r="E221" s="60" t="s">
        <v>130</v>
      </c>
      <c r="F221" s="67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9"/>
      <c r="R221" s="67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9"/>
      <c r="AD221" s="67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9"/>
      <c r="AP221" s="67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9"/>
      <c r="BB221" s="67"/>
      <c r="BC221" s="68"/>
      <c r="BD221" s="68"/>
      <c r="BE221" s="68"/>
      <c r="BF221" s="68"/>
      <c r="BG221" s="68"/>
      <c r="BH221" s="68"/>
      <c r="BI221" s="68"/>
      <c r="BJ221" s="68"/>
      <c r="BK221" s="68"/>
      <c r="BL221" s="68"/>
      <c r="BM221" s="69"/>
      <c r="BN221" s="67"/>
      <c r="BO221" s="68"/>
      <c r="BP221" s="68"/>
      <c r="BQ221" s="68"/>
      <c r="BR221" s="68"/>
      <c r="BS221" s="68"/>
      <c r="BT221" s="68"/>
      <c r="BU221" s="68"/>
      <c r="BV221" s="68"/>
      <c r="BW221" s="68"/>
      <c r="BX221" s="68"/>
      <c r="BY221" s="69"/>
      <c r="BZ221" s="68"/>
      <c r="CA221" s="68"/>
      <c r="CB221" s="68"/>
      <c r="CC221" s="68"/>
      <c r="CD221" s="68"/>
      <c r="CE221" s="68"/>
      <c r="CF221" s="68"/>
      <c r="CG221" s="68"/>
      <c r="CH221" s="68"/>
      <c r="CI221" s="68"/>
      <c r="CJ221" s="68"/>
      <c r="CK221" s="68"/>
      <c r="CL221" s="67">
        <v>81248.859864734099</v>
      </c>
      <c r="CM221" s="68">
        <v>103646.50733568599</v>
      </c>
      <c r="CN221" s="68">
        <v>186194.973928525</v>
      </c>
      <c r="CO221" s="68">
        <v>103363.426347883</v>
      </c>
      <c r="CP221" s="68">
        <v>100106.280939077</v>
      </c>
      <c r="CQ221" s="68">
        <v>133863.83595351601</v>
      </c>
      <c r="CR221" s="68">
        <v>122268.588420912</v>
      </c>
      <c r="CS221" s="68">
        <v>96003.204992983403</v>
      </c>
      <c r="CT221" s="68">
        <v>170229.34291974001</v>
      </c>
      <c r="CU221" s="68">
        <v>136036.030362449</v>
      </c>
      <c r="CV221" s="68">
        <v>147948.87120833801</v>
      </c>
      <c r="CW221" s="69">
        <v>140979.137572646</v>
      </c>
      <c r="CX221" s="67">
        <v>123999.602851502</v>
      </c>
      <c r="CY221" s="68">
        <v>133192.755050768</v>
      </c>
      <c r="CZ221" s="68">
        <v>141910.48385757499</v>
      </c>
      <c r="DA221" s="68">
        <v>123791.011400952</v>
      </c>
      <c r="DB221" s="68">
        <v>72591.819035106702</v>
      </c>
      <c r="DC221" s="68">
        <v>77284.349346340998</v>
      </c>
      <c r="DD221" s="68">
        <v>135985.65036623401</v>
      </c>
      <c r="DE221" s="68">
        <v>174290.234974755</v>
      </c>
      <c r="DF221" s="68">
        <v>107916.531905333</v>
      </c>
      <c r="DG221" s="68">
        <v>180714.58360820299</v>
      </c>
      <c r="DH221" s="68">
        <v>121683.73918948699</v>
      </c>
      <c r="DI221" s="69">
        <v>151175.911305783</v>
      </c>
      <c r="DJ221" s="67">
        <v>106071.795271469</v>
      </c>
      <c r="DK221" s="95">
        <v>113039.147617724</v>
      </c>
      <c r="DL221" s="68">
        <v>152502.18590714101</v>
      </c>
      <c r="DM221" s="68">
        <v>145745.80915293901</v>
      </c>
      <c r="DN221" s="68">
        <v>101292.236688517</v>
      </c>
      <c r="DO221" s="68">
        <v>111819.651401382</v>
      </c>
      <c r="DP221" s="68">
        <v>140720.54956844801</v>
      </c>
      <c r="DQ221" s="68">
        <v>137458.83152417399</v>
      </c>
      <c r="DR221" s="68">
        <v>121512.32009326101</v>
      </c>
      <c r="DS221" s="68">
        <v>144611.55666919699</v>
      </c>
      <c r="DT221" s="68">
        <v>114784.799331184</v>
      </c>
      <c r="DU221" s="69">
        <v>165968.97191897201</v>
      </c>
      <c r="DV221" s="83">
        <v>89812.337994626199</v>
      </c>
      <c r="DW221" s="83">
        <v>125605.877909168</v>
      </c>
      <c r="DX221" s="83">
        <v>126382.31513453599</v>
      </c>
      <c r="DY221" s="83">
        <v>113339.336429424</v>
      </c>
      <c r="DZ221" s="83">
        <v>81752.089929508598</v>
      </c>
      <c r="EA221" s="83">
        <v>109588.603723024</v>
      </c>
      <c r="EB221" s="83">
        <v>122410.08849256</v>
      </c>
      <c r="EC221" s="83">
        <v>122577.826244682</v>
      </c>
      <c r="ED221" s="83">
        <v>122631.249435358</v>
      </c>
      <c r="EE221" s="83">
        <v>142176.60213635399</v>
      </c>
      <c r="EF221" s="83">
        <v>111230.894532177</v>
      </c>
      <c r="EG221" s="83">
        <v>166744.301141893</v>
      </c>
      <c r="EH221" s="83">
        <v>156784.53115028</v>
      </c>
      <c r="EI221" s="61">
        <v>215996.23844451399</v>
      </c>
      <c r="EJ221" s="61">
        <v>172844.235240682</v>
      </c>
      <c r="EK221" s="61">
        <v>166312.68055694201</v>
      </c>
      <c r="EL221" s="61">
        <v>177348.58546757401</v>
      </c>
      <c r="EM221" s="61">
        <v>232734.91327749999</v>
      </c>
      <c r="EN221" s="61">
        <v>162468.08893173799</v>
      </c>
      <c r="EO221" s="61">
        <v>245981.656688516</v>
      </c>
      <c r="EP221" s="61">
        <v>296340.06182741199</v>
      </c>
      <c r="EQ221" s="61">
        <v>190322.06899586201</v>
      </c>
      <c r="ER221" s="61">
        <v>224798.653389318</v>
      </c>
      <c r="ES221" s="61">
        <v>217462.68507191099</v>
      </c>
      <c r="ET221" s="1">
        <v>93380.49</v>
      </c>
      <c r="EU221" s="1">
        <v>116565.53</v>
      </c>
      <c r="EV221" s="1">
        <v>203411.31</v>
      </c>
      <c r="EW221" s="1">
        <v>117398.62</v>
      </c>
      <c r="EX221" s="1">
        <v>143886.48000000001</v>
      </c>
      <c r="EY221" s="1">
        <v>122124.66</v>
      </c>
      <c r="EZ221" s="1">
        <v>165237.90094273299</v>
      </c>
      <c r="FA221" s="1">
        <v>179232.927353362</v>
      </c>
      <c r="FB221" s="1">
        <v>136199.31001440401</v>
      </c>
      <c r="FC221" s="1">
        <v>229977.20409803101</v>
      </c>
      <c r="FD221" s="1">
        <v>194711.60663450501</v>
      </c>
      <c r="FE221" s="1">
        <v>152772.091495525</v>
      </c>
      <c r="FF221" s="1">
        <v>118243.45</v>
      </c>
      <c r="FG221" s="1">
        <v>169568.16</v>
      </c>
      <c r="FH221" s="1">
        <v>146352.49</v>
      </c>
      <c r="FI221" s="1">
        <v>204359.36</v>
      </c>
      <c r="FJ221" s="1">
        <v>147510.5</v>
      </c>
      <c r="FK221" s="1">
        <v>158253.64000000001</v>
      </c>
      <c r="FL221" s="1">
        <v>92289.827047712693</v>
      </c>
      <c r="FM221" s="1">
        <v>199872.32178424101</v>
      </c>
      <c r="FN221" s="1">
        <v>127416.862542109</v>
      </c>
      <c r="FO221" s="1">
        <v>134863.81501112299</v>
      </c>
      <c r="FP221" s="1">
        <v>174166.776147094</v>
      </c>
      <c r="FQ221" s="1">
        <v>189919.207867722</v>
      </c>
      <c r="FR221" s="63">
        <v>185009.31</v>
      </c>
      <c r="FS221" s="63">
        <v>168097.86</v>
      </c>
      <c r="FT221" s="63">
        <v>129165.08</v>
      </c>
      <c r="FU221" s="63">
        <v>48149.33</v>
      </c>
      <c r="FV221" s="63">
        <v>95187.63</v>
      </c>
      <c r="FW221" s="63">
        <v>161561.36570369601</v>
      </c>
      <c r="FX221" s="63">
        <v>155879.212165484</v>
      </c>
      <c r="FY221" s="63">
        <v>176011.76588988601</v>
      </c>
      <c r="FZ221" s="63">
        <v>134410.42099123701</v>
      </c>
      <c r="GA221" s="63">
        <v>177686.88135689101</v>
      </c>
      <c r="GB221" s="63">
        <v>176411.244615303</v>
      </c>
      <c r="GC221" s="63">
        <v>295411.18930750299</v>
      </c>
      <c r="GE221" s="102">
        <f t="shared" si="30"/>
        <v>1902981.29003</v>
      </c>
    </row>
    <row r="222" spans="1:187">
      <c r="D222" s="59" t="str">
        <f t="shared" si="16"/>
        <v>7114p</v>
      </c>
      <c r="E222" s="60" t="s">
        <v>131</v>
      </c>
      <c r="F222" s="67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9"/>
      <c r="R222" s="67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9"/>
      <c r="AD222" s="67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9"/>
      <c r="AP222" s="67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9"/>
      <c r="BB222" s="67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9"/>
      <c r="BN222" s="67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9"/>
      <c r="BZ222" s="68"/>
      <c r="CA222" s="68"/>
      <c r="CB222" s="68"/>
      <c r="CC222" s="68"/>
      <c r="CD222" s="68"/>
      <c r="CE222" s="68"/>
      <c r="CF222" s="68"/>
      <c r="CG222" s="68"/>
      <c r="CH222" s="68"/>
      <c r="CI222" s="68"/>
      <c r="CJ222" s="68"/>
      <c r="CK222" s="68"/>
      <c r="CL222" s="67">
        <v>22216987.2591171</v>
      </c>
      <c r="CM222" s="68">
        <v>22351785.253203601</v>
      </c>
      <c r="CN222" s="68">
        <v>24907044.612074502</v>
      </c>
      <c r="CO222" s="68">
        <v>29049120.919579599</v>
      </c>
      <c r="CP222" s="68">
        <v>32485582.306774002</v>
      </c>
      <c r="CQ222" s="68">
        <v>39641428.685232297</v>
      </c>
      <c r="CR222" s="68">
        <v>39144860.544407897</v>
      </c>
      <c r="CS222" s="68">
        <v>33764783.498910099</v>
      </c>
      <c r="CT222" s="68">
        <v>35212221.435317002</v>
      </c>
      <c r="CU222" s="68">
        <v>35516823.320785403</v>
      </c>
      <c r="CV222" s="68">
        <v>31733799.928971201</v>
      </c>
      <c r="CW222" s="69">
        <v>27021193.241436299</v>
      </c>
      <c r="CX222" s="67">
        <v>27323259.649428401</v>
      </c>
      <c r="CY222" s="68">
        <v>28192006.566407599</v>
      </c>
      <c r="CZ222" s="68">
        <v>31780100.537285</v>
      </c>
      <c r="DA222" s="68">
        <v>35805625.314933904</v>
      </c>
      <c r="DB222" s="68">
        <v>37013677.774228603</v>
      </c>
      <c r="DC222" s="68">
        <v>39976192.562335499</v>
      </c>
      <c r="DD222" s="68">
        <v>48606896.525866799</v>
      </c>
      <c r="DE222" s="68">
        <v>48894010.587532401</v>
      </c>
      <c r="DF222" s="68">
        <v>42792605.454785898</v>
      </c>
      <c r="DG222" s="68">
        <v>38951776.984054103</v>
      </c>
      <c r="DH222" s="68">
        <v>34980132.376812503</v>
      </c>
      <c r="DI222" s="69">
        <v>41629346.195520297</v>
      </c>
      <c r="DJ222" s="67">
        <v>30830393.9475253</v>
      </c>
      <c r="DK222" s="95">
        <v>29918550.540655401</v>
      </c>
      <c r="DL222" s="68">
        <v>35625079.391823798</v>
      </c>
      <c r="DM222" s="68">
        <v>39690661.471009001</v>
      </c>
      <c r="DN222" s="68">
        <v>34500290.720307201</v>
      </c>
      <c r="DO222" s="68">
        <v>39877523.1600665</v>
      </c>
      <c r="DP222" s="68">
        <v>48690601.648068897</v>
      </c>
      <c r="DQ222" s="68">
        <v>51015618.452793397</v>
      </c>
      <c r="DR222" s="68">
        <v>48088264.7538018</v>
      </c>
      <c r="DS222" s="68">
        <v>43467846.5837363</v>
      </c>
      <c r="DT222" s="68">
        <v>35933948.977140501</v>
      </c>
      <c r="DU222" s="69">
        <v>42606370.749124803</v>
      </c>
      <c r="DV222" s="83">
        <v>31679573.180653598</v>
      </c>
      <c r="DW222" s="83">
        <v>31928103.158560298</v>
      </c>
      <c r="DX222" s="83">
        <v>34104565.830024697</v>
      </c>
      <c r="DY222" s="83">
        <v>37842157.867834203</v>
      </c>
      <c r="DZ222" s="83">
        <v>37499397.053443797</v>
      </c>
      <c r="EA222" s="83">
        <v>40999614.220945798</v>
      </c>
      <c r="EB222" s="83">
        <v>49404174.365267001</v>
      </c>
      <c r="EC222" s="83">
        <v>50808197.545596898</v>
      </c>
      <c r="ED222" s="83">
        <v>48941259.772591501</v>
      </c>
      <c r="EE222" s="83">
        <v>50674252.604080603</v>
      </c>
      <c r="EF222" s="83">
        <v>34472392.733843498</v>
      </c>
      <c r="EG222" s="83">
        <v>39750004.058720402</v>
      </c>
      <c r="EH222" s="83">
        <v>35038006.882620104</v>
      </c>
      <c r="EI222" s="61">
        <v>34439419.532361403</v>
      </c>
      <c r="EJ222" s="61">
        <v>36610416.4961081</v>
      </c>
      <c r="EK222" s="61">
        <v>38572572.8425017</v>
      </c>
      <c r="EL222" s="61">
        <v>41434170.447496697</v>
      </c>
      <c r="EM222" s="61">
        <v>46352523.998122104</v>
      </c>
      <c r="EN222" s="61">
        <v>50698247.4034857</v>
      </c>
      <c r="EO222" s="61">
        <v>58728722.217279099</v>
      </c>
      <c r="EP222" s="61">
        <v>48579978.228629403</v>
      </c>
      <c r="EQ222" s="61">
        <v>46963099.251774997</v>
      </c>
      <c r="ER222" s="61">
        <v>42160271.759740502</v>
      </c>
      <c r="ES222" s="61">
        <v>45168008.320931099</v>
      </c>
      <c r="ET222" s="1">
        <v>40926868.810000002</v>
      </c>
      <c r="EU222" s="1">
        <v>38270122.18</v>
      </c>
      <c r="EV222" s="1">
        <v>40510183.409999996</v>
      </c>
      <c r="EW222" s="1">
        <v>50343037.649999999</v>
      </c>
      <c r="EX222" s="1">
        <v>53847636.579999998</v>
      </c>
      <c r="EY222" s="1">
        <v>52130099.289999999</v>
      </c>
      <c r="EZ222" s="1">
        <v>58718115.561732098</v>
      </c>
      <c r="FA222" s="1">
        <v>64446747.698135197</v>
      </c>
      <c r="FB222" s="1">
        <v>60581956.959091499</v>
      </c>
      <c r="FC222" s="1">
        <v>56752286.283165298</v>
      </c>
      <c r="FD222" s="1">
        <v>50951819.125281997</v>
      </c>
      <c r="FE222" s="1">
        <v>56912908.473788798</v>
      </c>
      <c r="FF222" s="1">
        <v>49847223.18</v>
      </c>
      <c r="FG222" s="1">
        <v>38958365.399999999</v>
      </c>
      <c r="FH222" s="1">
        <v>50498218.18</v>
      </c>
      <c r="FI222" s="1">
        <v>55142838.460000001</v>
      </c>
      <c r="FJ222" s="1">
        <v>56428341.859999999</v>
      </c>
      <c r="FK222" s="1">
        <v>52810087.229999997</v>
      </c>
      <c r="FL222" s="1">
        <v>64608697.993098304</v>
      </c>
      <c r="FM222" s="1">
        <v>66890311.931873403</v>
      </c>
      <c r="FN222" s="1">
        <v>59747048.514482997</v>
      </c>
      <c r="FO222" s="1">
        <v>59046360.535818897</v>
      </c>
      <c r="FP222" s="1">
        <v>50298426.623042099</v>
      </c>
      <c r="FQ222" s="1">
        <v>53629737.7635343</v>
      </c>
      <c r="FR222" s="63">
        <v>47781207.189999998</v>
      </c>
      <c r="FS222" s="63">
        <v>40097544.82</v>
      </c>
      <c r="FT222" s="63">
        <v>54963852.219999999</v>
      </c>
      <c r="FU222" s="63">
        <v>35570662.579999998</v>
      </c>
      <c r="FV222" s="63">
        <v>38250745.619999997</v>
      </c>
      <c r="FW222" s="63">
        <v>47380778.616715297</v>
      </c>
      <c r="FX222" s="63">
        <v>60262693.256538197</v>
      </c>
      <c r="FY222" s="63">
        <v>62819967.506489202</v>
      </c>
      <c r="FZ222" s="63">
        <v>61535814.430398002</v>
      </c>
      <c r="GA222" s="63">
        <v>60132973.705961198</v>
      </c>
      <c r="GB222" s="63">
        <v>51634389.126870997</v>
      </c>
      <c r="GC222" s="63">
        <v>55352726.018547297</v>
      </c>
      <c r="GE222" s="102">
        <f t="shared" si="30"/>
        <v>615783355.09151995</v>
      </c>
    </row>
    <row r="223" spans="1:187">
      <c r="D223" s="59" t="str">
        <f t="shared" si="16"/>
        <v>7115p</v>
      </c>
      <c r="E223" s="60" t="s">
        <v>132</v>
      </c>
      <c r="F223" s="67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9"/>
      <c r="R223" s="67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9"/>
      <c r="AD223" s="67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9"/>
      <c r="AP223" s="67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9"/>
      <c r="BB223" s="67"/>
      <c r="BC223" s="68"/>
      <c r="BD223" s="68"/>
      <c r="BE223" s="68"/>
      <c r="BF223" s="68"/>
      <c r="BG223" s="68"/>
      <c r="BH223" s="68"/>
      <c r="BI223" s="68"/>
      <c r="BJ223" s="68"/>
      <c r="BK223" s="68"/>
      <c r="BL223" s="68"/>
      <c r="BM223" s="69"/>
      <c r="BN223" s="67"/>
      <c r="BO223" s="68"/>
      <c r="BP223" s="68"/>
      <c r="BQ223" s="68"/>
      <c r="BR223" s="68"/>
      <c r="BS223" s="68"/>
      <c r="BT223" s="68"/>
      <c r="BU223" s="68"/>
      <c r="BV223" s="68"/>
      <c r="BW223" s="68"/>
      <c r="BX223" s="68"/>
      <c r="BY223" s="69"/>
      <c r="BZ223" s="68"/>
      <c r="CA223" s="68"/>
      <c r="CB223" s="68"/>
      <c r="CC223" s="68"/>
      <c r="CD223" s="68"/>
      <c r="CE223" s="68"/>
      <c r="CF223" s="68"/>
      <c r="CG223" s="68"/>
      <c r="CH223" s="68"/>
      <c r="CI223" s="68"/>
      <c r="CJ223" s="68"/>
      <c r="CK223" s="68"/>
      <c r="CL223" s="67">
        <v>13472385.619929301</v>
      </c>
      <c r="CM223" s="68">
        <v>9374619.9781228807</v>
      </c>
      <c r="CN223" s="68">
        <v>8591497.0238258298</v>
      </c>
      <c r="CO223" s="68">
        <v>9976513.8396541607</v>
      </c>
      <c r="CP223" s="68">
        <v>12529410.4861628</v>
      </c>
      <c r="CQ223" s="68">
        <v>12207544.038839299</v>
      </c>
      <c r="CR223" s="68">
        <v>16644425.5936858</v>
      </c>
      <c r="CS223" s="68">
        <v>16485948.596823899</v>
      </c>
      <c r="CT223" s="68">
        <v>18432656.2065273</v>
      </c>
      <c r="CU223" s="68">
        <v>13491210.566351</v>
      </c>
      <c r="CV223" s="68">
        <v>12913955.490205299</v>
      </c>
      <c r="CW223" s="69">
        <v>13328622.3851486</v>
      </c>
      <c r="CX223" s="67">
        <v>11633388.714428401</v>
      </c>
      <c r="CY223" s="68">
        <v>9984594.0786474198</v>
      </c>
      <c r="CZ223" s="68">
        <v>9169040.4450272899</v>
      </c>
      <c r="DA223" s="68">
        <v>11715409.875199201</v>
      </c>
      <c r="DB223" s="68">
        <v>12580245.7742444</v>
      </c>
      <c r="DC223" s="68">
        <v>14576879.5751555</v>
      </c>
      <c r="DD223" s="68">
        <v>16788102.358412601</v>
      </c>
      <c r="DE223" s="68">
        <v>19929817.141586401</v>
      </c>
      <c r="DF223" s="68">
        <v>20074252.942877602</v>
      </c>
      <c r="DG223" s="68">
        <v>14472590.829511199</v>
      </c>
      <c r="DH223" s="68">
        <v>13977403.069221901</v>
      </c>
      <c r="DI223" s="69">
        <v>16210263.7210781</v>
      </c>
      <c r="DJ223" s="67">
        <v>10746682.6824184</v>
      </c>
      <c r="DK223" s="95">
        <v>8544013.7622055691</v>
      </c>
      <c r="DL223" s="68">
        <v>10140030.7960693</v>
      </c>
      <c r="DM223" s="68">
        <v>11606566.966499001</v>
      </c>
      <c r="DN223" s="68">
        <v>13190871.109895401</v>
      </c>
      <c r="DO223" s="68">
        <v>15159196.5377934</v>
      </c>
      <c r="DP223" s="68">
        <v>16918854.997575</v>
      </c>
      <c r="DQ223" s="68">
        <v>21078349.425046701</v>
      </c>
      <c r="DR223" s="68">
        <v>18202665.814412098</v>
      </c>
      <c r="DS223" s="68">
        <v>14340556.433877699</v>
      </c>
      <c r="DT223" s="68">
        <v>13344977.7952611</v>
      </c>
      <c r="DU223" s="69">
        <v>14437025.106566399</v>
      </c>
      <c r="DV223" s="83">
        <v>11120032.514063399</v>
      </c>
      <c r="DW223" s="83">
        <v>10159884.3934363</v>
      </c>
      <c r="DX223" s="83">
        <v>11541404.2315492</v>
      </c>
      <c r="DY223" s="83">
        <v>12686872.226632001</v>
      </c>
      <c r="DZ223" s="83">
        <v>13828107.792372599</v>
      </c>
      <c r="EA223" s="83">
        <v>16174553.4180305</v>
      </c>
      <c r="EB223" s="83">
        <v>18497907.9838989</v>
      </c>
      <c r="EC223" s="83">
        <v>22949187.355199199</v>
      </c>
      <c r="ED223" s="83">
        <v>19735591.308796801</v>
      </c>
      <c r="EE223" s="83">
        <v>16832757.074621901</v>
      </c>
      <c r="EF223" s="83">
        <v>14338219.7997171</v>
      </c>
      <c r="EG223" s="83">
        <v>15239347.4124793</v>
      </c>
      <c r="EH223" s="83">
        <v>12892504.458778599</v>
      </c>
      <c r="EI223" s="61">
        <v>12119703.8516274</v>
      </c>
      <c r="EJ223" s="61">
        <v>13870804.7293358</v>
      </c>
      <c r="EK223" s="61">
        <v>14610210.3607536</v>
      </c>
      <c r="EL223" s="61">
        <v>16300422.349870499</v>
      </c>
      <c r="EM223" s="61">
        <v>18609472.866493601</v>
      </c>
      <c r="EN223" s="61">
        <v>20547920.740499001</v>
      </c>
      <c r="EO223" s="61">
        <v>24414293.5714458</v>
      </c>
      <c r="EP223" s="61">
        <v>23471505.696022298</v>
      </c>
      <c r="EQ223" s="61">
        <v>19541702.474037301</v>
      </c>
      <c r="ER223" s="61">
        <v>16768578.081389001</v>
      </c>
      <c r="ES223" s="61">
        <v>17334177.5193776</v>
      </c>
      <c r="ET223" s="1">
        <v>13370061.67</v>
      </c>
      <c r="EU223" s="1">
        <v>13585674.48</v>
      </c>
      <c r="EV223" s="1">
        <v>13376493.630000001</v>
      </c>
      <c r="EW223" s="1">
        <v>16425170.310000001</v>
      </c>
      <c r="EX223" s="1">
        <v>19160303.329999998</v>
      </c>
      <c r="EY223" s="1">
        <v>18124078.879999999</v>
      </c>
      <c r="EZ223" s="1">
        <v>22564675.182721701</v>
      </c>
      <c r="FA223" s="1">
        <v>27485729.223607901</v>
      </c>
      <c r="FB223" s="1">
        <v>26516012.978469498</v>
      </c>
      <c r="FC223" s="1">
        <v>22441791.757639602</v>
      </c>
      <c r="FD223" s="1">
        <v>19412572.915558301</v>
      </c>
      <c r="FE223" s="1">
        <v>20235266.586429998</v>
      </c>
      <c r="FF223" s="1">
        <v>15141217.210000001</v>
      </c>
      <c r="FG223" s="1">
        <v>13186126.23</v>
      </c>
      <c r="FH223" s="1">
        <v>13315087.640000001</v>
      </c>
      <c r="FI223" s="1">
        <v>16826313.73</v>
      </c>
      <c r="FJ223" s="1">
        <v>19442485.359999999</v>
      </c>
      <c r="FK223" s="1">
        <v>19205497.870000001</v>
      </c>
      <c r="FL223" s="1">
        <v>23502946.6762674</v>
      </c>
      <c r="FM223" s="1">
        <v>27414563.793734901</v>
      </c>
      <c r="FN223" s="1">
        <v>27821146.8849364</v>
      </c>
      <c r="FO223" s="1">
        <v>19593872.367677599</v>
      </c>
      <c r="FP223" s="1">
        <v>21076713.140502401</v>
      </c>
      <c r="FQ223" s="1">
        <v>18275634.3950813</v>
      </c>
      <c r="FR223" s="63">
        <v>18070145.100000001</v>
      </c>
      <c r="FS223" s="63">
        <v>14831752.550000001</v>
      </c>
      <c r="FT223" s="63">
        <v>16111610.99</v>
      </c>
      <c r="FU223" s="63">
        <v>14097368.300000001</v>
      </c>
      <c r="FV223" s="63">
        <v>14366315.76</v>
      </c>
      <c r="FW223" s="63">
        <v>17736423.0479693</v>
      </c>
      <c r="FX223" s="63">
        <v>21674329.506149199</v>
      </c>
      <c r="FY223" s="63">
        <v>25493581.742318999</v>
      </c>
      <c r="FZ223" s="63">
        <v>24034334.199540399</v>
      </c>
      <c r="GA223" s="63">
        <v>19896747.919690698</v>
      </c>
      <c r="GB223" s="63">
        <v>18041848.774918001</v>
      </c>
      <c r="GC223" s="63">
        <v>17033297.4672735</v>
      </c>
      <c r="GE223" s="102">
        <f t="shared" si="30"/>
        <v>221387755.35786</v>
      </c>
    </row>
    <row r="224" spans="1:187" ht="30">
      <c r="D224" s="59" t="str">
        <f t="shared" si="16"/>
        <v>7116p</v>
      </c>
      <c r="E224" s="60" t="s">
        <v>133</v>
      </c>
      <c r="F224" s="67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9"/>
      <c r="R224" s="67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9"/>
      <c r="AD224" s="67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9"/>
      <c r="AP224" s="67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9"/>
      <c r="BB224" s="67"/>
      <c r="BC224" s="68"/>
      <c r="BD224" s="68"/>
      <c r="BE224" s="68"/>
      <c r="BF224" s="68"/>
      <c r="BG224" s="68"/>
      <c r="BH224" s="68"/>
      <c r="BI224" s="68"/>
      <c r="BJ224" s="68"/>
      <c r="BK224" s="68"/>
      <c r="BL224" s="68"/>
      <c r="BM224" s="69"/>
      <c r="BN224" s="67"/>
      <c r="BO224" s="68"/>
      <c r="BP224" s="68"/>
      <c r="BQ224" s="68"/>
      <c r="BR224" s="68"/>
      <c r="BS224" s="68"/>
      <c r="BT224" s="68"/>
      <c r="BU224" s="68"/>
      <c r="BV224" s="68"/>
      <c r="BW224" s="68"/>
      <c r="BX224" s="68"/>
      <c r="BY224" s="69"/>
      <c r="BZ224" s="68"/>
      <c r="CA224" s="68"/>
      <c r="CB224" s="68"/>
      <c r="CC224" s="68"/>
      <c r="CD224" s="68"/>
      <c r="CE224" s="68"/>
      <c r="CF224" s="68"/>
      <c r="CG224" s="68"/>
      <c r="CH224" s="68"/>
      <c r="CI224" s="68"/>
      <c r="CJ224" s="68"/>
      <c r="CK224" s="68"/>
      <c r="CL224" s="67">
        <v>2254635.1079826402</v>
      </c>
      <c r="CM224" s="68">
        <v>2434600.17232882</v>
      </c>
      <c r="CN224" s="68">
        <v>3480742.4524679701</v>
      </c>
      <c r="CO224" s="68">
        <v>3633160.2325686901</v>
      </c>
      <c r="CP224" s="68">
        <v>3488794.2206289498</v>
      </c>
      <c r="CQ224" s="68">
        <v>2306819.3261174001</v>
      </c>
      <c r="CR224" s="68">
        <v>2530520.0301218098</v>
      </c>
      <c r="CS224" s="68">
        <v>2593024.5915361298</v>
      </c>
      <c r="CT224" s="68">
        <v>2137547.6737522199</v>
      </c>
      <c r="CU224" s="68">
        <v>2432657.0001382502</v>
      </c>
      <c r="CV224" s="68">
        <v>1904518.5019257399</v>
      </c>
      <c r="CW224" s="69">
        <v>1992912.9338004501</v>
      </c>
      <c r="CX224" s="67">
        <v>1175497.3830894399</v>
      </c>
      <c r="CY224" s="68">
        <v>1401258.3069390999</v>
      </c>
      <c r="CZ224" s="68">
        <v>1982854.76707311</v>
      </c>
      <c r="DA224" s="68">
        <v>2227395.5445058998</v>
      </c>
      <c r="DB224" s="68">
        <v>2119281.4538548701</v>
      </c>
      <c r="DC224" s="68">
        <v>2128447.7430777601</v>
      </c>
      <c r="DD224" s="68">
        <v>2626690.2153881001</v>
      </c>
      <c r="DE224" s="68">
        <v>2350974.5793777299</v>
      </c>
      <c r="DF224" s="68">
        <v>2173809.02004808</v>
      </c>
      <c r="DG224" s="68">
        <v>2170247.5204897099</v>
      </c>
      <c r="DH224" s="68">
        <v>1576440.4650937801</v>
      </c>
      <c r="DI224" s="69">
        <v>1802456.6976206801</v>
      </c>
      <c r="DJ224" s="67">
        <v>997113.97705013899</v>
      </c>
      <c r="DK224" s="95">
        <v>1331009.1716165601</v>
      </c>
      <c r="DL224" s="68">
        <v>1733008.78307882</v>
      </c>
      <c r="DM224" s="68">
        <v>1927566.0054556599</v>
      </c>
      <c r="DN224" s="68">
        <v>1957633.1283954701</v>
      </c>
      <c r="DO224" s="68">
        <v>2209426.91214624</v>
      </c>
      <c r="DP224" s="68">
        <v>2614239.3870693799</v>
      </c>
      <c r="DQ224" s="68">
        <v>2369436.9150621099</v>
      </c>
      <c r="DR224" s="68">
        <v>2212771.4239951898</v>
      </c>
      <c r="DS224" s="68">
        <v>2036251.8621765999</v>
      </c>
      <c r="DT224" s="68">
        <v>1518566.90651348</v>
      </c>
      <c r="DU224" s="69">
        <v>1969417.8725266501</v>
      </c>
      <c r="DV224" s="83">
        <v>1044333.58470409</v>
      </c>
      <c r="DW224" s="83">
        <v>1372829.0905187901</v>
      </c>
      <c r="DX224" s="83">
        <v>1899074.82469462</v>
      </c>
      <c r="DY224" s="83">
        <v>1934618.6277946499</v>
      </c>
      <c r="DZ224" s="83">
        <v>1937428.43314862</v>
      </c>
      <c r="EA224" s="83">
        <v>2127170.3374280198</v>
      </c>
      <c r="EB224" s="83">
        <v>2549323.2677289001</v>
      </c>
      <c r="EC224" s="83">
        <v>2367849.4282178502</v>
      </c>
      <c r="ED224" s="83">
        <v>2194114.3691908899</v>
      </c>
      <c r="EE224" s="83">
        <v>2276435.1122387201</v>
      </c>
      <c r="EF224" s="83">
        <v>1500993.7865445199</v>
      </c>
      <c r="EG224" s="83">
        <v>1773412.2815320101</v>
      </c>
      <c r="EH224" s="83">
        <v>1020117.07927868</v>
      </c>
      <c r="EI224" s="61">
        <v>1549568.10721335</v>
      </c>
      <c r="EJ224" s="61">
        <v>1995477.1757682499</v>
      </c>
      <c r="EK224" s="61">
        <v>2074792.1116972801</v>
      </c>
      <c r="EL224" s="61">
        <v>2086161.3669564601</v>
      </c>
      <c r="EM224" s="61">
        <v>2213983.5460728402</v>
      </c>
      <c r="EN224" s="61">
        <v>2470029.8389860899</v>
      </c>
      <c r="EO224" s="61">
        <v>2792769.9688101802</v>
      </c>
      <c r="EP224" s="61">
        <v>2392576.4889084399</v>
      </c>
      <c r="EQ224" s="61">
        <v>2053687.1611713299</v>
      </c>
      <c r="ER224" s="61">
        <v>1789771.77824821</v>
      </c>
      <c r="ES224" s="61">
        <v>1987808.9022146999</v>
      </c>
      <c r="ET224" s="1">
        <v>1218936.71</v>
      </c>
      <c r="EU224" s="1">
        <v>1678360</v>
      </c>
      <c r="EV224" s="1">
        <v>2228428.98</v>
      </c>
      <c r="EW224" s="1">
        <v>2192466.4500000002</v>
      </c>
      <c r="EX224" s="1">
        <v>2597651.13</v>
      </c>
      <c r="EY224" s="1">
        <v>2330703.23</v>
      </c>
      <c r="EZ224" s="1">
        <v>2655462.9671497699</v>
      </c>
      <c r="FA224" s="1">
        <v>3013417.3907755399</v>
      </c>
      <c r="FB224" s="1">
        <v>2264822.4042886202</v>
      </c>
      <c r="FC224" s="1">
        <v>2282422.1778777302</v>
      </c>
      <c r="FD224" s="1">
        <v>1990595.3450587599</v>
      </c>
      <c r="FE224" s="1">
        <v>2406738.09259771</v>
      </c>
      <c r="FF224" s="1">
        <v>1424968.68</v>
      </c>
      <c r="FG224" s="1">
        <v>1733788.33</v>
      </c>
      <c r="FH224" s="1">
        <v>2462209.73</v>
      </c>
      <c r="FI224" s="1">
        <v>2531899.16</v>
      </c>
      <c r="FJ224" s="1">
        <v>2502520.2799999998</v>
      </c>
      <c r="FK224" s="1">
        <v>2485583.9700000002</v>
      </c>
      <c r="FL224" s="1">
        <v>2731455.72017325</v>
      </c>
      <c r="FM224" s="1">
        <v>2787010.1046283199</v>
      </c>
      <c r="FN224" s="1">
        <v>2149778.7308390602</v>
      </c>
      <c r="FO224" s="1">
        <v>2505449.3409775598</v>
      </c>
      <c r="FP224" s="1">
        <v>1854095.8458453801</v>
      </c>
      <c r="FQ224" s="1">
        <v>1998829.93733643</v>
      </c>
      <c r="FR224" s="63">
        <v>1537206.63</v>
      </c>
      <c r="FS224" s="63">
        <v>1922810.55</v>
      </c>
      <c r="FT224" s="63">
        <v>2363697.87</v>
      </c>
      <c r="FU224" s="63">
        <v>1725304.75</v>
      </c>
      <c r="FV224" s="63">
        <v>1588906.58</v>
      </c>
      <c r="FW224" s="63">
        <v>2454615.73571502</v>
      </c>
      <c r="FX224" s="63">
        <v>3049614.4672733601</v>
      </c>
      <c r="FY224" s="63">
        <v>2753955.9122244399</v>
      </c>
      <c r="FZ224" s="63">
        <v>2521316.10209523</v>
      </c>
      <c r="GA224" s="63">
        <v>2461642.7901004599</v>
      </c>
      <c r="GB224" s="63">
        <v>1998547.62997907</v>
      </c>
      <c r="GC224" s="63">
        <v>2408802.7374724299</v>
      </c>
      <c r="GE224" s="102">
        <f t="shared" si="30"/>
        <v>26786421.754859999</v>
      </c>
    </row>
    <row r="225" spans="1:187">
      <c r="F225" s="67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9"/>
      <c r="R225" s="67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9"/>
      <c r="AD225" s="67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9"/>
      <c r="AP225" s="67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9"/>
      <c r="BB225" s="67"/>
      <c r="BC225" s="68"/>
      <c r="BD225" s="68"/>
      <c r="BE225" s="68"/>
      <c r="BF225" s="68"/>
      <c r="BG225" s="68"/>
      <c r="BH225" s="68"/>
      <c r="BI225" s="68"/>
      <c r="BJ225" s="68"/>
      <c r="BK225" s="68"/>
      <c r="BL225" s="68"/>
      <c r="BM225" s="69"/>
      <c r="BN225" s="67"/>
      <c r="BO225" s="68"/>
      <c r="BP225" s="68"/>
      <c r="BQ225" s="68"/>
      <c r="BR225" s="68"/>
      <c r="BS225" s="68"/>
      <c r="BT225" s="68"/>
      <c r="BU225" s="68"/>
      <c r="BV225" s="68"/>
      <c r="BW225" s="68"/>
      <c r="BX225" s="68"/>
      <c r="BY225" s="69"/>
      <c r="BZ225" s="68"/>
      <c r="CA225" s="68"/>
      <c r="CB225" s="68"/>
      <c r="CC225" s="68"/>
      <c r="CD225" s="68"/>
      <c r="CE225" s="68"/>
      <c r="CF225" s="68"/>
      <c r="CG225" s="68"/>
      <c r="CH225" s="68"/>
      <c r="CI225" s="68"/>
      <c r="CJ225" s="68"/>
      <c r="CK225" s="68"/>
      <c r="CL225" s="67"/>
      <c r="CM225" s="68"/>
      <c r="CN225" s="68"/>
      <c r="CO225" s="68"/>
      <c r="CP225" s="68"/>
      <c r="CQ225" s="68"/>
      <c r="CR225" s="68"/>
      <c r="CS225" s="68"/>
      <c r="CT225" s="68"/>
      <c r="CU225" s="68"/>
      <c r="CV225" s="68"/>
      <c r="CW225" s="69"/>
      <c r="CX225" s="67"/>
      <c r="CY225" s="68"/>
      <c r="CZ225" s="68"/>
      <c r="DA225" s="68"/>
      <c r="DB225" s="68"/>
      <c r="DC225" s="68"/>
      <c r="DD225" s="68"/>
      <c r="DE225" s="68"/>
      <c r="DF225" s="68"/>
      <c r="DG225" s="68"/>
      <c r="DH225" s="68"/>
      <c r="DI225" s="69"/>
      <c r="DJ225" s="67"/>
      <c r="DK225" s="95"/>
      <c r="DL225" s="68"/>
      <c r="DM225" s="68"/>
      <c r="DN225" s="68"/>
      <c r="DO225" s="68"/>
      <c r="DP225" s="68"/>
      <c r="DQ225" s="68"/>
      <c r="DR225" s="68"/>
      <c r="DS225" s="68"/>
      <c r="DT225" s="68"/>
      <c r="DU225" s="69"/>
      <c r="DV225" s="83"/>
      <c r="DW225" s="83"/>
      <c r="DX225" s="83"/>
      <c r="DY225" s="83"/>
      <c r="DZ225" s="83"/>
      <c r="EA225" s="83"/>
      <c r="EB225" s="83"/>
      <c r="EC225" s="83"/>
      <c r="ED225" s="83"/>
      <c r="EE225" s="83"/>
      <c r="EF225" s="83"/>
      <c r="EG225" s="83"/>
      <c r="EH225" s="83"/>
      <c r="EI225" s="61"/>
      <c r="EJ225" s="61"/>
      <c r="EK225" s="61"/>
      <c r="EL225" s="61"/>
      <c r="EM225" s="61"/>
      <c r="EN225" s="61"/>
      <c r="EO225" s="61"/>
      <c r="EP225" s="61"/>
      <c r="EQ225" s="61"/>
      <c r="ER225" s="61"/>
      <c r="ES225" s="61"/>
      <c r="ET225" s="1">
        <v>714376.2</v>
      </c>
      <c r="EU225" s="1">
        <v>607913.56999999995</v>
      </c>
      <c r="EV225" s="1">
        <v>871663.54864748497</v>
      </c>
      <c r="EW225" s="1">
        <v>924246.55219517101</v>
      </c>
      <c r="EX225" s="1">
        <v>822838.76222366001</v>
      </c>
      <c r="EY225" s="1">
        <v>941917.48540380003</v>
      </c>
      <c r="EZ225" s="1">
        <v>927771.35189568903</v>
      </c>
      <c r="FA225" s="1">
        <v>869393.84000284597</v>
      </c>
      <c r="FB225" s="1">
        <v>859148.63920368801</v>
      </c>
      <c r="FC225" s="1">
        <v>887199.17664592701</v>
      </c>
      <c r="FD225" s="1">
        <v>764150.97009006399</v>
      </c>
      <c r="FE225" s="1">
        <v>857950.11664736399</v>
      </c>
      <c r="FR225" s="63"/>
      <c r="FS225" s="63"/>
      <c r="FT225" s="63"/>
      <c r="FU225" s="63"/>
      <c r="FV225" s="63"/>
      <c r="FW225" s="63"/>
      <c r="FX225" s="63"/>
      <c r="FY225" s="63"/>
      <c r="FZ225" s="63"/>
      <c r="GA225" s="63"/>
      <c r="GB225" s="63"/>
      <c r="GC225" s="63"/>
      <c r="GE225" s="102">
        <f t="shared" si="30"/>
        <v>0</v>
      </c>
    </row>
    <row r="226" spans="1:187">
      <c r="D226" s="59" t="str">
        <f t="shared" ref="D226:D257" si="31">+CONCATENATE(D17,"p")</f>
        <v>7118p</v>
      </c>
      <c r="E226" s="60" t="s">
        <v>350</v>
      </c>
      <c r="F226" s="67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9"/>
      <c r="R226" s="67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9"/>
      <c r="AD226" s="67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9"/>
      <c r="AP226" s="67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9"/>
      <c r="BB226" s="67"/>
      <c r="BC226" s="68"/>
      <c r="BD226" s="68"/>
      <c r="BE226" s="68"/>
      <c r="BF226" s="68"/>
      <c r="BG226" s="68"/>
      <c r="BH226" s="68"/>
      <c r="BI226" s="68"/>
      <c r="BJ226" s="68"/>
      <c r="BK226" s="68"/>
      <c r="BL226" s="68"/>
      <c r="BM226" s="69"/>
      <c r="BN226" s="67"/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9"/>
      <c r="BZ226" s="68"/>
      <c r="CA226" s="68"/>
      <c r="CB226" s="68"/>
      <c r="CC226" s="68"/>
      <c r="CD226" s="68"/>
      <c r="CE226" s="68"/>
      <c r="CF226" s="68"/>
      <c r="CG226" s="68"/>
      <c r="CH226" s="68"/>
      <c r="CI226" s="68"/>
      <c r="CJ226" s="68"/>
      <c r="CK226" s="68"/>
      <c r="CL226" s="67">
        <v>260762.89668953401</v>
      </c>
      <c r="CM226" s="68">
        <v>255157.482779279</v>
      </c>
      <c r="CN226" s="68">
        <v>311767.07284781802</v>
      </c>
      <c r="CO226" s="68">
        <v>386022.310601415</v>
      </c>
      <c r="CP226" s="68">
        <v>403723.810989597</v>
      </c>
      <c r="CQ226" s="68">
        <v>443763.10051744099</v>
      </c>
      <c r="CR226" s="68">
        <v>452390.66108767397</v>
      </c>
      <c r="CS226" s="68">
        <v>423242.62809333601</v>
      </c>
      <c r="CT226" s="68">
        <v>377993.63627302402</v>
      </c>
      <c r="CU226" s="68">
        <v>381409.004892628</v>
      </c>
      <c r="CV226" s="68">
        <v>381497.52149931103</v>
      </c>
      <c r="CW226" s="69">
        <v>331335.45678221702</v>
      </c>
      <c r="CX226" s="67">
        <v>294949.347697691</v>
      </c>
      <c r="CY226" s="68">
        <v>269914.53975529602</v>
      </c>
      <c r="CZ226" s="68">
        <v>351302.84471213701</v>
      </c>
      <c r="DA226" s="68">
        <v>433913.41590605798</v>
      </c>
      <c r="DB226" s="68">
        <v>461276.15448140702</v>
      </c>
      <c r="DC226" s="68">
        <v>484947.23740258999</v>
      </c>
      <c r="DD226" s="68">
        <v>544691.13950845494</v>
      </c>
      <c r="DE226" s="68">
        <v>492931.98082802299</v>
      </c>
      <c r="DF226" s="68">
        <v>528342.20463008794</v>
      </c>
      <c r="DG226" s="68">
        <v>429431.85296262801</v>
      </c>
      <c r="DH226" s="68">
        <v>402322.65920144098</v>
      </c>
      <c r="DI226" s="69">
        <v>390072.41241769301</v>
      </c>
      <c r="DJ226" s="67">
        <v>251804.37567454801</v>
      </c>
      <c r="DK226" s="95">
        <v>310149.48555893602</v>
      </c>
      <c r="DL226" s="68">
        <v>424865.452261322</v>
      </c>
      <c r="DM226" s="68">
        <v>488382.492384376</v>
      </c>
      <c r="DN226" s="68">
        <v>512432.55897189898</v>
      </c>
      <c r="DO226" s="68">
        <v>558687.11031930195</v>
      </c>
      <c r="DP226" s="68">
        <v>582898.83330213395</v>
      </c>
      <c r="DQ226" s="68">
        <v>576646.61383665702</v>
      </c>
      <c r="DR226" s="68">
        <v>569580.06276767002</v>
      </c>
      <c r="DS226" s="68">
        <v>504830.91764073999</v>
      </c>
      <c r="DT226" s="68">
        <v>449327.057699978</v>
      </c>
      <c r="DU226" s="69">
        <v>490901.31962345698</v>
      </c>
      <c r="DV226" s="83">
        <v>450053.61458020698</v>
      </c>
      <c r="DW226" s="83">
        <v>475038.28260860703</v>
      </c>
      <c r="DX226" s="83">
        <v>588186.946081153</v>
      </c>
      <c r="DY226" s="83">
        <v>697774.77528612595</v>
      </c>
      <c r="DZ226" s="83">
        <v>729966.03511176899</v>
      </c>
      <c r="EA226" s="83">
        <v>808032.03012700903</v>
      </c>
      <c r="EB226" s="83">
        <v>898577.82161147904</v>
      </c>
      <c r="EC226" s="83">
        <v>890271.03364985704</v>
      </c>
      <c r="ED226" s="83">
        <v>850550.63426379196</v>
      </c>
      <c r="EE226" s="83">
        <v>780569.87598601205</v>
      </c>
      <c r="EF226" s="83">
        <v>684662.88608948397</v>
      </c>
      <c r="EG226" s="83">
        <v>828585.76668335497</v>
      </c>
      <c r="EH226" s="83">
        <v>519999.19958666299</v>
      </c>
      <c r="EI226" s="61">
        <v>552690.53896879999</v>
      </c>
      <c r="EJ226" s="61">
        <v>862173.85894013406</v>
      </c>
      <c r="EK226" s="61">
        <v>921140.58562000201</v>
      </c>
      <c r="EL226" s="61">
        <v>857926.48421483301</v>
      </c>
      <c r="EM226" s="61">
        <v>889611.95593554503</v>
      </c>
      <c r="EN226" s="61">
        <v>843301.64671243704</v>
      </c>
      <c r="EO226" s="61">
        <v>1017536.95037929</v>
      </c>
      <c r="EP226" s="61">
        <v>850957.23877843597</v>
      </c>
      <c r="EQ226" s="61">
        <v>803528.96288030699</v>
      </c>
      <c r="ER226" s="61">
        <v>697203.75185900601</v>
      </c>
      <c r="ES226" s="61">
        <v>841571.49218586704</v>
      </c>
      <c r="ET226" s="1">
        <v>714376.2</v>
      </c>
      <c r="EU226" s="1">
        <v>607913.56999999995</v>
      </c>
      <c r="EV226" s="1">
        <v>679214.74</v>
      </c>
      <c r="EW226" s="1">
        <v>726283.06</v>
      </c>
      <c r="EX226" s="1">
        <v>742764.21</v>
      </c>
      <c r="EY226" s="1">
        <v>918480.01</v>
      </c>
      <c r="EZ226" s="1">
        <v>927771.35189568903</v>
      </c>
      <c r="FA226" s="1">
        <v>869393.84000284597</v>
      </c>
      <c r="FB226" s="1">
        <v>859148.63920368801</v>
      </c>
      <c r="FC226" s="1">
        <v>887199.17664592701</v>
      </c>
      <c r="FD226" s="1">
        <v>764150.97009006399</v>
      </c>
      <c r="FE226" s="1">
        <v>857950.11664736399</v>
      </c>
      <c r="FF226" s="1">
        <v>720320.96</v>
      </c>
      <c r="FG226" s="1">
        <v>3098848.85</v>
      </c>
      <c r="FH226" s="1">
        <v>777051.66</v>
      </c>
      <c r="FI226" s="1">
        <v>910873.03</v>
      </c>
      <c r="FJ226" s="1">
        <v>858869.92</v>
      </c>
      <c r="FK226" s="1">
        <v>925408.95</v>
      </c>
      <c r="FL226" s="1">
        <v>410742.97693133901</v>
      </c>
      <c r="FM226" s="1">
        <v>392873.90234621702</v>
      </c>
      <c r="FN226" s="1">
        <v>354922.733249015</v>
      </c>
      <c r="FO226" s="1">
        <v>325827.84998510598</v>
      </c>
      <c r="FP226" s="1">
        <v>340887.93377701001</v>
      </c>
      <c r="FQ226" s="1">
        <v>383274.83331131301</v>
      </c>
      <c r="FR226" s="63">
        <v>755142.26</v>
      </c>
      <c r="FS226" s="63">
        <v>745544.56</v>
      </c>
      <c r="FT226" s="63">
        <v>855856.43</v>
      </c>
      <c r="FU226" s="63">
        <v>718572.64</v>
      </c>
      <c r="FV226" s="63">
        <v>656000.56000000006</v>
      </c>
      <c r="FW226" s="63">
        <v>765731.78472662997</v>
      </c>
      <c r="FX226" s="63">
        <v>832360.77771988895</v>
      </c>
      <c r="FY226" s="63">
        <v>854509.13610841904</v>
      </c>
      <c r="FZ226" s="63">
        <v>833524.08466524503</v>
      </c>
      <c r="GA226" s="63">
        <v>765057.49382921204</v>
      </c>
      <c r="GB226" s="63">
        <v>807604.83573009796</v>
      </c>
      <c r="GC226" s="63">
        <v>730439.40412050905</v>
      </c>
      <c r="GE226" s="102">
        <f t="shared" si="30"/>
        <v>9320343.9669000003</v>
      </c>
    </row>
    <row r="227" spans="1:187" s="2" customFormat="1">
      <c r="A227" s="71"/>
      <c r="B227" s="71"/>
      <c r="C227" s="71">
        <v>712</v>
      </c>
      <c r="D227" s="71" t="str">
        <f t="shared" si="31"/>
        <v>712p</v>
      </c>
      <c r="E227" s="72" t="s">
        <v>135</v>
      </c>
      <c r="F227" s="73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5"/>
      <c r="R227" s="73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5"/>
      <c r="AD227" s="73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5"/>
      <c r="AP227" s="73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5"/>
      <c r="BB227" s="73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5"/>
      <c r="BN227" s="73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5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3">
        <f t="shared" ref="CL227:CX227" si="32">+SUM(CL228:CL231)</f>
        <v>10225366.011998501</v>
      </c>
      <c r="CM227" s="74">
        <f t="shared" si="32"/>
        <v>26328872.7447045</v>
      </c>
      <c r="CN227" s="74">
        <f t="shared" si="32"/>
        <v>28215029.5129527</v>
      </c>
      <c r="CO227" s="74">
        <f t="shared" si="32"/>
        <v>31078344.176256299</v>
      </c>
      <c r="CP227" s="74">
        <f t="shared" si="32"/>
        <v>31062993.346151002</v>
      </c>
      <c r="CQ227" s="74">
        <f t="shared" si="32"/>
        <v>29533886.744876299</v>
      </c>
      <c r="CR227" s="74">
        <f t="shared" si="32"/>
        <v>35614836.490956098</v>
      </c>
      <c r="CS227" s="74">
        <f t="shared" si="32"/>
        <v>41423629.7872632</v>
      </c>
      <c r="CT227" s="74">
        <f t="shared" si="32"/>
        <v>27897944.753825501</v>
      </c>
      <c r="CU227" s="74">
        <f t="shared" si="32"/>
        <v>35782419.896350197</v>
      </c>
      <c r="CV227" s="74">
        <f t="shared" si="32"/>
        <v>35053926.847713403</v>
      </c>
      <c r="CW227" s="75">
        <f t="shared" si="32"/>
        <v>52000480.125178598</v>
      </c>
      <c r="CX227" s="73">
        <f t="shared" si="32"/>
        <v>11696495.7094103</v>
      </c>
      <c r="CY227" s="74">
        <f t="shared" ref="CY227:DJ227" si="33">+SUM(CY228:CY231)</f>
        <v>27967194.5894024</v>
      </c>
      <c r="CZ227" s="74">
        <f t="shared" si="33"/>
        <v>28929880.1119317</v>
      </c>
      <c r="DA227" s="74">
        <f t="shared" si="33"/>
        <v>27258327.618631098</v>
      </c>
      <c r="DB227" s="74">
        <f t="shared" si="33"/>
        <v>28592562.7357818</v>
      </c>
      <c r="DC227" s="74">
        <f t="shared" si="33"/>
        <v>32131723.207960598</v>
      </c>
      <c r="DD227" s="74">
        <f t="shared" si="33"/>
        <v>33016814.1241979</v>
      </c>
      <c r="DE227" s="74">
        <f t="shared" si="33"/>
        <v>36072346.594711103</v>
      </c>
      <c r="DF227" s="74">
        <f t="shared" si="33"/>
        <v>38203128.528232403</v>
      </c>
      <c r="DG227" s="74">
        <f t="shared" si="33"/>
        <v>43672969.7740364</v>
      </c>
      <c r="DH227" s="74">
        <f t="shared" si="33"/>
        <v>30164652.787533101</v>
      </c>
      <c r="DI227" s="75">
        <f t="shared" si="33"/>
        <v>60117077.927353702</v>
      </c>
      <c r="DJ227" s="73">
        <f t="shared" si="33"/>
        <v>17453194.433351699</v>
      </c>
      <c r="DK227" s="96">
        <f t="shared" ref="DK227:DU227" si="34">+SUM(DK228:DK231)</f>
        <v>27390142.980436299</v>
      </c>
      <c r="DL227" s="74">
        <f t="shared" si="34"/>
        <v>28082312.197140899</v>
      </c>
      <c r="DM227" s="74">
        <f t="shared" si="34"/>
        <v>30124960.749123499</v>
      </c>
      <c r="DN227" s="74">
        <f t="shared" si="34"/>
        <v>34683059.189534597</v>
      </c>
      <c r="DO227" s="74">
        <f t="shared" si="34"/>
        <v>35520127.578458801</v>
      </c>
      <c r="DP227" s="74">
        <f t="shared" si="34"/>
        <v>34214609.0389238</v>
      </c>
      <c r="DQ227" s="74">
        <f t="shared" si="34"/>
        <v>35699732.916304402</v>
      </c>
      <c r="DR227" s="74">
        <f t="shared" si="34"/>
        <v>34477573.889674999</v>
      </c>
      <c r="DS227" s="74">
        <f t="shared" si="34"/>
        <v>38517756.206527099</v>
      </c>
      <c r="DT227" s="74">
        <f t="shared" si="34"/>
        <v>32938623.312072899</v>
      </c>
      <c r="DU227" s="75">
        <f t="shared" si="34"/>
        <v>68390080.261651799</v>
      </c>
      <c r="DV227" s="97">
        <f>SUM(DV228:DV231)</f>
        <v>18354060.5848752</v>
      </c>
      <c r="DW227" s="97">
        <f t="shared" ref="DW227:ES227" si="35">SUM(DW228:DW231)</f>
        <v>32251984.3089981</v>
      </c>
      <c r="DX227" s="97">
        <f t="shared" si="35"/>
        <v>35252780.4112795</v>
      </c>
      <c r="DY227" s="97">
        <f t="shared" si="35"/>
        <v>36048622.442372203</v>
      </c>
      <c r="DZ227" s="97">
        <f t="shared" si="35"/>
        <v>36467046.907571398</v>
      </c>
      <c r="EA227" s="97">
        <f t="shared" si="35"/>
        <v>39962406.622470997</v>
      </c>
      <c r="EB227" s="97">
        <f t="shared" si="35"/>
        <v>41754281.859282002</v>
      </c>
      <c r="EC227" s="97">
        <f t="shared" si="35"/>
        <v>41778770.739156097</v>
      </c>
      <c r="ED227" s="97">
        <f t="shared" si="35"/>
        <v>40678217.175356001</v>
      </c>
      <c r="EE227" s="97">
        <f t="shared" si="35"/>
        <v>50087168.979291998</v>
      </c>
      <c r="EF227" s="97">
        <f t="shared" si="35"/>
        <v>35104466.825188197</v>
      </c>
      <c r="EG227" s="97">
        <f t="shared" si="35"/>
        <v>75416411.255019099</v>
      </c>
      <c r="EH227" s="97">
        <f t="shared" si="35"/>
        <v>14494391.6560807</v>
      </c>
      <c r="EI227" s="97">
        <f t="shared" si="35"/>
        <v>38286134.5044723</v>
      </c>
      <c r="EJ227" s="97">
        <f t="shared" si="35"/>
        <v>42512596.169410199</v>
      </c>
      <c r="EK227" s="97">
        <f t="shared" si="35"/>
        <v>36881500.656790704</v>
      </c>
      <c r="EL227" s="97">
        <f t="shared" si="35"/>
        <v>37654579.061565503</v>
      </c>
      <c r="EM227" s="97">
        <f t="shared" si="35"/>
        <v>40791760.633679703</v>
      </c>
      <c r="EN227" s="97">
        <f t="shared" si="35"/>
        <v>36948873.818993203</v>
      </c>
      <c r="EO227" s="97">
        <f t="shared" si="35"/>
        <v>40320200.299979903</v>
      </c>
      <c r="EP227" s="97">
        <f t="shared" si="35"/>
        <v>44012184.309503801</v>
      </c>
      <c r="EQ227" s="97">
        <f t="shared" si="35"/>
        <v>39620758.480690703</v>
      </c>
      <c r="ER227" s="97">
        <f t="shared" si="35"/>
        <v>41454472.958962001</v>
      </c>
      <c r="ES227" s="97">
        <f t="shared" si="35"/>
        <v>79179339.503347203</v>
      </c>
      <c r="ET227" s="98">
        <v>14572676.99</v>
      </c>
      <c r="EU227" s="98">
        <v>36938118.07</v>
      </c>
      <c r="EV227" s="98">
        <v>43053255.969999999</v>
      </c>
      <c r="EW227" s="98">
        <v>41029948</v>
      </c>
      <c r="EX227" s="98">
        <v>40388291.549999997</v>
      </c>
      <c r="EY227" s="98">
        <v>42077356.240000002</v>
      </c>
      <c r="EZ227" s="98">
        <v>46362054.926801696</v>
      </c>
      <c r="FA227" s="98">
        <v>45724084.253699698</v>
      </c>
      <c r="FB227" s="98">
        <v>41947258.969554</v>
      </c>
      <c r="FC227" s="98">
        <v>44433442.802094899</v>
      </c>
      <c r="FD227" s="98">
        <v>45788790.684398502</v>
      </c>
      <c r="FE227" s="98">
        <v>79938550.463845894</v>
      </c>
      <c r="FF227" s="99">
        <v>16498881.48</v>
      </c>
      <c r="FG227" s="99">
        <v>41912269.380000003</v>
      </c>
      <c r="FH227" s="99">
        <v>41047599.18</v>
      </c>
      <c r="FI227" s="99">
        <v>50290988.939999998</v>
      </c>
      <c r="FJ227" s="99">
        <v>37496285.130000003</v>
      </c>
      <c r="FK227" s="99">
        <v>45280786.509999998</v>
      </c>
      <c r="FL227" s="99">
        <v>46250891.035691202</v>
      </c>
      <c r="FM227" s="99">
        <v>44632014.674295098</v>
      </c>
      <c r="FN227" s="99">
        <v>41120271.333377197</v>
      </c>
      <c r="FO227" s="99">
        <v>46928850.6359028</v>
      </c>
      <c r="FP227" s="99">
        <v>44128259.697538301</v>
      </c>
      <c r="FQ227" s="99">
        <v>78626416.078526005</v>
      </c>
      <c r="FR227" s="100">
        <f>SUM(FR228:FR231)</f>
        <v>15749286.220000001</v>
      </c>
      <c r="FS227" s="100">
        <f t="shared" ref="FS227:GC227" si="36">SUM(FS228:FS231)</f>
        <v>42574769.890000001</v>
      </c>
      <c r="FT227" s="100">
        <f t="shared" si="36"/>
        <v>44888756.57</v>
      </c>
      <c r="FU227" s="100">
        <f t="shared" si="36"/>
        <v>33882602.5</v>
      </c>
      <c r="FV227" s="100">
        <f t="shared" si="36"/>
        <v>40418289.450000003</v>
      </c>
      <c r="FW227" s="100">
        <f t="shared" si="36"/>
        <v>39209561.537363499</v>
      </c>
      <c r="FX227" s="100">
        <f t="shared" si="36"/>
        <v>39824401.2867027</v>
      </c>
      <c r="FY227" s="100">
        <f t="shared" si="36"/>
        <v>37466342.331191897</v>
      </c>
      <c r="FZ227" s="100">
        <f t="shared" si="36"/>
        <v>35714950.117071599</v>
      </c>
      <c r="GA227" s="100">
        <f t="shared" si="36"/>
        <v>56930028.965902403</v>
      </c>
      <c r="GB227" s="100">
        <f t="shared" si="36"/>
        <v>36060885.6890193</v>
      </c>
      <c r="GC227" s="100">
        <f t="shared" si="36"/>
        <v>69780505.759044394</v>
      </c>
      <c r="GE227" s="101">
        <f>SUM(FR227:GC227)</f>
        <v>492500380.31629598</v>
      </c>
    </row>
    <row r="228" spans="1:187" ht="30">
      <c r="D228" s="59" t="str">
        <f t="shared" si="31"/>
        <v>7121p</v>
      </c>
      <c r="E228" s="60" t="s">
        <v>136</v>
      </c>
      <c r="F228" s="67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9"/>
      <c r="R228" s="67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9"/>
      <c r="AD228" s="67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9"/>
      <c r="AP228" s="67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9"/>
      <c r="BB228" s="67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9"/>
      <c r="BN228" s="67"/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9"/>
      <c r="BZ228" s="68"/>
      <c r="CA228" s="68"/>
      <c r="CB228" s="68"/>
      <c r="CC228" s="68"/>
      <c r="CD228" s="68"/>
      <c r="CE228" s="68"/>
      <c r="CF228" s="68"/>
      <c r="CG228" s="68"/>
      <c r="CH228" s="68"/>
      <c r="CI228" s="68"/>
      <c r="CJ228" s="68"/>
      <c r="CK228" s="68"/>
      <c r="CL228" s="67">
        <v>5896216.9131298</v>
      </c>
      <c r="CM228" s="68">
        <v>15984604.1654904</v>
      </c>
      <c r="CN228" s="68">
        <v>15980210.637352601</v>
      </c>
      <c r="CO228" s="68">
        <v>18099107.195466701</v>
      </c>
      <c r="CP228" s="68">
        <v>18902345.114124902</v>
      </c>
      <c r="CQ228" s="68">
        <v>16660130.6959597</v>
      </c>
      <c r="CR228" s="68">
        <v>20975423.912817899</v>
      </c>
      <c r="CS228" s="68">
        <v>24152995.284398202</v>
      </c>
      <c r="CT228" s="68">
        <v>16438117.212416099</v>
      </c>
      <c r="CU228" s="68">
        <v>21064902.896578599</v>
      </c>
      <c r="CV228" s="68">
        <v>21199343.745804999</v>
      </c>
      <c r="CW228" s="69">
        <v>31496085.4772765</v>
      </c>
      <c r="CX228" s="67">
        <v>6378060.6572526703</v>
      </c>
      <c r="CY228" s="68">
        <v>16126009.982945999</v>
      </c>
      <c r="CZ228" s="68">
        <v>16569177.415611601</v>
      </c>
      <c r="DA228" s="68">
        <v>15916413.916518301</v>
      </c>
      <c r="DB228" s="68">
        <v>16700474.8310067</v>
      </c>
      <c r="DC228" s="68">
        <v>19303870.204086199</v>
      </c>
      <c r="DD228" s="68">
        <v>19954258.836327899</v>
      </c>
      <c r="DE228" s="68">
        <v>21157665.831800099</v>
      </c>
      <c r="DF228" s="68">
        <v>23691624.075276401</v>
      </c>
      <c r="DG228" s="68">
        <v>25779256.658387899</v>
      </c>
      <c r="DH228" s="68">
        <v>17637260.472586799</v>
      </c>
      <c r="DI228" s="69">
        <v>35668323.820286296</v>
      </c>
      <c r="DJ228" s="67">
        <v>10835215.3754334</v>
      </c>
      <c r="DK228" s="95">
        <v>17287568.3115962</v>
      </c>
      <c r="DL228" s="68">
        <v>16133814.7028831</v>
      </c>
      <c r="DM228" s="68">
        <v>17634570.0786242</v>
      </c>
      <c r="DN228" s="68">
        <v>20199574.108181</v>
      </c>
      <c r="DO228" s="68">
        <v>20913507.395355001</v>
      </c>
      <c r="DP228" s="68">
        <v>20397161.323049702</v>
      </c>
      <c r="DQ228" s="68">
        <v>20719279.9223985</v>
      </c>
      <c r="DR228" s="68">
        <v>20675448.425271001</v>
      </c>
      <c r="DS228" s="68">
        <v>22333485.779485501</v>
      </c>
      <c r="DT228" s="68">
        <v>19074610.951472901</v>
      </c>
      <c r="DU228" s="69">
        <v>40201162.676035203</v>
      </c>
      <c r="DV228" s="83">
        <v>11085421.334241301</v>
      </c>
      <c r="DW228" s="83">
        <v>19390616.0507496</v>
      </c>
      <c r="DX228" s="83">
        <v>20800888.666321401</v>
      </c>
      <c r="DY228" s="83">
        <v>21481603.2962908</v>
      </c>
      <c r="DZ228" s="83">
        <v>21730009.656220101</v>
      </c>
      <c r="EA228" s="83">
        <v>24013249.966546301</v>
      </c>
      <c r="EB228" s="83">
        <v>25276026.550293598</v>
      </c>
      <c r="EC228" s="83">
        <v>24832266.431256998</v>
      </c>
      <c r="ED228" s="83">
        <v>24767047.400017701</v>
      </c>
      <c r="EE228" s="83">
        <v>29750626.170760501</v>
      </c>
      <c r="EF228" s="83">
        <v>20838978.4055086</v>
      </c>
      <c r="EG228" s="83">
        <v>45626445.851901799</v>
      </c>
      <c r="EH228" s="83">
        <v>9060796.0791771691</v>
      </c>
      <c r="EI228" s="61">
        <v>23124706.852591999</v>
      </c>
      <c r="EJ228" s="61">
        <v>25778145.761630502</v>
      </c>
      <c r="EK228" s="61">
        <v>22315006.097604401</v>
      </c>
      <c r="EL228" s="61">
        <v>22883149.755243</v>
      </c>
      <c r="EM228" s="61">
        <v>24653399.098267399</v>
      </c>
      <c r="EN228" s="61">
        <v>21096909.4362574</v>
      </c>
      <c r="EO228" s="61">
        <v>23562273.7471538</v>
      </c>
      <c r="EP228" s="61">
        <v>25444734.425889999</v>
      </c>
      <c r="EQ228" s="61">
        <v>23008561.099321902</v>
      </c>
      <c r="ER228" s="61">
        <v>25730958.328370199</v>
      </c>
      <c r="ES228" s="61">
        <v>46954173.1598612</v>
      </c>
      <c r="ET228" s="1">
        <v>8994145.9900000002</v>
      </c>
      <c r="EU228" s="1">
        <v>22424749.280000001</v>
      </c>
      <c r="EV228" s="1">
        <v>26103027.100000001</v>
      </c>
      <c r="EW228" s="1">
        <v>24891690.100000001</v>
      </c>
      <c r="EX228" s="1">
        <v>24475000.460000001</v>
      </c>
      <c r="EY228" s="1">
        <v>25149415.170000002</v>
      </c>
      <c r="EZ228" s="1">
        <v>27214533.213989999</v>
      </c>
      <c r="FA228" s="1">
        <v>26766339.0617962</v>
      </c>
      <c r="FB228" s="1">
        <v>24221524.2813485</v>
      </c>
      <c r="FC228" s="1">
        <v>26183242.710226201</v>
      </c>
      <c r="FD228" s="1">
        <v>29430359.803999901</v>
      </c>
      <c r="FE228" s="1">
        <v>48642087.791189902</v>
      </c>
      <c r="FF228" s="1">
        <v>9695765.5800000001</v>
      </c>
      <c r="FG228" s="1">
        <v>24593790.260000002</v>
      </c>
      <c r="FH228" s="1">
        <v>23923752.719999999</v>
      </c>
      <c r="FI228" s="1">
        <v>29650595.870000001</v>
      </c>
      <c r="FJ228" s="1">
        <v>22104934.850000001</v>
      </c>
      <c r="FK228" s="1">
        <v>27009559.609999999</v>
      </c>
      <c r="FL228" s="1">
        <v>27482444.037160601</v>
      </c>
      <c r="FM228" s="1">
        <v>27981870.622507598</v>
      </c>
      <c r="FN228" s="1">
        <v>26275213.096976299</v>
      </c>
      <c r="FO228" s="1">
        <v>30509092.335605901</v>
      </c>
      <c r="FP228" s="1">
        <v>28690565.779876798</v>
      </c>
      <c r="FQ228" s="1">
        <v>49959164.412414499</v>
      </c>
      <c r="FR228" s="63">
        <v>9790363.4800000004</v>
      </c>
      <c r="FS228" s="63">
        <v>26782162.98</v>
      </c>
      <c r="FT228" s="63">
        <v>28314388.120000001</v>
      </c>
      <c r="FU228" s="63">
        <v>21078780.449999999</v>
      </c>
      <c r="FV228" s="63">
        <v>24736473.050000001</v>
      </c>
      <c r="FW228" s="63">
        <v>23760773.5443036</v>
      </c>
      <c r="FX228" s="63">
        <v>23871756.047781002</v>
      </c>
      <c r="FY228" s="63">
        <v>22680826.453800999</v>
      </c>
      <c r="FZ228" s="63">
        <v>22031125.278228998</v>
      </c>
      <c r="GA228" s="63">
        <v>35541512.532779798</v>
      </c>
      <c r="GB228" s="63">
        <v>22450966.125881799</v>
      </c>
      <c r="GC228" s="63">
        <v>43833950.057554901</v>
      </c>
      <c r="GE228" s="102">
        <f>SUM(FR228:GD228)</f>
        <v>304873078.12033099</v>
      </c>
    </row>
    <row r="229" spans="1:187" ht="30">
      <c r="D229" s="59" t="str">
        <f t="shared" si="31"/>
        <v>7122p</v>
      </c>
      <c r="E229" s="60" t="s">
        <v>137</v>
      </c>
      <c r="F229" s="67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9"/>
      <c r="R229" s="67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9"/>
      <c r="AD229" s="67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9"/>
      <c r="AP229" s="67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9"/>
      <c r="BB229" s="67"/>
      <c r="BC229" s="68"/>
      <c r="BD229" s="68"/>
      <c r="BE229" s="68"/>
      <c r="BF229" s="68"/>
      <c r="BG229" s="68"/>
      <c r="BH229" s="68"/>
      <c r="BI229" s="68"/>
      <c r="BJ229" s="68"/>
      <c r="BK229" s="68"/>
      <c r="BL229" s="68"/>
      <c r="BM229" s="69"/>
      <c r="BN229" s="67"/>
      <c r="BO229" s="68"/>
      <c r="BP229" s="68"/>
      <c r="BQ229" s="68"/>
      <c r="BR229" s="68"/>
      <c r="BS229" s="68"/>
      <c r="BT229" s="68"/>
      <c r="BU229" s="68"/>
      <c r="BV229" s="68"/>
      <c r="BW229" s="68"/>
      <c r="BX229" s="68"/>
      <c r="BY229" s="69"/>
      <c r="BZ229" s="68"/>
      <c r="CA229" s="68"/>
      <c r="CB229" s="68"/>
      <c r="CC229" s="68"/>
      <c r="CD229" s="68"/>
      <c r="CE229" s="68"/>
      <c r="CF229" s="68"/>
      <c r="CG229" s="68"/>
      <c r="CH229" s="68"/>
      <c r="CI229" s="68"/>
      <c r="CJ229" s="68"/>
      <c r="CK229" s="68"/>
      <c r="CL229" s="67">
        <v>3523976.3657705798</v>
      </c>
      <c r="CM229" s="68">
        <v>8837193.1137481909</v>
      </c>
      <c r="CN229" s="68">
        <v>10296968.7325189</v>
      </c>
      <c r="CO229" s="68">
        <v>11080649.937486099</v>
      </c>
      <c r="CP229" s="68">
        <v>10426593.073253199</v>
      </c>
      <c r="CQ229" s="68">
        <v>10797558.1123464</v>
      </c>
      <c r="CR229" s="68">
        <v>12338418.275424801</v>
      </c>
      <c r="CS229" s="68">
        <v>14695618.751093101</v>
      </c>
      <c r="CT229" s="68">
        <v>9887757.0940265898</v>
      </c>
      <c r="CU229" s="68">
        <v>12555740.8858309</v>
      </c>
      <c r="CV229" s="68">
        <v>11911787.048685901</v>
      </c>
      <c r="CW229" s="69">
        <v>17572653.8984432</v>
      </c>
      <c r="CX229" s="67">
        <v>4579090.5759970797</v>
      </c>
      <c r="CY229" s="68">
        <v>10104184.3953557</v>
      </c>
      <c r="CZ229" s="68">
        <v>10560309.6707245</v>
      </c>
      <c r="DA229" s="68">
        <v>9541998.6085077394</v>
      </c>
      <c r="DB229" s="68">
        <v>10202539.325177699</v>
      </c>
      <c r="DC229" s="68">
        <v>10655134.9867955</v>
      </c>
      <c r="DD229" s="68">
        <v>10928389.183865599</v>
      </c>
      <c r="DE229" s="68">
        <v>12720604.5926464</v>
      </c>
      <c r="DF229" s="68">
        <v>12433910.598022999</v>
      </c>
      <c r="DG229" s="68">
        <v>15255623.2227138</v>
      </c>
      <c r="DH229" s="68">
        <v>10791600.785030199</v>
      </c>
      <c r="DI229" s="69">
        <v>20893912.8760067</v>
      </c>
      <c r="DJ229" s="67">
        <v>5947210.1584820198</v>
      </c>
      <c r="DK229" s="95">
        <v>8737953.0601297896</v>
      </c>
      <c r="DL229" s="68">
        <v>10128217.755015099</v>
      </c>
      <c r="DM229" s="68">
        <v>10506185.898596</v>
      </c>
      <c r="DN229" s="68">
        <v>12414423.348594001</v>
      </c>
      <c r="DO229" s="68">
        <v>12300409.906156</v>
      </c>
      <c r="DP229" s="68">
        <v>11649338.9213778</v>
      </c>
      <c r="DQ229" s="68">
        <v>12715928.598805999</v>
      </c>
      <c r="DR229" s="68">
        <v>11722748.188239001</v>
      </c>
      <c r="DS229" s="68">
        <v>13649666.976806199</v>
      </c>
      <c r="DT229" s="68">
        <v>11784621.8686623</v>
      </c>
      <c r="DU229" s="69">
        <v>23899152.764591001</v>
      </c>
      <c r="DV229" s="83">
        <v>6336000.2739841603</v>
      </c>
      <c r="DW229" s="83">
        <v>11085374.8649242</v>
      </c>
      <c r="DX229" s="83">
        <v>12503494.771613801</v>
      </c>
      <c r="DY229" s="83">
        <v>12513053.180853499</v>
      </c>
      <c r="DZ229" s="83">
        <v>12781508.8342901</v>
      </c>
      <c r="EA229" s="83">
        <v>13647407.5408844</v>
      </c>
      <c r="EB229" s="83">
        <v>14167187.4361913</v>
      </c>
      <c r="EC229" s="83">
        <v>14617983.144756399</v>
      </c>
      <c r="ED229" s="83">
        <v>13735412.7578853</v>
      </c>
      <c r="EE229" s="83">
        <v>17526894.880344</v>
      </c>
      <c r="EF229" s="83">
        <v>12402384.4949835</v>
      </c>
      <c r="EG229" s="83">
        <v>25778282.913810901</v>
      </c>
      <c r="EH229" s="83">
        <v>5033763.6031913897</v>
      </c>
      <c r="EI229" s="61">
        <v>13190874.3216251</v>
      </c>
      <c r="EJ229" s="61">
        <v>14560034.842802901</v>
      </c>
      <c r="EK229" s="61">
        <v>12426424.3177433</v>
      </c>
      <c r="EL229" s="61">
        <v>12780246.575118599</v>
      </c>
      <c r="EM229" s="61">
        <v>13948223.8923473</v>
      </c>
      <c r="EN229" s="61">
        <v>13453637.295644701</v>
      </c>
      <c r="EO229" s="61">
        <v>14173979.781966301</v>
      </c>
      <c r="EP229" s="61">
        <v>15976537.492320901</v>
      </c>
      <c r="EQ229" s="61">
        <v>14029532.0082606</v>
      </c>
      <c r="ER229" s="61">
        <v>13649270.6842776</v>
      </c>
      <c r="ES229" s="61">
        <v>29150407.962933298</v>
      </c>
      <c r="ET229" s="1">
        <v>4907250.76</v>
      </c>
      <c r="EU229" s="1">
        <v>12702016.77</v>
      </c>
      <c r="EV229" s="1">
        <v>14741947.74</v>
      </c>
      <c r="EW229" s="1">
        <v>14077229.140000001</v>
      </c>
      <c r="EX229" s="1">
        <v>13944751.890000001</v>
      </c>
      <c r="EY229" s="1">
        <v>14898396.42</v>
      </c>
      <c r="EZ229" s="1">
        <v>16351036.2124402</v>
      </c>
      <c r="FA229" s="1">
        <v>16180831.5425945</v>
      </c>
      <c r="FB229" s="1">
        <v>14961626.025683301</v>
      </c>
      <c r="FC229" s="1">
        <v>15948125.3406948</v>
      </c>
      <c r="FD229" s="1">
        <v>14572835.3514536</v>
      </c>
      <c r="FE229" s="1">
        <v>27610027.253725801</v>
      </c>
      <c r="FF229" s="1">
        <v>5963049.2000000002</v>
      </c>
      <c r="FG229" s="1">
        <v>15122476.890000001</v>
      </c>
      <c r="FH229" s="1">
        <v>14777265.789999999</v>
      </c>
      <c r="FI229" s="1">
        <v>17925167.550000001</v>
      </c>
      <c r="FJ229" s="1">
        <v>13458982.5</v>
      </c>
      <c r="FK229" s="1">
        <v>15925774.34</v>
      </c>
      <c r="FL229" s="1">
        <v>16394230.760278201</v>
      </c>
      <c r="FM229" s="1">
        <v>14239936.3517469</v>
      </c>
      <c r="FN229" s="1">
        <v>12682409.5883324</v>
      </c>
      <c r="FO229" s="1">
        <v>14130176.2225761</v>
      </c>
      <c r="FP229" s="1">
        <v>13398296.644865301</v>
      </c>
      <c r="FQ229" s="1">
        <v>24833575.886677202</v>
      </c>
      <c r="FR229" s="63">
        <v>5160073.6100000003</v>
      </c>
      <c r="FS229" s="63">
        <v>13521231.24</v>
      </c>
      <c r="FT229" s="63">
        <v>14020072.800000001</v>
      </c>
      <c r="FU229" s="63">
        <v>10884138.67</v>
      </c>
      <c r="FV229" s="63">
        <v>13478103.310000001</v>
      </c>
      <c r="FW229" s="63">
        <v>13288147.0296568</v>
      </c>
      <c r="FX229" s="63">
        <v>13813968.4156642</v>
      </c>
      <c r="FY229" s="63">
        <v>12735872.6863873</v>
      </c>
      <c r="FZ229" s="63">
        <v>11644606.2798669</v>
      </c>
      <c r="GA229" s="63">
        <v>18421242.178837799</v>
      </c>
      <c r="GB229" s="63">
        <v>11548434.743273599</v>
      </c>
      <c r="GC229" s="63">
        <v>21908596.728818402</v>
      </c>
      <c r="GE229" s="102">
        <f>SUM(FR229:GD229)</f>
        <v>160424487.692505</v>
      </c>
    </row>
    <row r="230" spans="1:187" ht="30">
      <c r="D230" s="59" t="str">
        <f t="shared" si="31"/>
        <v>7123p</v>
      </c>
      <c r="E230" s="60" t="s">
        <v>138</v>
      </c>
      <c r="F230" s="67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9"/>
      <c r="R230" s="67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9"/>
      <c r="AD230" s="67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9"/>
      <c r="AP230" s="67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9"/>
      <c r="BB230" s="67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9"/>
      <c r="BN230" s="67"/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9"/>
      <c r="BZ230" s="68"/>
      <c r="CA230" s="68"/>
      <c r="CB230" s="68"/>
      <c r="CC230" s="68"/>
      <c r="CD230" s="68"/>
      <c r="CE230" s="68"/>
      <c r="CF230" s="68"/>
      <c r="CG230" s="68"/>
      <c r="CH230" s="68"/>
      <c r="CI230" s="68"/>
      <c r="CJ230" s="68"/>
      <c r="CK230" s="68"/>
      <c r="CL230" s="67">
        <v>290701.31067824201</v>
      </c>
      <c r="CM230" s="68">
        <v>744628.51853836502</v>
      </c>
      <c r="CN230" s="68">
        <v>900014.53265058505</v>
      </c>
      <c r="CO230" s="68">
        <v>960420.42316401098</v>
      </c>
      <c r="CP230" s="68">
        <v>850902.03134404495</v>
      </c>
      <c r="CQ230" s="68">
        <v>873102.00019374501</v>
      </c>
      <c r="CR230" s="68">
        <v>1044477.00159344</v>
      </c>
      <c r="CS230" s="68">
        <v>1233245.0541489101</v>
      </c>
      <c r="CT230" s="68">
        <v>823964.48361801996</v>
      </c>
      <c r="CU230" s="68">
        <v>1104138.5296295499</v>
      </c>
      <c r="CV230" s="68">
        <v>947842.00635200099</v>
      </c>
      <c r="CW230" s="69">
        <v>1446638.23539688</v>
      </c>
      <c r="CX230" s="67">
        <v>345360.47830526001</v>
      </c>
      <c r="CY230" s="68">
        <v>922696.95629602496</v>
      </c>
      <c r="CZ230" s="68">
        <v>857271.67153218098</v>
      </c>
      <c r="DA230" s="68">
        <v>794944.204454149</v>
      </c>
      <c r="DB230" s="68">
        <v>860500.23373355903</v>
      </c>
      <c r="DC230" s="68">
        <v>876623.14344260294</v>
      </c>
      <c r="DD230" s="68">
        <v>897950.85198249202</v>
      </c>
      <c r="DE230" s="68">
        <v>1049404.4207832799</v>
      </c>
      <c r="DF230" s="68">
        <v>1051499.2885638201</v>
      </c>
      <c r="DG230" s="68">
        <v>1282491.86211051</v>
      </c>
      <c r="DH230" s="68">
        <v>895782.74311122298</v>
      </c>
      <c r="DI230" s="69">
        <v>1782859.6661753999</v>
      </c>
      <c r="DJ230" s="67">
        <v>405204.02216089901</v>
      </c>
      <c r="DK230" s="95">
        <v>738084.51067053596</v>
      </c>
      <c r="DL230" s="68">
        <v>913696.79908484605</v>
      </c>
      <c r="DM230" s="68">
        <v>970828.38583662105</v>
      </c>
      <c r="DN230" s="68">
        <v>1071963.8068133099</v>
      </c>
      <c r="DO230" s="68">
        <v>1078875.1432318999</v>
      </c>
      <c r="DP230" s="68">
        <v>1021891.7539788</v>
      </c>
      <c r="DQ230" s="68">
        <v>1115094.6513827201</v>
      </c>
      <c r="DR230" s="68">
        <v>1045619.40560456</v>
      </c>
      <c r="DS230" s="68">
        <v>1200015.1472054999</v>
      </c>
      <c r="DT230" s="68">
        <v>1040193.91089668</v>
      </c>
      <c r="DU230" s="69">
        <v>2120234.2020172202</v>
      </c>
      <c r="DV230" s="83">
        <v>501823.542514314</v>
      </c>
      <c r="DW230" s="83">
        <v>950234.13294904795</v>
      </c>
      <c r="DX230" s="83">
        <v>1014200.56962532</v>
      </c>
      <c r="DY230" s="83">
        <v>1034570.7033292199</v>
      </c>
      <c r="DZ230" s="83">
        <v>1048079.177194</v>
      </c>
      <c r="EA230" s="83">
        <v>1121096.29531159</v>
      </c>
      <c r="EB230" s="83">
        <v>1161121.59958763</v>
      </c>
      <c r="EC230" s="83">
        <v>1201695.89760896</v>
      </c>
      <c r="ED230" s="83">
        <v>1141500.91752026</v>
      </c>
      <c r="EE230" s="83">
        <v>1429884.1677832301</v>
      </c>
      <c r="EF230" s="83">
        <v>1002399.87887012</v>
      </c>
      <c r="EG230" s="83">
        <v>2162740.4812991899</v>
      </c>
      <c r="EH230" s="83">
        <v>34766.900814828899</v>
      </c>
      <c r="EI230" s="61">
        <v>993654.74277777097</v>
      </c>
      <c r="EJ230" s="61">
        <v>1113836.8565952801</v>
      </c>
      <c r="EK230" s="61">
        <v>1233130.4486106799</v>
      </c>
      <c r="EL230" s="61">
        <v>1051463.29572671</v>
      </c>
      <c r="EM230" s="61">
        <v>1178569.5852468</v>
      </c>
      <c r="EN230" s="61">
        <v>1439912.58645592</v>
      </c>
      <c r="EO230" s="61">
        <v>1558367.09153629</v>
      </c>
      <c r="EP230" s="61">
        <v>1553495.4782926401</v>
      </c>
      <c r="EQ230" s="61">
        <v>1431813.3791187699</v>
      </c>
      <c r="ER230" s="61">
        <v>1071760.2162897999</v>
      </c>
      <c r="ES230" s="61">
        <v>1237129.17599963</v>
      </c>
      <c r="ET230" s="1">
        <v>365962.97</v>
      </c>
      <c r="EU230" s="1">
        <v>960588.74</v>
      </c>
      <c r="EV230" s="1">
        <v>1116426.95</v>
      </c>
      <c r="EW230" s="1">
        <v>1036934.31</v>
      </c>
      <c r="EX230" s="1">
        <v>1027117.44</v>
      </c>
      <c r="EY230" s="1">
        <v>1092483.07</v>
      </c>
      <c r="EZ230" s="1">
        <v>1576115.9476078199</v>
      </c>
      <c r="FA230" s="1">
        <v>1557858.7518804001</v>
      </c>
      <c r="FB230" s="1">
        <v>1653902.32762074</v>
      </c>
      <c r="FC230" s="1">
        <v>1132729.81607186</v>
      </c>
      <c r="FD230" s="1">
        <v>1164089.0611646499</v>
      </c>
      <c r="FE230" s="1">
        <v>1464942.23899436</v>
      </c>
      <c r="FF230" s="1">
        <v>459881.42</v>
      </c>
      <c r="FG230" s="1">
        <v>1160315.8500000001</v>
      </c>
      <c r="FH230" s="1">
        <v>1135767.8899999999</v>
      </c>
      <c r="FI230" s="1">
        <v>1375720.59</v>
      </c>
      <c r="FJ230" s="1">
        <v>1026106.03</v>
      </c>
      <c r="FK230" s="1">
        <v>1222753.49</v>
      </c>
      <c r="FL230" s="1">
        <v>1142926.9664523201</v>
      </c>
      <c r="FM230" s="1">
        <v>1304199.4730337199</v>
      </c>
      <c r="FN230" s="1">
        <v>1183707.9939274699</v>
      </c>
      <c r="FO230" s="1">
        <v>1329191.37013604</v>
      </c>
      <c r="FP230" s="1">
        <v>1263549.40315961</v>
      </c>
      <c r="FQ230" s="1">
        <v>2346588.9629115802</v>
      </c>
      <c r="FR230" s="63">
        <v>455742.13</v>
      </c>
      <c r="FS230" s="63">
        <v>1236727.53</v>
      </c>
      <c r="FT230" s="63">
        <v>1425690.07</v>
      </c>
      <c r="FU230" s="63">
        <v>1042509.86</v>
      </c>
      <c r="FV230" s="63">
        <v>1190738.6299999999</v>
      </c>
      <c r="FW230" s="63">
        <v>1153093.0495231799</v>
      </c>
      <c r="FX230" s="63">
        <v>1134262.4482684699</v>
      </c>
      <c r="FY230" s="63">
        <v>1082167.71371352</v>
      </c>
      <c r="FZ230" s="63">
        <v>1070252.6081241099</v>
      </c>
      <c r="GA230" s="63">
        <v>1551370.5209708901</v>
      </c>
      <c r="GB230" s="63">
        <v>1061855.7491216599</v>
      </c>
      <c r="GC230" s="63">
        <v>2050776.7425857501</v>
      </c>
      <c r="GE230" s="102">
        <f>SUM(FR230:GD230)</f>
        <v>14455187.0523076</v>
      </c>
    </row>
    <row r="231" spans="1:187">
      <c r="D231" s="59" t="str">
        <f t="shared" si="31"/>
        <v>7124p</v>
      </c>
      <c r="E231" s="60" t="s">
        <v>139</v>
      </c>
      <c r="F231" s="67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9"/>
      <c r="R231" s="67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9"/>
      <c r="AD231" s="67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9"/>
      <c r="AP231" s="67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9"/>
      <c r="BB231" s="67"/>
      <c r="BC231" s="68"/>
      <c r="BD231" s="68"/>
      <c r="BE231" s="68"/>
      <c r="BF231" s="68"/>
      <c r="BG231" s="68"/>
      <c r="BH231" s="68"/>
      <c r="BI231" s="68"/>
      <c r="BJ231" s="68"/>
      <c r="BK231" s="68"/>
      <c r="BL231" s="68"/>
      <c r="BM231" s="69"/>
      <c r="BN231" s="67"/>
      <c r="BO231" s="68"/>
      <c r="BP231" s="68"/>
      <c r="BQ231" s="68"/>
      <c r="BR231" s="68"/>
      <c r="BS231" s="68"/>
      <c r="BT231" s="68"/>
      <c r="BU231" s="68"/>
      <c r="BV231" s="68"/>
      <c r="BW231" s="68"/>
      <c r="BX231" s="68"/>
      <c r="BY231" s="69"/>
      <c r="BZ231" s="68"/>
      <c r="CA231" s="68"/>
      <c r="CB231" s="68"/>
      <c r="CC231" s="68"/>
      <c r="CD231" s="68"/>
      <c r="CE231" s="68"/>
      <c r="CF231" s="68"/>
      <c r="CG231" s="68"/>
      <c r="CH231" s="68"/>
      <c r="CI231" s="68"/>
      <c r="CJ231" s="68"/>
      <c r="CK231" s="68"/>
      <c r="CL231" s="67">
        <v>514471.42241989297</v>
      </c>
      <c r="CM231" s="68">
        <v>762446.94692755397</v>
      </c>
      <c r="CN231" s="68">
        <v>1037835.61043066</v>
      </c>
      <c r="CO231" s="68">
        <v>938166.62013953296</v>
      </c>
      <c r="CP231" s="68">
        <v>883153.12742885004</v>
      </c>
      <c r="CQ231" s="68">
        <v>1203095.9363764301</v>
      </c>
      <c r="CR231" s="68">
        <v>1256517.3011199699</v>
      </c>
      <c r="CS231" s="68">
        <v>1341770.69762299</v>
      </c>
      <c r="CT231" s="68">
        <v>748105.96376486099</v>
      </c>
      <c r="CU231" s="68">
        <v>1057637.5843110799</v>
      </c>
      <c r="CV231" s="68">
        <v>994954.04687045002</v>
      </c>
      <c r="CW231" s="69">
        <v>1485102.51406199</v>
      </c>
      <c r="CX231" s="67">
        <v>393983.99785530602</v>
      </c>
      <c r="CY231" s="68">
        <v>814303.25480471703</v>
      </c>
      <c r="CZ231" s="68">
        <v>943121.35406345699</v>
      </c>
      <c r="DA231" s="68">
        <v>1004970.88915093</v>
      </c>
      <c r="DB231" s="68">
        <v>829048.34586379305</v>
      </c>
      <c r="DC231" s="68">
        <v>1296094.8736363</v>
      </c>
      <c r="DD231" s="68">
        <v>1236215.2520219099</v>
      </c>
      <c r="DE231" s="68">
        <v>1144671.7494812901</v>
      </c>
      <c r="DF231" s="68">
        <v>1026094.5663691401</v>
      </c>
      <c r="DG231" s="68">
        <v>1355598.03082419</v>
      </c>
      <c r="DH231" s="68">
        <v>840008.78680477699</v>
      </c>
      <c r="DI231" s="69">
        <v>1771981.5648852801</v>
      </c>
      <c r="DJ231" s="67">
        <v>265564.87727538298</v>
      </c>
      <c r="DK231" s="95">
        <v>626537.09803975397</v>
      </c>
      <c r="DL231" s="68">
        <v>906582.94015782501</v>
      </c>
      <c r="DM231" s="68">
        <v>1013376.3860666601</v>
      </c>
      <c r="DN231" s="68">
        <v>997097.92594623903</v>
      </c>
      <c r="DO231" s="68">
        <v>1227335.13371595</v>
      </c>
      <c r="DP231" s="68">
        <v>1146217.04051761</v>
      </c>
      <c r="DQ231" s="68">
        <v>1149429.7437171</v>
      </c>
      <c r="DR231" s="68">
        <v>1033757.87056045</v>
      </c>
      <c r="DS231" s="68">
        <v>1334588.30302994</v>
      </c>
      <c r="DT231" s="68">
        <v>1039196.58104099</v>
      </c>
      <c r="DU231" s="69">
        <v>2169530.6190084298</v>
      </c>
      <c r="DV231" s="83">
        <v>430815.434135438</v>
      </c>
      <c r="DW231" s="83">
        <v>825759.26037527702</v>
      </c>
      <c r="DX231" s="83">
        <v>934196.40371895197</v>
      </c>
      <c r="DY231" s="83">
        <v>1019395.26189868</v>
      </c>
      <c r="DZ231" s="83">
        <v>907449.23986721097</v>
      </c>
      <c r="EA231" s="83">
        <v>1180652.81972875</v>
      </c>
      <c r="EB231" s="83">
        <v>1149946.2732095299</v>
      </c>
      <c r="EC231" s="83">
        <v>1126825.2655337499</v>
      </c>
      <c r="ED231" s="83">
        <v>1034256.09993275</v>
      </c>
      <c r="EE231" s="83">
        <v>1379763.7604042699</v>
      </c>
      <c r="EF231" s="83">
        <v>860704.04582604801</v>
      </c>
      <c r="EG231" s="83">
        <v>1848942.0080071201</v>
      </c>
      <c r="EH231" s="83">
        <v>365065.07289730199</v>
      </c>
      <c r="EI231" s="61">
        <v>976898.58747741801</v>
      </c>
      <c r="EJ231" s="61">
        <v>1060578.7083815199</v>
      </c>
      <c r="EK231" s="61">
        <v>906939.79283237003</v>
      </c>
      <c r="EL231" s="61">
        <v>939719.43547718099</v>
      </c>
      <c r="EM231" s="61">
        <v>1011568.05781825</v>
      </c>
      <c r="EN231" s="61">
        <v>958414.50063517794</v>
      </c>
      <c r="EO231" s="61">
        <v>1025579.67932357</v>
      </c>
      <c r="EP231" s="61">
        <v>1037416.91300032</v>
      </c>
      <c r="EQ231" s="61">
        <v>1150851.9939894101</v>
      </c>
      <c r="ER231" s="61">
        <v>1002483.73002439</v>
      </c>
      <c r="ES231" s="61">
        <v>1837629.2045531</v>
      </c>
      <c r="ET231" s="1">
        <v>305317.27</v>
      </c>
      <c r="EU231" s="1">
        <v>850763.28</v>
      </c>
      <c r="EV231" s="1">
        <v>1091854.18</v>
      </c>
      <c r="EW231" s="1">
        <v>1024094.45</v>
      </c>
      <c r="EX231" s="1">
        <v>941421.76</v>
      </c>
      <c r="EY231" s="1">
        <v>937061.58</v>
      </c>
      <c r="EZ231" s="1">
        <v>1220369.5527637301</v>
      </c>
      <c r="FA231" s="1">
        <v>1219054.89742854</v>
      </c>
      <c r="FB231" s="1">
        <v>1110206.3349015401</v>
      </c>
      <c r="FC231" s="1">
        <v>1169344.93510205</v>
      </c>
      <c r="FD231" s="1">
        <v>621506.46778034803</v>
      </c>
      <c r="FE231" s="1">
        <v>2221493.1799357999</v>
      </c>
      <c r="FF231" s="1">
        <v>380185.28</v>
      </c>
      <c r="FG231" s="1">
        <v>1035686.38</v>
      </c>
      <c r="FH231" s="1">
        <v>1210812.78</v>
      </c>
      <c r="FI231" s="1">
        <v>1339504.93</v>
      </c>
      <c r="FJ231" s="1">
        <v>906261.75</v>
      </c>
      <c r="FK231" s="1">
        <v>1122699.07</v>
      </c>
      <c r="FL231" s="1">
        <v>1231289.2718000601</v>
      </c>
      <c r="FM231" s="1">
        <v>1106008.2270068701</v>
      </c>
      <c r="FN231" s="1">
        <v>978940.65414091502</v>
      </c>
      <c r="FO231" s="1">
        <v>960390.70758482697</v>
      </c>
      <c r="FP231" s="1">
        <v>775847.86963662005</v>
      </c>
      <c r="FQ231" s="1">
        <v>1487086.81652272</v>
      </c>
      <c r="FR231" s="63">
        <v>343107</v>
      </c>
      <c r="FS231" s="63">
        <v>1034648.14</v>
      </c>
      <c r="FT231" s="63">
        <v>1128605.58</v>
      </c>
      <c r="FU231" s="63">
        <v>877173.52</v>
      </c>
      <c r="FV231" s="63">
        <v>1012974.46</v>
      </c>
      <c r="FW231" s="63">
        <v>1007547.91387992</v>
      </c>
      <c r="FX231" s="63">
        <v>1004414.37498905</v>
      </c>
      <c r="FY231" s="63">
        <v>967475.47729010705</v>
      </c>
      <c r="FZ231" s="63">
        <v>968965.95085166604</v>
      </c>
      <c r="GA231" s="63">
        <v>1415903.73331396</v>
      </c>
      <c r="GB231" s="63">
        <v>999629.07074226905</v>
      </c>
      <c r="GC231" s="63">
        <v>1987182.2300853301</v>
      </c>
      <c r="GE231" s="102">
        <f>SUM(FR231:GD231)</f>
        <v>12747627.4511523</v>
      </c>
    </row>
    <row r="232" spans="1:187" s="2" customFormat="1">
      <c r="A232" s="71"/>
      <c r="B232" s="71"/>
      <c r="C232" s="71">
        <v>713</v>
      </c>
      <c r="D232" s="71" t="str">
        <f t="shared" si="31"/>
        <v>713p</v>
      </c>
      <c r="E232" s="72" t="s">
        <v>140</v>
      </c>
      <c r="F232" s="73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5"/>
      <c r="R232" s="73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5"/>
      <c r="AD232" s="73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5"/>
      <c r="AP232" s="73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5"/>
      <c r="BB232" s="73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5"/>
      <c r="BN232" s="73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5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3">
        <f t="shared" ref="CL232:DU232" si="37">+SUM(CL233:CL236)</f>
        <v>2027877.23729309</v>
      </c>
      <c r="CM232" s="74">
        <f t="shared" si="37"/>
        <v>1882424.36850987</v>
      </c>
      <c r="CN232" s="74">
        <f t="shared" si="37"/>
        <v>2363168.5236575902</v>
      </c>
      <c r="CO232" s="74">
        <f t="shared" si="37"/>
        <v>2393449.5740456702</v>
      </c>
      <c r="CP232" s="74">
        <f t="shared" si="37"/>
        <v>2431766.3719360698</v>
      </c>
      <c r="CQ232" s="74">
        <f t="shared" si="37"/>
        <v>2858151.7123018699</v>
      </c>
      <c r="CR232" s="74">
        <f t="shared" si="37"/>
        <v>2917908.20489759</v>
      </c>
      <c r="CS232" s="74">
        <f t="shared" si="37"/>
        <v>2932949.8029298899</v>
      </c>
      <c r="CT232" s="74">
        <f t="shared" si="37"/>
        <v>2302181.1067919498</v>
      </c>
      <c r="CU232" s="74">
        <f t="shared" si="37"/>
        <v>2479397.4364795</v>
      </c>
      <c r="CV232" s="74">
        <f t="shared" si="37"/>
        <v>2197340.22077558</v>
      </c>
      <c r="CW232" s="75">
        <f t="shared" si="37"/>
        <v>2280154.7968326001</v>
      </c>
      <c r="CX232" s="73">
        <f t="shared" si="37"/>
        <v>902871.84498938802</v>
      </c>
      <c r="CY232" s="74">
        <f t="shared" si="37"/>
        <v>1376722.8355928899</v>
      </c>
      <c r="CZ232" s="74">
        <f t="shared" si="37"/>
        <v>1533902.3810318899</v>
      </c>
      <c r="DA232" s="74">
        <f t="shared" si="37"/>
        <v>1769167.79098038</v>
      </c>
      <c r="DB232" s="74">
        <f t="shared" si="37"/>
        <v>1635179.6025759501</v>
      </c>
      <c r="DC232" s="74">
        <f t="shared" si="37"/>
        <v>1713767.44410615</v>
      </c>
      <c r="DD232" s="74">
        <f t="shared" si="37"/>
        <v>2233130.22423907</v>
      </c>
      <c r="DE232" s="74">
        <f t="shared" si="37"/>
        <v>1791089.1999486501</v>
      </c>
      <c r="DF232" s="74">
        <f t="shared" si="37"/>
        <v>1407201.8547762299</v>
      </c>
      <c r="DG232" s="74">
        <f t="shared" si="37"/>
        <v>2107131.6083064098</v>
      </c>
      <c r="DH232" s="74">
        <f t="shared" si="37"/>
        <v>2082325.1460511</v>
      </c>
      <c r="DI232" s="75">
        <f t="shared" si="37"/>
        <v>2370557.2656825301</v>
      </c>
      <c r="DJ232" s="73">
        <f t="shared" si="37"/>
        <v>1017432.88059054</v>
      </c>
      <c r="DK232" s="96">
        <f t="shared" si="37"/>
        <v>2806441.75071509</v>
      </c>
      <c r="DL232" s="74">
        <f t="shared" si="37"/>
        <v>1117006.32908336</v>
      </c>
      <c r="DM232" s="74">
        <f t="shared" si="37"/>
        <v>1264717.53923874</v>
      </c>
      <c r="DN232" s="74">
        <f t="shared" si="37"/>
        <v>1093045.5428240399</v>
      </c>
      <c r="DO232" s="74">
        <f t="shared" si="37"/>
        <v>1395344.9576274201</v>
      </c>
      <c r="DP232" s="74">
        <f t="shared" si="37"/>
        <v>1446144.3329938799</v>
      </c>
      <c r="DQ232" s="74">
        <f t="shared" si="37"/>
        <v>1356791.6315863</v>
      </c>
      <c r="DR232" s="74">
        <f t="shared" si="37"/>
        <v>1266226.6725826799</v>
      </c>
      <c r="DS232" s="74">
        <f t="shared" si="37"/>
        <v>1318880.88100313</v>
      </c>
      <c r="DT232" s="74">
        <f t="shared" si="37"/>
        <v>1346463.6496868499</v>
      </c>
      <c r="DU232" s="75">
        <f t="shared" si="37"/>
        <v>1474390.4967195799</v>
      </c>
      <c r="DV232" s="97">
        <f t="shared" ref="DV232:ES232" si="38">SUM(DV233:DV236)</f>
        <v>723207.81855982903</v>
      </c>
      <c r="DW232" s="97">
        <f t="shared" si="38"/>
        <v>1375936.6828377501</v>
      </c>
      <c r="DX232" s="97">
        <f t="shared" si="38"/>
        <v>1085048.67324048</v>
      </c>
      <c r="DY232" s="97">
        <f t="shared" si="38"/>
        <v>1135307.1677424801</v>
      </c>
      <c r="DZ232" s="97">
        <f t="shared" si="38"/>
        <v>1038831.70100821</v>
      </c>
      <c r="EA232" s="97">
        <f t="shared" si="38"/>
        <v>1185196.3988510601</v>
      </c>
      <c r="EB232" s="97">
        <f t="shared" si="38"/>
        <v>1392519.4702588699</v>
      </c>
      <c r="EC232" s="97">
        <f t="shared" si="38"/>
        <v>1336120.0015746499</v>
      </c>
      <c r="ED232" s="97">
        <f t="shared" si="38"/>
        <v>1100943.07403077</v>
      </c>
      <c r="EE232" s="97">
        <f t="shared" si="38"/>
        <v>1348017.8391799601</v>
      </c>
      <c r="EF232" s="97">
        <f t="shared" si="38"/>
        <v>1208363.2775689799</v>
      </c>
      <c r="EG232" s="97">
        <f t="shared" si="38"/>
        <v>1458355.2073679499</v>
      </c>
      <c r="EH232" s="97">
        <f t="shared" si="38"/>
        <v>610864.67030384997</v>
      </c>
      <c r="EI232" s="97">
        <f t="shared" si="38"/>
        <v>956190.19217041205</v>
      </c>
      <c r="EJ232" s="97">
        <f t="shared" si="38"/>
        <v>1101531.2378384401</v>
      </c>
      <c r="EK232" s="97">
        <f t="shared" si="38"/>
        <v>1012659.40449289</v>
      </c>
      <c r="EL232" s="97">
        <f t="shared" si="38"/>
        <v>1178564.1353407099</v>
      </c>
      <c r="EM232" s="97">
        <f t="shared" si="38"/>
        <v>1356946.21848352</v>
      </c>
      <c r="EN232" s="97">
        <f t="shared" si="38"/>
        <v>1348470.76348517</v>
      </c>
      <c r="EO232" s="97">
        <f t="shared" si="38"/>
        <v>1646935.43684766</v>
      </c>
      <c r="EP232" s="97">
        <f t="shared" si="38"/>
        <v>1304957.88225058</v>
      </c>
      <c r="EQ232" s="97">
        <f t="shared" si="38"/>
        <v>1090007.5802936801</v>
      </c>
      <c r="ER232" s="97">
        <f t="shared" si="38"/>
        <v>1069514.6174671301</v>
      </c>
      <c r="ES232" s="97">
        <f t="shared" si="38"/>
        <v>1155633.7530853699</v>
      </c>
      <c r="ET232" s="98">
        <v>785627.24</v>
      </c>
      <c r="EU232" s="98">
        <v>993423.94</v>
      </c>
      <c r="EV232" s="98">
        <v>1089343.29</v>
      </c>
      <c r="EW232" s="98">
        <v>1198538.77</v>
      </c>
      <c r="EX232" s="98">
        <v>1382138.78</v>
      </c>
      <c r="EY232" s="98">
        <v>1539773.02</v>
      </c>
      <c r="EZ232" s="98">
        <v>1993333.20505301</v>
      </c>
      <c r="FA232" s="98">
        <v>2094009.84111129</v>
      </c>
      <c r="FB232" s="98">
        <v>1758705.31000694</v>
      </c>
      <c r="FC232" s="98">
        <v>1756312.83536347</v>
      </c>
      <c r="FD232" s="98">
        <v>1538063.00393785</v>
      </c>
      <c r="FE232" s="98">
        <v>1571199.1527513</v>
      </c>
      <c r="FF232" s="99">
        <v>851162.27</v>
      </c>
      <c r="FG232" s="99">
        <v>1041125.39</v>
      </c>
      <c r="FH232" s="99">
        <v>1066481.8799999999</v>
      </c>
      <c r="FI232" s="99">
        <v>1290371.49</v>
      </c>
      <c r="FJ232" s="99">
        <v>1208813.17</v>
      </c>
      <c r="FK232" s="99">
        <v>1252534.6599999999</v>
      </c>
      <c r="FL232" s="99">
        <v>1795731.4641523899</v>
      </c>
      <c r="FM232" s="99">
        <v>1701456.53722295</v>
      </c>
      <c r="FN232" s="99">
        <v>1388736.0694359399</v>
      </c>
      <c r="FO232" s="99">
        <v>1341528.8515351701</v>
      </c>
      <c r="FP232" s="99">
        <v>1134405.60221959</v>
      </c>
      <c r="FQ232" s="99">
        <v>1246141.5409339501</v>
      </c>
      <c r="FR232" s="100">
        <f>SUM(FR233:FR236)</f>
        <v>669819.01</v>
      </c>
      <c r="FS232" s="100">
        <f t="shared" ref="FS232:GC232" si="39">SUM(FS233:FS236)</f>
        <v>845756.92</v>
      </c>
      <c r="FT232" s="100">
        <f t="shared" si="39"/>
        <v>720374.53</v>
      </c>
      <c r="FU232" s="100">
        <f t="shared" si="39"/>
        <v>316937.24</v>
      </c>
      <c r="FV232" s="100">
        <f t="shared" si="39"/>
        <v>469045.42</v>
      </c>
      <c r="FW232" s="100">
        <f t="shared" si="39"/>
        <v>1161870.85323555</v>
      </c>
      <c r="FX232" s="100">
        <f t="shared" si="39"/>
        <v>1673430.2546007801</v>
      </c>
      <c r="FY232" s="100">
        <f t="shared" si="39"/>
        <v>1388372.93897813</v>
      </c>
      <c r="FZ232" s="100">
        <f t="shared" si="39"/>
        <v>1416214.80348737</v>
      </c>
      <c r="GA232" s="100">
        <f t="shared" si="39"/>
        <v>1276386.10610634</v>
      </c>
      <c r="GB232" s="100">
        <f t="shared" si="39"/>
        <v>963348.80250703602</v>
      </c>
      <c r="GC232" s="100">
        <f t="shared" si="39"/>
        <v>1285597.5253148</v>
      </c>
      <c r="GE232" s="101">
        <f>SUM(FR232:GC232)</f>
        <v>12187154.40423</v>
      </c>
    </row>
    <row r="233" spans="1:187">
      <c r="D233" s="59" t="str">
        <f t="shared" si="31"/>
        <v>7131p</v>
      </c>
      <c r="E233" s="60" t="s">
        <v>351</v>
      </c>
      <c r="F233" s="67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9"/>
      <c r="R233" s="67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9"/>
      <c r="AD233" s="67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9"/>
      <c r="AP233" s="67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9"/>
      <c r="BB233" s="67"/>
      <c r="BC233" s="68"/>
      <c r="BD233" s="68"/>
      <c r="BE233" s="68"/>
      <c r="BF233" s="68"/>
      <c r="BG233" s="68"/>
      <c r="BH233" s="68"/>
      <c r="BI233" s="68"/>
      <c r="BJ233" s="68"/>
      <c r="BK233" s="68"/>
      <c r="BL233" s="68"/>
      <c r="BM233" s="69"/>
      <c r="BN233" s="67"/>
      <c r="BO233" s="68"/>
      <c r="BP233" s="68"/>
      <c r="BQ233" s="68"/>
      <c r="BR233" s="68"/>
      <c r="BS233" s="68"/>
      <c r="BT233" s="68"/>
      <c r="BU233" s="68"/>
      <c r="BV233" s="68"/>
      <c r="BW233" s="68"/>
      <c r="BX233" s="68"/>
      <c r="BY233" s="69"/>
      <c r="BZ233" s="68"/>
      <c r="CA233" s="68"/>
      <c r="CB233" s="68"/>
      <c r="CC233" s="68"/>
      <c r="CD233" s="68"/>
      <c r="CE233" s="68"/>
      <c r="CF233" s="68"/>
      <c r="CG233" s="68"/>
      <c r="CH233" s="68"/>
      <c r="CI233" s="68"/>
      <c r="CJ233" s="68"/>
      <c r="CK233" s="68"/>
      <c r="CL233" s="67">
        <v>542096.38724093605</v>
      </c>
      <c r="CM233" s="68">
        <v>536397.13298492297</v>
      </c>
      <c r="CN233" s="68">
        <v>759288.54284763394</v>
      </c>
      <c r="CO233" s="68">
        <v>724733.04432771797</v>
      </c>
      <c r="CP233" s="68">
        <v>823629.87439344102</v>
      </c>
      <c r="CQ233" s="68">
        <v>866651.25939663604</v>
      </c>
      <c r="CR233" s="68">
        <v>822206.96615173097</v>
      </c>
      <c r="CS233" s="68">
        <v>822500.35972019099</v>
      </c>
      <c r="CT233" s="68">
        <v>653046.97944805794</v>
      </c>
      <c r="CU233" s="68">
        <v>912828.08748486999</v>
      </c>
      <c r="CV233" s="68">
        <v>633141.89239853795</v>
      </c>
      <c r="CW233" s="69">
        <v>670108.02240698703</v>
      </c>
      <c r="CX233" s="67">
        <v>475144.75561189099</v>
      </c>
      <c r="CY233" s="68">
        <v>517492.56867088098</v>
      </c>
      <c r="CZ233" s="68">
        <v>430110.48270410002</v>
      </c>
      <c r="DA233" s="68">
        <v>827362.00845956604</v>
      </c>
      <c r="DB233" s="68">
        <v>765781.28778520995</v>
      </c>
      <c r="DC233" s="68">
        <v>896155.50480476802</v>
      </c>
      <c r="DD233" s="68">
        <v>900805.24859983299</v>
      </c>
      <c r="DE233" s="68">
        <v>706704.35479965201</v>
      </c>
      <c r="DF233" s="68">
        <v>671459.96419562597</v>
      </c>
      <c r="DG233" s="68">
        <v>696792.86328737205</v>
      </c>
      <c r="DH233" s="68">
        <v>610012.75737018301</v>
      </c>
      <c r="DI233" s="69">
        <v>646794.70668566902</v>
      </c>
      <c r="DJ233" s="67">
        <v>418364.227921388</v>
      </c>
      <c r="DK233" s="95">
        <v>526444.60769273597</v>
      </c>
      <c r="DL233" s="68">
        <v>612289.16807886097</v>
      </c>
      <c r="DM233" s="68">
        <v>737573.73842781899</v>
      </c>
      <c r="DN233" s="68">
        <v>716386.79462228494</v>
      </c>
      <c r="DO233" s="68">
        <v>866197.423973253</v>
      </c>
      <c r="DP233" s="68">
        <v>804753.771380238</v>
      </c>
      <c r="DQ233" s="68">
        <v>718970.810873913</v>
      </c>
      <c r="DR233" s="68">
        <v>714205.89922100899</v>
      </c>
      <c r="DS233" s="68">
        <v>684885.65852184698</v>
      </c>
      <c r="DT233" s="68">
        <v>612043.660109572</v>
      </c>
      <c r="DU233" s="69">
        <v>679234.66236747697</v>
      </c>
      <c r="DV233" s="83">
        <v>452718.04697181599</v>
      </c>
      <c r="DW233" s="83">
        <v>606769.38355775201</v>
      </c>
      <c r="DX233" s="83">
        <v>635656.54436637403</v>
      </c>
      <c r="DY233" s="83">
        <v>746130.59497986303</v>
      </c>
      <c r="DZ233" s="83">
        <v>704432.721755562</v>
      </c>
      <c r="EA233" s="83">
        <v>817283.07498853095</v>
      </c>
      <c r="EB233" s="83">
        <v>816495.30161271302</v>
      </c>
      <c r="EC233" s="83">
        <v>721448.03361518297</v>
      </c>
      <c r="ED233" s="83">
        <v>702689.19974077598</v>
      </c>
      <c r="EE233" s="83">
        <v>793275.59015059203</v>
      </c>
      <c r="EF233" s="83">
        <v>662613.41313093505</v>
      </c>
      <c r="EG233" s="83">
        <v>795634.23365310498</v>
      </c>
      <c r="EH233" s="83">
        <v>396618.36641045701</v>
      </c>
      <c r="EI233" s="61">
        <v>657583.88558033202</v>
      </c>
      <c r="EJ233" s="61">
        <v>770426.66515654104</v>
      </c>
      <c r="EK233" s="61">
        <v>664564.67104628403</v>
      </c>
      <c r="EL233" s="61">
        <v>789031.85507598601</v>
      </c>
      <c r="EM233" s="61">
        <v>885998.04252956004</v>
      </c>
      <c r="EN233" s="61">
        <v>726415.65029595396</v>
      </c>
      <c r="EO233" s="61">
        <v>851708.23841278802</v>
      </c>
      <c r="EP233" s="61">
        <v>737768.80354883499</v>
      </c>
      <c r="EQ233" s="61">
        <v>672281.42568541598</v>
      </c>
      <c r="ER233" s="61">
        <v>633521.74994362798</v>
      </c>
      <c r="ES233" s="61">
        <v>668645.62052802299</v>
      </c>
      <c r="ET233" s="1">
        <v>572123.71</v>
      </c>
      <c r="EU233" s="1">
        <v>691468.91</v>
      </c>
      <c r="EV233" s="1">
        <v>803456.79</v>
      </c>
      <c r="EW233" s="1">
        <v>905119.47</v>
      </c>
      <c r="EX233" s="1">
        <v>1028480.47</v>
      </c>
      <c r="EY233" s="1">
        <v>1082365.3400000001</v>
      </c>
      <c r="EZ233" s="1">
        <v>1372318.1424094001</v>
      </c>
      <c r="FA233" s="1">
        <v>1363150.9210615801</v>
      </c>
      <c r="FB233" s="1">
        <v>1209298.5991903299</v>
      </c>
      <c r="FC233" s="1">
        <v>1264117.2826892801</v>
      </c>
      <c r="FD233" s="1">
        <v>1122901.17626587</v>
      </c>
      <c r="FE233" s="1">
        <v>1117979.41511761</v>
      </c>
      <c r="FF233" s="1">
        <v>649124.48</v>
      </c>
      <c r="FG233" s="1">
        <v>818776.7</v>
      </c>
      <c r="FH233" s="1">
        <v>802029.06</v>
      </c>
      <c r="FI233" s="1">
        <v>949723.87</v>
      </c>
      <c r="FJ233" s="1">
        <v>855493.95</v>
      </c>
      <c r="FK233" s="1">
        <v>789796.19</v>
      </c>
      <c r="FL233" s="1">
        <v>984551.17228491197</v>
      </c>
      <c r="FM233" s="1">
        <v>853416.19822953595</v>
      </c>
      <c r="FN233" s="1">
        <v>738178.484971956</v>
      </c>
      <c r="FO233" s="1">
        <v>784155.59545054799</v>
      </c>
      <c r="FP233" s="1">
        <v>651585.72457315295</v>
      </c>
      <c r="FQ233" s="1">
        <v>736653.25028989499</v>
      </c>
      <c r="FR233" s="63">
        <v>520343.73</v>
      </c>
      <c r="FS233" s="63">
        <v>652056.92000000004</v>
      </c>
      <c r="FT233" s="63">
        <v>553031.42000000004</v>
      </c>
      <c r="FU233" s="63">
        <v>279110.88</v>
      </c>
      <c r="FV233" s="63">
        <v>389225.04</v>
      </c>
      <c r="FW233" s="63">
        <v>785977.46893772995</v>
      </c>
      <c r="FX233" s="63">
        <v>1031818.63414456</v>
      </c>
      <c r="FY233" s="63">
        <v>729189.96460606705</v>
      </c>
      <c r="FZ233" s="63">
        <v>905458.18435264705</v>
      </c>
      <c r="GA233" s="63">
        <v>851833.89135936298</v>
      </c>
      <c r="GB233" s="63">
        <v>666605.59471104096</v>
      </c>
      <c r="GC233" s="63">
        <v>846375.24254859402</v>
      </c>
      <c r="GE233" s="102">
        <f>SUM(FR233:GD233)</f>
        <v>8211026.9706600001</v>
      </c>
    </row>
    <row r="234" spans="1:187">
      <c r="D234" s="59" t="str">
        <f t="shared" si="31"/>
        <v>7132p</v>
      </c>
      <c r="E234" s="60" t="s">
        <v>352</v>
      </c>
      <c r="F234" s="67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9"/>
      <c r="R234" s="67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9"/>
      <c r="AD234" s="67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9"/>
      <c r="AP234" s="67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9"/>
      <c r="BB234" s="67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9"/>
      <c r="BN234" s="67"/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9"/>
      <c r="BZ234" s="68"/>
      <c r="CA234" s="68"/>
      <c r="CB234" s="68"/>
      <c r="CC234" s="68"/>
      <c r="CD234" s="68"/>
      <c r="CE234" s="68"/>
      <c r="CF234" s="68"/>
      <c r="CG234" s="68"/>
      <c r="CH234" s="68"/>
      <c r="CI234" s="68"/>
      <c r="CJ234" s="68"/>
      <c r="CK234" s="68"/>
      <c r="CL234" s="67">
        <v>252442.47852542001</v>
      </c>
      <c r="CM234" s="68">
        <v>257727.78032652201</v>
      </c>
      <c r="CN234" s="68">
        <v>326063.49946238601</v>
      </c>
      <c r="CO234" s="68">
        <v>345774.20752005599</v>
      </c>
      <c r="CP234" s="68">
        <v>268259.93480340601</v>
      </c>
      <c r="CQ234" s="68">
        <v>332044.44392410503</v>
      </c>
      <c r="CR234" s="68">
        <v>288341.930291072</v>
      </c>
      <c r="CS234" s="68">
        <v>203437.32988708399</v>
      </c>
      <c r="CT234" s="68">
        <v>285816.36008690001</v>
      </c>
      <c r="CU234" s="68">
        <v>295491.81584812998</v>
      </c>
      <c r="CV234" s="68">
        <v>344335.81666740502</v>
      </c>
      <c r="CW234" s="69">
        <v>355728.95218098199</v>
      </c>
      <c r="CX234" s="67">
        <v>200925.57354147299</v>
      </c>
      <c r="CY234" s="68">
        <v>221010.12831298099</v>
      </c>
      <c r="CZ234" s="68">
        <v>261413.193625616</v>
      </c>
      <c r="DA234" s="68">
        <v>275003.00170006999</v>
      </c>
      <c r="DB234" s="68">
        <v>190388.87737213101</v>
      </c>
      <c r="DC234" s="68">
        <v>266102.245705974</v>
      </c>
      <c r="DD234" s="68">
        <v>318564.24003599701</v>
      </c>
      <c r="DE234" s="68">
        <v>156169.82755441501</v>
      </c>
      <c r="DF234" s="68">
        <v>228583.32020986799</v>
      </c>
      <c r="DG234" s="68">
        <v>285566.63661766303</v>
      </c>
      <c r="DH234" s="68">
        <v>746594.09972241602</v>
      </c>
      <c r="DI234" s="69">
        <v>525762.42851836002</v>
      </c>
      <c r="DJ234" s="67">
        <v>283852.459611197</v>
      </c>
      <c r="DK234" s="95">
        <v>1574808.1811729299</v>
      </c>
      <c r="DL234" s="68">
        <v>390053.33688602201</v>
      </c>
      <c r="DM234" s="68">
        <v>366592.19956635003</v>
      </c>
      <c r="DN234" s="68">
        <v>222645.41607531701</v>
      </c>
      <c r="DO234" s="68">
        <v>327226.95594866201</v>
      </c>
      <c r="DP234" s="68">
        <v>291274.53981848701</v>
      </c>
      <c r="DQ234" s="68">
        <v>193442.38352607001</v>
      </c>
      <c r="DR234" s="68">
        <v>248247.38786528699</v>
      </c>
      <c r="DS234" s="68">
        <v>305573.34320155199</v>
      </c>
      <c r="DT234" s="68">
        <v>512260.76546333102</v>
      </c>
      <c r="DU234" s="69">
        <v>455581.838737274</v>
      </c>
      <c r="DV234" s="83">
        <v>170513.04197250301</v>
      </c>
      <c r="DW234" s="83">
        <v>519541.61280144501</v>
      </c>
      <c r="DX234" s="83">
        <v>249071.634390002</v>
      </c>
      <c r="DY234" s="83">
        <v>216693.48887174099</v>
      </c>
      <c r="DZ234" s="83">
        <v>152515.37647816999</v>
      </c>
      <c r="EA234" s="83">
        <v>190700.41622146801</v>
      </c>
      <c r="EB234" s="83">
        <v>197921.723770949</v>
      </c>
      <c r="EC234" s="83">
        <v>134433.28897459101</v>
      </c>
      <c r="ED234" s="83">
        <v>155620.37375231201</v>
      </c>
      <c r="EE234" s="83">
        <v>216371.43522692099</v>
      </c>
      <c r="EF234" s="83">
        <v>338357.32840155502</v>
      </c>
      <c r="EG234" s="83">
        <v>322611.51828479598</v>
      </c>
      <c r="EH234" s="83">
        <v>104510.580511815</v>
      </c>
      <c r="EI234" s="61">
        <v>187734.99606994999</v>
      </c>
      <c r="EJ234" s="61">
        <v>193198.51627654099</v>
      </c>
      <c r="EK234" s="61">
        <v>155312.779496237</v>
      </c>
      <c r="EL234" s="61">
        <v>148885.06440002899</v>
      </c>
      <c r="EM234" s="61">
        <v>198756.139052766</v>
      </c>
      <c r="EN234" s="61">
        <v>160403.96878652999</v>
      </c>
      <c r="EO234" s="61">
        <v>125361.613493675</v>
      </c>
      <c r="EP234" s="61">
        <v>151227.76688167799</v>
      </c>
      <c r="EQ234" s="61">
        <v>139300.10775878601</v>
      </c>
      <c r="ER234" s="61">
        <v>164545.67001416601</v>
      </c>
      <c r="ES234" s="61">
        <v>169189.212007722</v>
      </c>
      <c r="ET234" s="1">
        <v>93434.6</v>
      </c>
      <c r="EU234" s="1">
        <v>109385.74</v>
      </c>
      <c r="EV234" s="1">
        <v>120777.01</v>
      </c>
      <c r="EW234" s="1">
        <v>107766.04</v>
      </c>
      <c r="EX234" s="1">
        <v>105374.49</v>
      </c>
      <c r="EY234" s="1">
        <v>116225.41</v>
      </c>
      <c r="EZ234" s="1">
        <v>128257.636327081</v>
      </c>
      <c r="FA234" s="1">
        <v>89323.003900608106</v>
      </c>
      <c r="FB234" s="1">
        <v>135234.94509311399</v>
      </c>
      <c r="FC234" s="1">
        <v>146162.4476173</v>
      </c>
      <c r="FD234" s="1">
        <v>124610.53239028101</v>
      </c>
      <c r="FE234" s="1">
        <v>150277.97800327599</v>
      </c>
      <c r="FF234" s="1">
        <v>64695</v>
      </c>
      <c r="FG234" s="1">
        <v>85955.36</v>
      </c>
      <c r="FH234" s="1">
        <v>106907.98</v>
      </c>
      <c r="FI234" s="1">
        <v>128950.69</v>
      </c>
      <c r="FJ234" s="1">
        <v>89857.44</v>
      </c>
      <c r="FK234" s="1">
        <v>90814.91</v>
      </c>
      <c r="FL234" s="1">
        <v>134342.02832402801</v>
      </c>
      <c r="FM234" s="1">
        <v>96531.805736688606</v>
      </c>
      <c r="FN234" s="1">
        <v>116877.463487941</v>
      </c>
      <c r="FO234" s="1">
        <v>123515.883135369</v>
      </c>
      <c r="FP234" s="1">
        <v>136136.096835214</v>
      </c>
      <c r="FQ234" s="1">
        <v>158708.71988075899</v>
      </c>
      <c r="FR234" s="63">
        <v>59543.27</v>
      </c>
      <c r="FS234" s="63">
        <v>103685.1</v>
      </c>
      <c r="FT234" s="63">
        <v>69007.199999999997</v>
      </c>
      <c r="FU234" s="63">
        <v>21455.99</v>
      </c>
      <c r="FV234" s="63">
        <v>33883.980000000003</v>
      </c>
      <c r="FW234" s="63">
        <v>106928.680362414</v>
      </c>
      <c r="FX234" s="63">
        <v>120162.582106096</v>
      </c>
      <c r="FY234" s="63">
        <v>94053.637347995304</v>
      </c>
      <c r="FZ234" s="63">
        <v>95570.609659243797</v>
      </c>
      <c r="GA234" s="63">
        <v>123098.293301917</v>
      </c>
      <c r="GB234" s="63">
        <v>108489.84182029001</v>
      </c>
      <c r="GC234" s="63">
        <v>140483.82012204401</v>
      </c>
      <c r="GE234" s="102">
        <f>SUM(FR234:GD234)</f>
        <v>1076363.0047200001</v>
      </c>
    </row>
    <row r="235" spans="1:187">
      <c r="D235" s="59" t="str">
        <f t="shared" si="31"/>
        <v>7133p</v>
      </c>
      <c r="E235" s="60" t="s">
        <v>353</v>
      </c>
      <c r="F235" s="67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9"/>
      <c r="R235" s="67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9"/>
      <c r="AD235" s="67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9"/>
      <c r="AP235" s="67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9"/>
      <c r="BB235" s="67"/>
      <c r="BC235" s="68"/>
      <c r="BD235" s="68"/>
      <c r="BE235" s="68"/>
      <c r="BF235" s="68"/>
      <c r="BG235" s="68"/>
      <c r="BH235" s="68"/>
      <c r="BI235" s="68"/>
      <c r="BJ235" s="68"/>
      <c r="BK235" s="68"/>
      <c r="BL235" s="68"/>
      <c r="BM235" s="69"/>
      <c r="BN235" s="67"/>
      <c r="BO235" s="68"/>
      <c r="BP235" s="68"/>
      <c r="BQ235" s="68"/>
      <c r="BR235" s="68"/>
      <c r="BS235" s="68"/>
      <c r="BT235" s="68"/>
      <c r="BU235" s="68"/>
      <c r="BV235" s="68"/>
      <c r="BW235" s="68"/>
      <c r="BX235" s="68"/>
      <c r="BY235" s="69"/>
      <c r="BZ235" s="68"/>
      <c r="CA235" s="68"/>
      <c r="CB235" s="68"/>
      <c r="CC235" s="68"/>
      <c r="CD235" s="68"/>
      <c r="CE235" s="68"/>
      <c r="CF235" s="68"/>
      <c r="CG235" s="68"/>
      <c r="CH235" s="68"/>
      <c r="CI235" s="68"/>
      <c r="CJ235" s="68"/>
      <c r="CK235" s="68"/>
      <c r="CL235" s="67">
        <v>15175.9883292411</v>
      </c>
      <c r="CM235" s="68">
        <v>5488.4479117645697</v>
      </c>
      <c r="CN235" s="68">
        <v>5513.5477857445103</v>
      </c>
      <c r="CO235" s="68">
        <v>10033.9758628156</v>
      </c>
      <c r="CP235" s="68">
        <v>13433.0788130611</v>
      </c>
      <c r="CQ235" s="68">
        <v>35239.498051137001</v>
      </c>
      <c r="CR235" s="68">
        <v>115467.109569372</v>
      </c>
      <c r="CS235" s="68">
        <v>147444.22648178399</v>
      </c>
      <c r="CT235" s="68">
        <v>77479.696104075905</v>
      </c>
      <c r="CU235" s="68">
        <v>52915.149949001403</v>
      </c>
      <c r="CV235" s="68">
        <v>15235.2661032254</v>
      </c>
      <c r="CW235" s="69">
        <v>9085.1638649635697</v>
      </c>
      <c r="CX235" s="67">
        <v>7581.0977141313897</v>
      </c>
      <c r="CY235" s="68">
        <v>9769.7546189308196</v>
      </c>
      <c r="CZ235" s="68">
        <v>13652.4776231919</v>
      </c>
      <c r="DA235" s="68">
        <v>30023.611015219602</v>
      </c>
      <c r="DB235" s="68">
        <v>51574.349619774999</v>
      </c>
      <c r="DC235" s="68">
        <v>87997.575035473696</v>
      </c>
      <c r="DD235" s="68">
        <v>162130.62126952599</v>
      </c>
      <c r="DE235" s="68">
        <v>195839.46053647899</v>
      </c>
      <c r="DF235" s="68">
        <v>110676.347267766</v>
      </c>
      <c r="DG235" s="68">
        <v>50069.953945792899</v>
      </c>
      <c r="DH235" s="68">
        <v>30853.6847367796</v>
      </c>
      <c r="DI235" s="69">
        <v>12342.508532882501</v>
      </c>
      <c r="DJ235" s="67">
        <v>8947.4043134768399</v>
      </c>
      <c r="DK235" s="95">
        <v>10416.0455222856</v>
      </c>
      <c r="DL235" s="68">
        <v>13405.904575255099</v>
      </c>
      <c r="DM235" s="68">
        <v>18904.801980476299</v>
      </c>
      <c r="DN235" s="68">
        <v>27863.051995567999</v>
      </c>
      <c r="DO235" s="68">
        <v>66978.470040842905</v>
      </c>
      <c r="DP235" s="68">
        <v>130860.11557721101</v>
      </c>
      <c r="DQ235" s="68">
        <v>210708.25076497701</v>
      </c>
      <c r="DR235" s="68">
        <v>104257.885904961</v>
      </c>
      <c r="DS235" s="68">
        <v>50718.284042631298</v>
      </c>
      <c r="DT235" s="68">
        <v>20551.413643389002</v>
      </c>
      <c r="DU235" s="69">
        <v>16072.092948061299</v>
      </c>
      <c r="DV235" s="83">
        <v>8805.4661672471502</v>
      </c>
      <c r="DW235" s="83">
        <v>11686.7669579587</v>
      </c>
      <c r="DX235" s="83">
        <v>13434.4361703222</v>
      </c>
      <c r="DY235" s="83">
        <v>25625.084764842999</v>
      </c>
      <c r="DZ235" s="83">
        <v>40782.793660653297</v>
      </c>
      <c r="EA235" s="83">
        <v>75101.138836585495</v>
      </c>
      <c r="EB235" s="83">
        <v>178902.371459293</v>
      </c>
      <c r="EC235" s="83">
        <v>293822.86490978801</v>
      </c>
      <c r="ED235" s="83">
        <v>119163.902324843</v>
      </c>
      <c r="EE235" s="83">
        <v>64420.090426535302</v>
      </c>
      <c r="EF235" s="83">
        <v>28667.528920865301</v>
      </c>
      <c r="EG235" s="83">
        <v>22985.206767060201</v>
      </c>
      <c r="EH235" s="83">
        <v>17375.016552787001</v>
      </c>
      <c r="EI235" s="61">
        <v>23371.2807919019</v>
      </c>
      <c r="EJ235" s="61">
        <v>27185.635688952101</v>
      </c>
      <c r="EK235" s="61">
        <v>27557.670581455499</v>
      </c>
      <c r="EL235" s="61">
        <v>56156.692877611</v>
      </c>
      <c r="EM235" s="61">
        <v>107101.74269735601</v>
      </c>
      <c r="EN235" s="61">
        <v>251416.936957948</v>
      </c>
      <c r="EO235" s="61">
        <v>390026.72784737899</v>
      </c>
      <c r="EP235" s="61">
        <v>198027.31464938499</v>
      </c>
      <c r="EQ235" s="61">
        <v>72037.393022864198</v>
      </c>
      <c r="ER235" s="61">
        <v>30898.8512316099</v>
      </c>
      <c r="ES235" s="61">
        <v>18499.2315095454</v>
      </c>
      <c r="ET235" s="1">
        <v>21633.83</v>
      </c>
      <c r="EU235" s="1">
        <v>24453.21</v>
      </c>
      <c r="EV235" s="1">
        <v>30364.14</v>
      </c>
      <c r="EW235" s="1">
        <v>45135.75</v>
      </c>
      <c r="EX235" s="1">
        <v>73298.429999999993</v>
      </c>
      <c r="EY235" s="1">
        <v>154167.12</v>
      </c>
      <c r="EZ235" s="1">
        <v>285738.43703399599</v>
      </c>
      <c r="FA235" s="1">
        <v>377223.95709693199</v>
      </c>
      <c r="FB235" s="1">
        <v>192412.76736173499</v>
      </c>
      <c r="FC235" s="1">
        <v>86548.975295281401</v>
      </c>
      <c r="FD235" s="1">
        <v>33887.664596319701</v>
      </c>
      <c r="FE235" s="1">
        <v>27963.3674509394</v>
      </c>
      <c r="FF235" s="1">
        <v>24775.52</v>
      </c>
      <c r="FG235" s="1">
        <v>28443.63</v>
      </c>
      <c r="FH235" s="1">
        <v>40268.589999999997</v>
      </c>
      <c r="FI235" s="1">
        <v>55742.67</v>
      </c>
      <c r="FJ235" s="1">
        <v>91165.22</v>
      </c>
      <c r="FK235" s="1">
        <v>178796.84</v>
      </c>
      <c r="FL235" s="1">
        <v>363731.36010368401</v>
      </c>
      <c r="FM235" s="1">
        <v>436758.62530417799</v>
      </c>
      <c r="FN235" s="1">
        <v>242124.49155094699</v>
      </c>
      <c r="FO235" s="1">
        <v>124295.830345587</v>
      </c>
      <c r="FP235" s="1">
        <v>81230.494036135802</v>
      </c>
      <c r="FQ235" s="1">
        <v>33134.750159467498</v>
      </c>
      <c r="FR235" s="63">
        <v>32221.24</v>
      </c>
      <c r="FS235" s="63">
        <v>34709.39</v>
      </c>
      <c r="FT235" s="63">
        <v>29392.97</v>
      </c>
      <c r="FU235" s="63">
        <v>3187.51</v>
      </c>
      <c r="FV235" s="63">
        <v>915.94</v>
      </c>
      <c r="FW235" s="63">
        <v>109919.19345813899</v>
      </c>
      <c r="FX235" s="63">
        <v>264040.44837579899</v>
      </c>
      <c r="FY235" s="63">
        <v>320368.08987574</v>
      </c>
      <c r="FZ235" s="63">
        <v>183503.00861850299</v>
      </c>
      <c r="GA235" s="63">
        <v>86268.831077027906</v>
      </c>
      <c r="GB235" s="63">
        <v>36409.396780944102</v>
      </c>
      <c r="GC235" s="63">
        <v>27103.478313847401</v>
      </c>
      <c r="GE235" s="102">
        <f>SUM(FR235:GD235)</f>
        <v>1128039.4964999999</v>
      </c>
    </row>
    <row r="236" spans="1:187">
      <c r="D236" s="59" t="str">
        <f t="shared" si="31"/>
        <v>7136p</v>
      </c>
      <c r="E236" s="60" t="s">
        <v>354</v>
      </c>
      <c r="F236" s="67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9"/>
      <c r="R236" s="67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9"/>
      <c r="AD236" s="67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9"/>
      <c r="AP236" s="67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9"/>
      <c r="BB236" s="67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9"/>
      <c r="BN236" s="67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9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7">
        <v>1218162.3831974999</v>
      </c>
      <c r="CM236" s="68">
        <v>1082811.0072866599</v>
      </c>
      <c r="CN236" s="68">
        <v>1272302.9335618301</v>
      </c>
      <c r="CO236" s="68">
        <v>1312908.34633508</v>
      </c>
      <c r="CP236" s="68">
        <v>1326443.48392616</v>
      </c>
      <c r="CQ236" s="68">
        <v>1624216.5109300001</v>
      </c>
      <c r="CR236" s="68">
        <v>1691892.1988854101</v>
      </c>
      <c r="CS236" s="68">
        <v>1759567.8868408301</v>
      </c>
      <c r="CT236" s="68">
        <v>1285838.0711529099</v>
      </c>
      <c r="CU236" s="68">
        <v>1218162.3831974999</v>
      </c>
      <c r="CV236" s="68">
        <v>1204627.2456064101</v>
      </c>
      <c r="CW236" s="69">
        <v>1245232.65837966</v>
      </c>
      <c r="CX236" s="67">
        <v>219220.41812189299</v>
      </c>
      <c r="CY236" s="68">
        <v>628450.38399009197</v>
      </c>
      <c r="CZ236" s="68">
        <v>828726.22707898205</v>
      </c>
      <c r="DA236" s="68">
        <v>636779.16980552697</v>
      </c>
      <c r="DB236" s="68">
        <v>627435.08779883594</v>
      </c>
      <c r="DC236" s="68">
        <v>463512.11855993897</v>
      </c>
      <c r="DD236" s="68">
        <v>851630.11433371296</v>
      </c>
      <c r="DE236" s="68">
        <v>732375.55705810303</v>
      </c>
      <c r="DF236" s="68">
        <v>396482.22310297203</v>
      </c>
      <c r="DG236" s="68">
        <v>1074702.1544555801</v>
      </c>
      <c r="DH236" s="68">
        <v>694864.60422171897</v>
      </c>
      <c r="DI236" s="69">
        <v>1185657.62194562</v>
      </c>
      <c r="DJ236" s="67">
        <v>306268.78874448198</v>
      </c>
      <c r="DK236" s="95">
        <v>694772.91632713797</v>
      </c>
      <c r="DL236" s="68">
        <v>101257.919543221</v>
      </c>
      <c r="DM236" s="68">
        <v>141646.79926409599</v>
      </c>
      <c r="DN236" s="68">
        <v>126150.280130871</v>
      </c>
      <c r="DO236" s="68">
        <v>134942.107664665</v>
      </c>
      <c r="DP236" s="68">
        <v>219255.90621794399</v>
      </c>
      <c r="DQ236" s="68">
        <v>233670.18642134301</v>
      </c>
      <c r="DR236" s="68">
        <v>199515.49959142401</v>
      </c>
      <c r="DS236" s="68">
        <v>277703.595237097</v>
      </c>
      <c r="DT236" s="68">
        <v>201607.81047056001</v>
      </c>
      <c r="DU236" s="69">
        <v>323501.90266677103</v>
      </c>
      <c r="DV236" s="83">
        <v>91171.263448262107</v>
      </c>
      <c r="DW236" s="83">
        <v>237938.919520597</v>
      </c>
      <c r="DX236" s="83">
        <v>186886.05831378399</v>
      </c>
      <c r="DY236" s="83">
        <v>146857.999126034</v>
      </c>
      <c r="DZ236" s="83">
        <v>141100.809113822</v>
      </c>
      <c r="EA236" s="83">
        <v>102111.768804472</v>
      </c>
      <c r="EB236" s="83">
        <v>199200.073415917</v>
      </c>
      <c r="EC236" s="83">
        <v>186415.81407508801</v>
      </c>
      <c r="ED236" s="83">
        <v>123469.59821284001</v>
      </c>
      <c r="EE236" s="83">
        <v>273950.723375912</v>
      </c>
      <c r="EF236" s="83">
        <v>178725.007115621</v>
      </c>
      <c r="EG236" s="83">
        <v>317124.248662989</v>
      </c>
      <c r="EH236" s="83">
        <v>92360.706828790993</v>
      </c>
      <c r="EI236" s="61">
        <v>87500.029728227499</v>
      </c>
      <c r="EJ236" s="61">
        <v>110720.420716402</v>
      </c>
      <c r="EK236" s="61">
        <v>165224.283368909</v>
      </c>
      <c r="EL236" s="61">
        <v>184490.52298708001</v>
      </c>
      <c r="EM236" s="61">
        <v>165090.29420383499</v>
      </c>
      <c r="EN236" s="61">
        <v>210234.207444739</v>
      </c>
      <c r="EO236" s="61">
        <v>279838.85709381301</v>
      </c>
      <c r="EP236" s="61">
        <v>217933.99717068599</v>
      </c>
      <c r="EQ236" s="61">
        <v>206388.65382661301</v>
      </c>
      <c r="ER236" s="61">
        <v>240548.346277723</v>
      </c>
      <c r="ES236" s="61">
        <v>299299.68904008501</v>
      </c>
      <c r="ET236" s="1">
        <v>98435.1</v>
      </c>
      <c r="EU236" s="1">
        <v>168116.08</v>
      </c>
      <c r="EV236" s="1">
        <v>134745.35</v>
      </c>
      <c r="EW236" s="1">
        <v>140517.51</v>
      </c>
      <c r="EX236" s="1">
        <v>174985.39</v>
      </c>
      <c r="EY236" s="1">
        <v>187015.15</v>
      </c>
      <c r="EZ236" s="1">
        <v>207018.989282533</v>
      </c>
      <c r="FA236" s="1">
        <v>264311.959052174</v>
      </c>
      <c r="FB236" s="1">
        <v>221758.99836176401</v>
      </c>
      <c r="FC236" s="1">
        <v>259484.12976161201</v>
      </c>
      <c r="FD236" s="1">
        <v>256663.63068537999</v>
      </c>
      <c r="FE236" s="1">
        <v>274978.39217947202</v>
      </c>
      <c r="FF236" s="1">
        <v>112567.27</v>
      </c>
      <c r="FG236" s="1">
        <v>107949.7</v>
      </c>
      <c r="FH236" s="1">
        <v>117276.25</v>
      </c>
      <c r="FI236" s="1">
        <v>155954.26</v>
      </c>
      <c r="FJ236" s="1">
        <v>172296.56</v>
      </c>
      <c r="FK236" s="1">
        <v>193126.72</v>
      </c>
      <c r="FL236" s="1">
        <v>313106.903439769</v>
      </c>
      <c r="FM236" s="1">
        <v>314749.90795255202</v>
      </c>
      <c r="FN236" s="1">
        <v>291555.62942509999</v>
      </c>
      <c r="FO236" s="1">
        <v>309561.54260366102</v>
      </c>
      <c r="FP236" s="1">
        <v>265453.28677508997</v>
      </c>
      <c r="FQ236" s="1">
        <v>317644.82060382899</v>
      </c>
      <c r="FR236" s="63">
        <v>57710.77</v>
      </c>
      <c r="FS236" s="63">
        <v>55305.51</v>
      </c>
      <c r="FT236" s="63">
        <v>68942.94</v>
      </c>
      <c r="FU236" s="63">
        <v>13182.86</v>
      </c>
      <c r="FV236" s="63">
        <v>45020.46</v>
      </c>
      <c r="FW236" s="63">
        <v>159045.51047727099</v>
      </c>
      <c r="FX236" s="63">
        <v>257408.58997432201</v>
      </c>
      <c r="FY236" s="63">
        <v>244761.24714832901</v>
      </c>
      <c r="FZ236" s="63">
        <v>231683.000856973</v>
      </c>
      <c r="GA236" s="63">
        <v>215185.090368031</v>
      </c>
      <c r="GB236" s="63">
        <v>151843.96919475999</v>
      </c>
      <c r="GC236" s="63">
        <v>271634.98433031299</v>
      </c>
      <c r="GE236" s="102">
        <f>SUM(FR236:GD236)</f>
        <v>1771724.9323499999</v>
      </c>
    </row>
    <row r="237" spans="1:187" s="2" customFormat="1">
      <c r="A237" s="71"/>
      <c r="B237" s="71"/>
      <c r="C237" s="71">
        <v>714</v>
      </c>
      <c r="D237" s="71" t="str">
        <f t="shared" si="31"/>
        <v>714p</v>
      </c>
      <c r="E237" s="72" t="s">
        <v>141</v>
      </c>
      <c r="F237" s="73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5"/>
      <c r="R237" s="73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5"/>
      <c r="AD237" s="73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5"/>
      <c r="AP237" s="73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5"/>
      <c r="BB237" s="73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5"/>
      <c r="BN237" s="73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5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3">
        <f t="shared" ref="CL237:DU237" si="40">+SUM(CL238:CL243)</f>
        <v>982710.87498690898</v>
      </c>
      <c r="CM237" s="74">
        <f t="shared" si="40"/>
        <v>869104.05358116503</v>
      </c>
      <c r="CN237" s="74">
        <f t="shared" si="40"/>
        <v>787268.76554129401</v>
      </c>
      <c r="CO237" s="74">
        <f t="shared" si="40"/>
        <v>1546322.54607527</v>
      </c>
      <c r="CP237" s="74">
        <f t="shared" si="40"/>
        <v>932515.34080204298</v>
      </c>
      <c r="CQ237" s="74">
        <f t="shared" si="40"/>
        <v>1175327.72102792</v>
      </c>
      <c r="CR237" s="74">
        <f t="shared" si="40"/>
        <v>2020249.0282658101</v>
      </c>
      <c r="CS237" s="74">
        <f t="shared" si="40"/>
        <v>1079348.0183819099</v>
      </c>
      <c r="CT237" s="74">
        <f t="shared" si="40"/>
        <v>1345127.70456276</v>
      </c>
      <c r="CU237" s="74">
        <f t="shared" si="40"/>
        <v>1098866.97929225</v>
      </c>
      <c r="CV237" s="74">
        <f t="shared" si="40"/>
        <v>885498.01032258396</v>
      </c>
      <c r="CW237" s="75">
        <f t="shared" si="40"/>
        <v>1136253.4997662201</v>
      </c>
      <c r="CX237" s="73">
        <f t="shared" si="40"/>
        <v>874647.32532018796</v>
      </c>
      <c r="CY237" s="74">
        <f t="shared" si="40"/>
        <v>1141795.5130265499</v>
      </c>
      <c r="CZ237" s="74">
        <f t="shared" si="40"/>
        <v>1392255.6905662401</v>
      </c>
      <c r="DA237" s="74">
        <f t="shared" si="40"/>
        <v>1012251.82959323</v>
      </c>
      <c r="DB237" s="74">
        <f t="shared" si="40"/>
        <v>647746.68080012104</v>
      </c>
      <c r="DC237" s="74">
        <f t="shared" si="40"/>
        <v>954989.77745944995</v>
      </c>
      <c r="DD237" s="74">
        <f t="shared" si="40"/>
        <v>1184343.12625436</v>
      </c>
      <c r="DE237" s="74">
        <f t="shared" si="40"/>
        <v>1056013.1087952999</v>
      </c>
      <c r="DF237" s="74">
        <f t="shared" si="40"/>
        <v>1308372.25655714</v>
      </c>
      <c r="DG237" s="74">
        <f t="shared" si="40"/>
        <v>1299421.3451732199</v>
      </c>
      <c r="DH237" s="74">
        <f t="shared" si="40"/>
        <v>1236718.8760774899</v>
      </c>
      <c r="DI237" s="75">
        <f t="shared" si="40"/>
        <v>915688.23864849098</v>
      </c>
      <c r="DJ237" s="73">
        <f t="shared" si="40"/>
        <v>1138266.98041526</v>
      </c>
      <c r="DK237" s="96">
        <f t="shared" si="40"/>
        <v>756483.76634673495</v>
      </c>
      <c r="DL237" s="74">
        <f t="shared" si="40"/>
        <v>784896.45053551998</v>
      </c>
      <c r="DM237" s="74">
        <f t="shared" si="40"/>
        <v>716357.12404799997</v>
      </c>
      <c r="DN237" s="74">
        <f t="shared" si="40"/>
        <v>1133208.5669148001</v>
      </c>
      <c r="DO237" s="74">
        <f t="shared" si="40"/>
        <v>1267102.99572897</v>
      </c>
      <c r="DP237" s="74">
        <f t="shared" si="40"/>
        <v>1342917.6146265799</v>
      </c>
      <c r="DQ237" s="74">
        <f t="shared" si="40"/>
        <v>1226756.3727123099</v>
      </c>
      <c r="DR237" s="74">
        <f t="shared" si="40"/>
        <v>1268468.2949369601</v>
      </c>
      <c r="DS237" s="74">
        <f t="shared" si="40"/>
        <v>1378353.67040107</v>
      </c>
      <c r="DT237" s="74">
        <f t="shared" si="40"/>
        <v>1123435.7637199699</v>
      </c>
      <c r="DU237" s="75">
        <f t="shared" si="40"/>
        <v>1342481.0432510099</v>
      </c>
      <c r="DV237" s="97">
        <f t="shared" ref="DV237:ES237" si="41">SUM(DV238:DV243)</f>
        <v>830622.45977962902</v>
      </c>
      <c r="DW237" s="97">
        <f t="shared" si="41"/>
        <v>841675.37717694405</v>
      </c>
      <c r="DX237" s="97">
        <f t="shared" si="41"/>
        <v>1095886.2838292799</v>
      </c>
      <c r="DY237" s="97">
        <f t="shared" si="41"/>
        <v>803106.60353358404</v>
      </c>
      <c r="DZ237" s="97">
        <f t="shared" si="41"/>
        <v>1197017.37249381</v>
      </c>
      <c r="EA237" s="97">
        <f t="shared" si="41"/>
        <v>1645191.7465731699</v>
      </c>
      <c r="EB237" s="97">
        <f t="shared" si="41"/>
        <v>1914614.87630689</v>
      </c>
      <c r="EC237" s="97">
        <f t="shared" si="41"/>
        <v>1757103.5644707</v>
      </c>
      <c r="ED237" s="97">
        <f t="shared" si="41"/>
        <v>1998291.5618471999</v>
      </c>
      <c r="EE237" s="97">
        <f t="shared" si="41"/>
        <v>2181977.5553072998</v>
      </c>
      <c r="EF237" s="97">
        <f t="shared" si="41"/>
        <v>1508780.0698249601</v>
      </c>
      <c r="EG237" s="97">
        <f t="shared" si="41"/>
        <v>1535340.0887295499</v>
      </c>
      <c r="EH237" s="97">
        <f t="shared" si="41"/>
        <v>1682455.8460246201</v>
      </c>
      <c r="EI237" s="97">
        <f t="shared" si="41"/>
        <v>1232315.1298845699</v>
      </c>
      <c r="EJ237" s="97">
        <f t="shared" si="41"/>
        <v>1332747.11244907</v>
      </c>
      <c r="EK237" s="97">
        <f t="shared" si="41"/>
        <v>1975532.6209221201</v>
      </c>
      <c r="EL237" s="97">
        <f t="shared" si="41"/>
        <v>1379961.03507042</v>
      </c>
      <c r="EM237" s="97">
        <f t="shared" si="41"/>
        <v>1823244.5616456701</v>
      </c>
      <c r="EN237" s="97">
        <f t="shared" si="41"/>
        <v>2820791.05537814</v>
      </c>
      <c r="EO237" s="97">
        <f t="shared" si="41"/>
        <v>1850940.4561359501</v>
      </c>
      <c r="EP237" s="97">
        <f t="shared" si="41"/>
        <v>2466068.9719773401</v>
      </c>
      <c r="EQ237" s="97">
        <f t="shared" si="41"/>
        <v>2793048.4100497998</v>
      </c>
      <c r="ER237" s="97">
        <f t="shared" si="41"/>
        <v>1640472.4289961399</v>
      </c>
      <c r="ES237" s="97">
        <f t="shared" si="41"/>
        <v>2451703.74373399</v>
      </c>
      <c r="ET237" s="98">
        <v>1774503.57</v>
      </c>
      <c r="EU237" s="98">
        <v>1885893.46</v>
      </c>
      <c r="EV237" s="98">
        <v>2001213.06</v>
      </c>
      <c r="EW237" s="98">
        <v>2389766.7799999998</v>
      </c>
      <c r="EX237" s="98">
        <v>1530724.52</v>
      </c>
      <c r="EY237" s="98">
        <v>2860047.35</v>
      </c>
      <c r="EZ237" s="98">
        <v>2768982.89609381</v>
      </c>
      <c r="FA237" s="98">
        <v>1878964.84687877</v>
      </c>
      <c r="FB237" s="98">
        <v>2453431.09196425</v>
      </c>
      <c r="FC237" s="98">
        <v>3062621.0292725498</v>
      </c>
      <c r="FD237" s="98">
        <v>2157522.02058218</v>
      </c>
      <c r="FE237" s="98">
        <v>3364455.4723437298</v>
      </c>
      <c r="FF237" s="99">
        <v>2315003.25</v>
      </c>
      <c r="FG237" s="99">
        <v>1541397.86</v>
      </c>
      <c r="FH237" s="99">
        <v>2408517.5</v>
      </c>
      <c r="FI237" s="99">
        <v>3310133.38</v>
      </c>
      <c r="FJ237" s="99">
        <v>1792591.2</v>
      </c>
      <c r="FK237" s="99">
        <v>2081141.31</v>
      </c>
      <c r="FL237" s="99">
        <v>3811615.3822946702</v>
      </c>
      <c r="FM237" s="99">
        <v>2369139.88856648</v>
      </c>
      <c r="FN237" s="99">
        <v>2509036.5848406102</v>
      </c>
      <c r="FO237" s="99">
        <v>3286740.3746406999</v>
      </c>
      <c r="FP237" s="99">
        <v>2611990.4957672702</v>
      </c>
      <c r="FQ237" s="99">
        <v>3353537.6354902699</v>
      </c>
      <c r="FR237" s="100">
        <f>SUM(FR238:FR243)</f>
        <v>2226726.9300000002</v>
      </c>
      <c r="FS237" s="100">
        <f t="shared" ref="FS237:GC237" si="42">SUM(FS238:FS243)</f>
        <v>2200614.79</v>
      </c>
      <c r="FT237" s="100">
        <f t="shared" si="42"/>
        <v>1317967.9099999999</v>
      </c>
      <c r="FU237" s="100">
        <f t="shared" si="42"/>
        <v>1597851.36</v>
      </c>
      <c r="FV237" s="100">
        <f t="shared" si="42"/>
        <v>1673853.74</v>
      </c>
      <c r="FW237" s="100">
        <f t="shared" si="42"/>
        <v>2179490.8743573599</v>
      </c>
      <c r="FX237" s="100">
        <f t="shared" si="42"/>
        <v>2571108.83592257</v>
      </c>
      <c r="FY237" s="100">
        <f t="shared" si="42"/>
        <v>1825380.5890086701</v>
      </c>
      <c r="FZ237" s="100">
        <f t="shared" si="42"/>
        <v>2163813.0387331601</v>
      </c>
      <c r="GA237" s="100">
        <f t="shared" si="42"/>
        <v>1995229.22288673</v>
      </c>
      <c r="GB237" s="100">
        <f t="shared" si="42"/>
        <v>1517691.04492078</v>
      </c>
      <c r="GC237" s="100">
        <f t="shared" si="42"/>
        <v>3555523.5622207299</v>
      </c>
      <c r="GE237" s="101">
        <f>SUM(FR237:GC237)</f>
        <v>24825251.898049999</v>
      </c>
    </row>
    <row r="238" spans="1:187" ht="30">
      <c r="D238" s="59" t="str">
        <f t="shared" si="31"/>
        <v>7141p</v>
      </c>
      <c r="E238" s="60" t="s">
        <v>355</v>
      </c>
      <c r="F238" s="67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9"/>
      <c r="R238" s="67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9"/>
      <c r="AD238" s="67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9"/>
      <c r="AP238" s="67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9"/>
      <c r="BB238" s="67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9"/>
      <c r="BN238" s="67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9"/>
      <c r="BZ238" s="68"/>
      <c r="CA238" s="68"/>
      <c r="CB238" s="68"/>
      <c r="CC238" s="68"/>
      <c r="CD238" s="68"/>
      <c r="CE238" s="68"/>
      <c r="CF238" s="68"/>
      <c r="CG238" s="68"/>
      <c r="CH238" s="68"/>
      <c r="CI238" s="68"/>
      <c r="CJ238" s="68"/>
      <c r="CK238" s="68"/>
      <c r="CL238" s="67">
        <v>74908.131611371806</v>
      </c>
      <c r="CM238" s="68">
        <v>23550.0090684151</v>
      </c>
      <c r="CN238" s="68">
        <v>22968.940964279602</v>
      </c>
      <c r="CO238" s="68">
        <v>27429.389117970401</v>
      </c>
      <c r="CP238" s="68">
        <v>30556.042262077201</v>
      </c>
      <c r="CQ238" s="68">
        <v>29697.3400300629</v>
      </c>
      <c r="CR238" s="68">
        <v>58678.475724849501</v>
      </c>
      <c r="CS238" s="68">
        <v>90332.521977156604</v>
      </c>
      <c r="CT238" s="68">
        <v>111262.34960854999</v>
      </c>
      <c r="CU238" s="68">
        <v>120982.619382688</v>
      </c>
      <c r="CV238" s="68">
        <v>76485.188166027205</v>
      </c>
      <c r="CW238" s="69">
        <v>100665.728655484</v>
      </c>
      <c r="CX238" s="67">
        <v>13374.9659297978</v>
      </c>
      <c r="CY238" s="68">
        <v>9999.5066580478706</v>
      </c>
      <c r="CZ238" s="68">
        <v>20867.434190068099</v>
      </c>
      <c r="DA238" s="68">
        <v>52237.811965447101</v>
      </c>
      <c r="DB238" s="68">
        <v>29954.027638769599</v>
      </c>
      <c r="DC238" s="68">
        <v>75989.810977853704</v>
      </c>
      <c r="DD238" s="68">
        <v>69124.693281453205</v>
      </c>
      <c r="DE238" s="68">
        <v>68296.533545507293</v>
      </c>
      <c r="DF238" s="68">
        <v>81324.552086676704</v>
      </c>
      <c r="DG238" s="68">
        <v>103792.89001602901</v>
      </c>
      <c r="DH238" s="68">
        <v>83406.301181671501</v>
      </c>
      <c r="DI238" s="69">
        <v>90282.957525940699</v>
      </c>
      <c r="DJ238" s="67">
        <v>13306.608009620701</v>
      </c>
      <c r="DK238" s="95">
        <v>14572.001805854799</v>
      </c>
      <c r="DL238" s="68">
        <v>14527.8375584852</v>
      </c>
      <c r="DM238" s="68">
        <v>12448.4567569068</v>
      </c>
      <c r="DN238" s="68">
        <v>46647.667451977402</v>
      </c>
      <c r="DO238" s="68">
        <v>106859.508897853</v>
      </c>
      <c r="DP238" s="68">
        <v>69239.930385746702</v>
      </c>
      <c r="DQ238" s="68">
        <v>93000.661334012198</v>
      </c>
      <c r="DR238" s="68">
        <v>91838.542894313403</v>
      </c>
      <c r="DS238" s="68">
        <v>70661.261257389706</v>
      </c>
      <c r="DT238" s="68">
        <v>85306.834319062706</v>
      </c>
      <c r="DU238" s="69">
        <v>94215.204025985004</v>
      </c>
      <c r="DV238" s="83">
        <v>11787.5223790252</v>
      </c>
      <c r="DW238" s="83">
        <v>8940.8496625804692</v>
      </c>
      <c r="DX238" s="83">
        <v>12478.851215927099</v>
      </c>
      <c r="DY238" s="83">
        <v>20016.569523116901</v>
      </c>
      <c r="DZ238" s="83">
        <v>25797.574359448201</v>
      </c>
      <c r="EA238" s="83">
        <v>74477.534929248694</v>
      </c>
      <c r="EB238" s="83">
        <v>73082.550580152601</v>
      </c>
      <c r="EC238" s="83">
        <v>81788.255426684802</v>
      </c>
      <c r="ED238" s="83">
        <v>91124.7331739293</v>
      </c>
      <c r="EE238" s="83">
        <v>65059.931492732598</v>
      </c>
      <c r="EF238" s="83">
        <v>76932.145873921298</v>
      </c>
      <c r="EG238" s="83">
        <v>78811.976287520301</v>
      </c>
      <c r="EH238" s="83">
        <v>16493.854398448701</v>
      </c>
      <c r="EI238" s="61">
        <v>24134.435328243799</v>
      </c>
      <c r="EJ238" s="61">
        <v>39429.222946697701</v>
      </c>
      <c r="EK238" s="61">
        <v>27944.316415125399</v>
      </c>
      <c r="EL238" s="61">
        <v>109874.035646875</v>
      </c>
      <c r="EM238" s="61">
        <v>70424.227862752901</v>
      </c>
      <c r="EN238" s="61">
        <v>62866.103241960504</v>
      </c>
      <c r="EO238" s="61">
        <v>93734.2365534899</v>
      </c>
      <c r="EP238" s="61">
        <v>52451.257378567498</v>
      </c>
      <c r="EQ238" s="61">
        <v>59652.968015008402</v>
      </c>
      <c r="ER238" s="61">
        <v>70647.054829233006</v>
      </c>
      <c r="ES238" s="61">
        <v>115276.512583763</v>
      </c>
      <c r="ET238" s="1">
        <v>29715.1</v>
      </c>
      <c r="EU238" s="1">
        <v>46180.29</v>
      </c>
      <c r="EV238" s="1">
        <v>18063.61</v>
      </c>
      <c r="EW238" s="1">
        <v>83410.44</v>
      </c>
      <c r="EX238" s="1">
        <v>66835.44</v>
      </c>
      <c r="EY238" s="1">
        <v>101713.07</v>
      </c>
      <c r="EZ238" s="1">
        <v>64477.0987594506</v>
      </c>
      <c r="FA238" s="1">
        <v>66897.638656822703</v>
      </c>
      <c r="FB238" s="1">
        <v>81136.2306110012</v>
      </c>
      <c r="FC238" s="1">
        <v>63047.619670820401</v>
      </c>
      <c r="FD238" s="1">
        <v>75085.686625534901</v>
      </c>
      <c r="FE238" s="1">
        <v>115252.463284371</v>
      </c>
      <c r="FF238" s="1">
        <v>5596.5</v>
      </c>
      <c r="FG238" s="1">
        <v>10696.96</v>
      </c>
      <c r="FH238" s="1">
        <v>76041.279999999999</v>
      </c>
      <c r="FI238" s="1">
        <v>41798.769999999997</v>
      </c>
      <c r="FJ238" s="1">
        <v>88788.45</v>
      </c>
      <c r="FK238" s="1">
        <v>110473.68</v>
      </c>
      <c r="FL238" s="1">
        <v>109565.42037740799</v>
      </c>
      <c r="FM238" s="1">
        <v>124419.692087547</v>
      </c>
      <c r="FN238" s="1">
        <v>85243.9915638331</v>
      </c>
      <c r="FO238" s="1">
        <v>60882.669422327897</v>
      </c>
      <c r="FP238" s="1">
        <v>95379.2224781322</v>
      </c>
      <c r="FQ238" s="1">
        <v>157547.37047075201</v>
      </c>
      <c r="FR238" s="63">
        <v>12379.87</v>
      </c>
      <c r="FS238" s="63">
        <v>97907.71</v>
      </c>
      <c r="FT238" s="63">
        <v>52092.02</v>
      </c>
      <c r="FU238" s="63">
        <v>14342.89</v>
      </c>
      <c r="FV238" s="63">
        <v>87152.16</v>
      </c>
      <c r="FW238" s="63">
        <v>95618.500074508702</v>
      </c>
      <c r="FX238" s="63">
        <v>89463.148411833201</v>
      </c>
      <c r="FY238" s="63">
        <v>91481.378510656199</v>
      </c>
      <c r="FZ238" s="63">
        <v>92226.930424869395</v>
      </c>
      <c r="GA238" s="63">
        <v>82798.0417050705</v>
      </c>
      <c r="GB238" s="63">
        <v>70363.117233735305</v>
      </c>
      <c r="GC238" s="63">
        <v>120717.022559327</v>
      </c>
      <c r="GE238" s="102">
        <f t="shared" ref="GE238:GE243" si="43">SUM(FR238:GD238)</f>
        <v>906542.78891999996</v>
      </c>
    </row>
    <row r="239" spans="1:187" ht="30">
      <c r="D239" s="59" t="str">
        <f t="shared" si="31"/>
        <v>7142p</v>
      </c>
      <c r="E239" s="60" t="s">
        <v>356</v>
      </c>
      <c r="F239" s="67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9"/>
      <c r="R239" s="67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9"/>
      <c r="AD239" s="67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9"/>
      <c r="AP239" s="67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9"/>
      <c r="BB239" s="67"/>
      <c r="BC239" s="68"/>
      <c r="BD239" s="68"/>
      <c r="BE239" s="68"/>
      <c r="BF239" s="68"/>
      <c r="BG239" s="68"/>
      <c r="BH239" s="68"/>
      <c r="BI239" s="68"/>
      <c r="BJ239" s="68"/>
      <c r="BK239" s="68"/>
      <c r="BL239" s="68"/>
      <c r="BM239" s="69"/>
      <c r="BN239" s="67"/>
      <c r="BO239" s="68"/>
      <c r="BP239" s="68"/>
      <c r="BQ239" s="68"/>
      <c r="BR239" s="68"/>
      <c r="BS239" s="68"/>
      <c r="BT239" s="68"/>
      <c r="BU239" s="68"/>
      <c r="BV239" s="68"/>
      <c r="BW239" s="68"/>
      <c r="BX239" s="68"/>
      <c r="BY239" s="69"/>
      <c r="BZ239" s="68"/>
      <c r="CA239" s="68"/>
      <c r="CB239" s="68"/>
      <c r="CC239" s="68"/>
      <c r="CD239" s="68"/>
      <c r="CE239" s="68"/>
      <c r="CF239" s="68"/>
      <c r="CG239" s="68"/>
      <c r="CH239" s="68"/>
      <c r="CI239" s="68"/>
      <c r="CJ239" s="68"/>
      <c r="CK239" s="68"/>
      <c r="CL239" s="67">
        <v>41340.351166230103</v>
      </c>
      <c r="CM239" s="68">
        <v>60139.779509022002</v>
      </c>
      <c r="CN239" s="68">
        <v>65829.577299673998</v>
      </c>
      <c r="CO239" s="68">
        <v>89073.1368762317</v>
      </c>
      <c r="CP239" s="68">
        <v>107142.13571005499</v>
      </c>
      <c r="CQ239" s="68">
        <v>116641.179689535</v>
      </c>
      <c r="CR239" s="68">
        <v>121973.85521456</v>
      </c>
      <c r="CS239" s="68">
        <v>148251.86009824899</v>
      </c>
      <c r="CT239" s="68">
        <v>118685.961212287</v>
      </c>
      <c r="CU239" s="68">
        <v>151103.61106134599</v>
      </c>
      <c r="CV239" s="68">
        <v>112378.63511750499</v>
      </c>
      <c r="CW239" s="69">
        <v>140815.613499067</v>
      </c>
      <c r="CX239" s="67">
        <v>68560.439383830206</v>
      </c>
      <c r="CY239" s="68">
        <v>158760.551687731</v>
      </c>
      <c r="CZ239" s="68">
        <v>86996.200905318707</v>
      </c>
      <c r="DA239" s="68">
        <v>139217.368097617</v>
      </c>
      <c r="DB239" s="68">
        <v>88290.272881141398</v>
      </c>
      <c r="DC239" s="68">
        <v>150975.511135493</v>
      </c>
      <c r="DD239" s="68">
        <v>282556.34547435498</v>
      </c>
      <c r="DE239" s="68">
        <v>250904.430657569</v>
      </c>
      <c r="DF239" s="68">
        <v>340061.28023376502</v>
      </c>
      <c r="DG239" s="68">
        <v>157592.48517262301</v>
      </c>
      <c r="DH239" s="68">
        <v>139352.606414946</v>
      </c>
      <c r="DI239" s="69">
        <v>134698.275328697</v>
      </c>
      <c r="DJ239" s="67">
        <v>163688.07967515601</v>
      </c>
      <c r="DK239" s="95">
        <v>90905.356869916795</v>
      </c>
      <c r="DL239" s="68">
        <v>98007.612822822397</v>
      </c>
      <c r="DM239" s="68">
        <v>91409.708454938504</v>
      </c>
      <c r="DN239" s="68">
        <v>78032.019925949106</v>
      </c>
      <c r="DO239" s="68">
        <v>150864.85486163199</v>
      </c>
      <c r="DP239" s="68">
        <v>256250.49292683299</v>
      </c>
      <c r="DQ239" s="68">
        <v>209293.89367173199</v>
      </c>
      <c r="DR239" s="68">
        <v>258949.165769935</v>
      </c>
      <c r="DS239" s="68">
        <v>189657.618267585</v>
      </c>
      <c r="DT239" s="68">
        <v>185172.68018158601</v>
      </c>
      <c r="DU239" s="69">
        <v>265693.59929246298</v>
      </c>
      <c r="DV239" s="83">
        <v>141244.66196443301</v>
      </c>
      <c r="DW239" s="83">
        <v>132627.57172060199</v>
      </c>
      <c r="DX239" s="83">
        <v>75022.932200219802</v>
      </c>
      <c r="DY239" s="83">
        <v>99216.551535189399</v>
      </c>
      <c r="DZ239" s="83">
        <v>110958.95952012201</v>
      </c>
      <c r="EA239" s="83">
        <v>214488.59675251599</v>
      </c>
      <c r="EB239" s="83">
        <v>274811.78746787802</v>
      </c>
      <c r="EC239" s="83">
        <v>201923.07696795699</v>
      </c>
      <c r="ED239" s="83">
        <v>241712.231217572</v>
      </c>
      <c r="EE239" s="83">
        <v>178290.12325369901</v>
      </c>
      <c r="EF239" s="83">
        <v>189660.52363995701</v>
      </c>
      <c r="EG239" s="83">
        <v>248031.79562019199</v>
      </c>
      <c r="EH239" s="83">
        <v>150122.61261312201</v>
      </c>
      <c r="EI239" s="61">
        <v>102680.854408706</v>
      </c>
      <c r="EJ239" s="61">
        <v>62000.041883971702</v>
      </c>
      <c r="EK239" s="61">
        <v>107257.854544594</v>
      </c>
      <c r="EL239" s="61">
        <v>140050.449064599</v>
      </c>
      <c r="EM239" s="61">
        <v>255365.590060424</v>
      </c>
      <c r="EN239" s="61">
        <v>315320.03175460699</v>
      </c>
      <c r="EO239" s="61">
        <v>302953.36524819297</v>
      </c>
      <c r="EP239" s="61">
        <v>84270.617288607202</v>
      </c>
      <c r="EQ239" s="61">
        <v>199541.61212652401</v>
      </c>
      <c r="ER239" s="61">
        <v>204496.39657477901</v>
      </c>
      <c r="ES239" s="61">
        <v>769036.78725756402</v>
      </c>
      <c r="ET239" s="1">
        <v>120406.14</v>
      </c>
      <c r="EU239" s="1">
        <v>138658.04999999999</v>
      </c>
      <c r="EV239" s="1">
        <v>485233.25</v>
      </c>
      <c r="EW239" s="1">
        <v>85828.09</v>
      </c>
      <c r="EX239" s="1">
        <v>283390.12</v>
      </c>
      <c r="EY239" s="1">
        <v>262222.99</v>
      </c>
      <c r="EZ239" s="1">
        <v>427823.77823206497</v>
      </c>
      <c r="FA239" s="1">
        <v>308480.23062630999</v>
      </c>
      <c r="FB239" s="1">
        <v>101554.753449453</v>
      </c>
      <c r="FC239" s="1">
        <v>490936.60624941101</v>
      </c>
      <c r="FD239" s="1">
        <v>422512.690319927</v>
      </c>
      <c r="FE239" s="1">
        <v>1131816.47968649</v>
      </c>
      <c r="FF239" s="1">
        <v>111165.46</v>
      </c>
      <c r="FG239" s="1">
        <v>101009.27</v>
      </c>
      <c r="FH239" s="1">
        <v>694197.59</v>
      </c>
      <c r="FI239" s="1">
        <v>315889.09000000003</v>
      </c>
      <c r="FJ239" s="1">
        <v>290980.86</v>
      </c>
      <c r="FK239" s="1">
        <v>135939.44</v>
      </c>
      <c r="FL239" s="1">
        <v>452053.82607907202</v>
      </c>
      <c r="FM239" s="1">
        <v>424603.35461978498</v>
      </c>
      <c r="FN239" s="1">
        <v>298337.42192308803</v>
      </c>
      <c r="FO239" s="1">
        <v>330273.506813007</v>
      </c>
      <c r="FP239" s="1">
        <v>280701.63213949901</v>
      </c>
      <c r="FQ239" s="1">
        <v>1019182.99802555</v>
      </c>
      <c r="FR239" s="63">
        <v>126343.77</v>
      </c>
      <c r="FS239" s="63">
        <v>175288.1</v>
      </c>
      <c r="FT239" s="63">
        <v>73729.09</v>
      </c>
      <c r="FU239" s="63">
        <v>146244.51</v>
      </c>
      <c r="FV239" s="63">
        <v>524686.37</v>
      </c>
      <c r="FW239" s="63">
        <v>150672.59794640401</v>
      </c>
      <c r="FX239" s="63">
        <v>443786.44059876399</v>
      </c>
      <c r="FY239" s="63">
        <v>354999.54099078698</v>
      </c>
      <c r="FZ239" s="63">
        <v>256234.922138494</v>
      </c>
      <c r="GA239" s="63">
        <v>204364.57933240899</v>
      </c>
      <c r="GB239" s="63">
        <v>21072.8924370247</v>
      </c>
      <c r="GC239" s="63">
        <v>1085869.6882861201</v>
      </c>
      <c r="GE239" s="102">
        <f t="shared" si="43"/>
        <v>3563292.5017300001</v>
      </c>
    </row>
    <row r="240" spans="1:187">
      <c r="D240" s="59" t="str">
        <f t="shared" si="31"/>
        <v>7143p</v>
      </c>
      <c r="E240" s="60" t="s">
        <v>358</v>
      </c>
      <c r="F240" s="67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9"/>
      <c r="R240" s="67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9"/>
      <c r="AD240" s="67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9"/>
      <c r="AP240" s="67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9"/>
      <c r="BB240" s="67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9"/>
      <c r="BN240" s="67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9"/>
      <c r="BZ240" s="68"/>
      <c r="CA240" s="68"/>
      <c r="CB240" s="68"/>
      <c r="CC240" s="68"/>
      <c r="CD240" s="68"/>
      <c r="CE240" s="68"/>
      <c r="CF240" s="68"/>
      <c r="CG240" s="68"/>
      <c r="CH240" s="68"/>
      <c r="CI240" s="68"/>
      <c r="CJ240" s="68"/>
      <c r="CK240" s="68"/>
      <c r="CL240" s="67">
        <v>247124.22503234999</v>
      </c>
      <c r="CM240" s="68">
        <v>2218.5560408142301</v>
      </c>
      <c r="CN240" s="68">
        <v>13432.2134242965</v>
      </c>
      <c r="CO240" s="68">
        <v>71796.626625634002</v>
      </c>
      <c r="CP240" s="68">
        <v>10921.3113270903</v>
      </c>
      <c r="CQ240" s="68">
        <v>234115.898847998</v>
      </c>
      <c r="CR240" s="68">
        <v>48074.023137452299</v>
      </c>
      <c r="CS240" s="68">
        <v>43662.795502239896</v>
      </c>
      <c r="CT240" s="68">
        <v>84724.058721427296</v>
      </c>
      <c r="CU240" s="68">
        <v>89541.155584392007</v>
      </c>
      <c r="CV240" s="68">
        <v>469.11923673154899</v>
      </c>
      <c r="CW240" s="69">
        <v>60078.090968156299</v>
      </c>
      <c r="CX240" s="67">
        <v>8283.3722056747192</v>
      </c>
      <c r="CY240" s="68">
        <v>438.42431824711201</v>
      </c>
      <c r="CZ240" s="68">
        <v>76941.5983412801</v>
      </c>
      <c r="DA240" s="68">
        <v>179198.951673011</v>
      </c>
      <c r="DB240" s="68">
        <v>22946.1599583405</v>
      </c>
      <c r="DC240" s="68">
        <v>1047.21382641881</v>
      </c>
      <c r="DD240" s="68">
        <v>1252.6546053293901</v>
      </c>
      <c r="DE240" s="68">
        <v>57902.127626807101</v>
      </c>
      <c r="DF240" s="68">
        <v>19062.836179061102</v>
      </c>
      <c r="DG240" s="68">
        <v>18058.764916213499</v>
      </c>
      <c r="DH240" s="68">
        <v>19001.902444036201</v>
      </c>
      <c r="DI240" s="69">
        <v>20239.874881699499</v>
      </c>
      <c r="DJ240" s="67">
        <v>2367.43391717843</v>
      </c>
      <c r="DK240" s="95">
        <v>0</v>
      </c>
      <c r="DL240" s="68">
        <v>40410.366903433598</v>
      </c>
      <c r="DM240" s="68">
        <v>43673.766030272498</v>
      </c>
      <c r="DN240" s="68">
        <v>48697.218049168499</v>
      </c>
      <c r="DO240" s="68">
        <v>28058.628252786799</v>
      </c>
      <c r="DP240" s="68">
        <v>28615.7177059932</v>
      </c>
      <c r="DQ240" s="68">
        <v>35942.611669914702</v>
      </c>
      <c r="DR240" s="68">
        <v>53119.201887165298</v>
      </c>
      <c r="DS240" s="68">
        <v>31178.040071409199</v>
      </c>
      <c r="DT240" s="68">
        <v>49058.246950393703</v>
      </c>
      <c r="DU240" s="69">
        <v>71740.127157925497</v>
      </c>
      <c r="DV240" s="83">
        <v>3284.78369653543</v>
      </c>
      <c r="DW240" s="83">
        <v>2269.3061967007202</v>
      </c>
      <c r="DX240" s="83">
        <v>27640.482074977201</v>
      </c>
      <c r="DY240" s="83">
        <v>58104.029527948303</v>
      </c>
      <c r="DZ240" s="83">
        <v>18881.251337257301</v>
      </c>
      <c r="EA240" s="83">
        <v>1369.6704992694799</v>
      </c>
      <c r="EB240" s="83">
        <v>8326.0861660274095</v>
      </c>
      <c r="EC240" s="83">
        <v>27290.235287487001</v>
      </c>
      <c r="ED240" s="83">
        <v>35610.663814501298</v>
      </c>
      <c r="EE240" s="83">
        <v>16810.881425862099</v>
      </c>
      <c r="EF240" s="83">
        <v>29508.7702724927</v>
      </c>
      <c r="EG240" s="83">
        <v>19168.269312206099</v>
      </c>
      <c r="EH240" s="83">
        <v>2965.0662544015599</v>
      </c>
      <c r="EI240" s="61">
        <v>3597.97531571437</v>
      </c>
      <c r="EJ240" s="61">
        <v>15939.888554557299</v>
      </c>
      <c r="EK240" s="61">
        <v>3578.47189801882</v>
      </c>
      <c r="EL240" s="61">
        <v>4107.8816220224699</v>
      </c>
      <c r="EM240" s="61">
        <v>10253.002002270399</v>
      </c>
      <c r="EN240" s="61">
        <v>10138.194284912201</v>
      </c>
      <c r="EO240" s="61">
        <v>12229.2990127229</v>
      </c>
      <c r="EP240" s="61">
        <v>8372.1443745187098</v>
      </c>
      <c r="EQ240" s="61">
        <v>54321.6046728742</v>
      </c>
      <c r="ER240" s="61">
        <v>23637.4861293914</v>
      </c>
      <c r="ES240" s="61">
        <v>29859.5716787446</v>
      </c>
      <c r="ET240" s="1">
        <v>1567.64</v>
      </c>
      <c r="EU240" s="1">
        <v>1648.75</v>
      </c>
      <c r="EV240" s="1">
        <v>4833.8900000000003</v>
      </c>
      <c r="EW240" s="1">
        <v>82035.429999999993</v>
      </c>
      <c r="EX240" s="1">
        <v>32311.79</v>
      </c>
      <c r="EY240" s="1">
        <v>65947.759999999995</v>
      </c>
      <c r="EZ240" s="1">
        <v>6439.5769781470799</v>
      </c>
      <c r="FA240" s="1">
        <v>6597.0523219903198</v>
      </c>
      <c r="FB240" s="1">
        <v>26781.3260603239</v>
      </c>
      <c r="FC240" s="1">
        <v>53280.576444127502</v>
      </c>
      <c r="FD240" s="1">
        <v>26370.2296477706</v>
      </c>
      <c r="FE240" s="1">
        <v>44853.954804359397</v>
      </c>
      <c r="FF240" s="1">
        <v>45324.14</v>
      </c>
      <c r="FG240" s="1">
        <v>46657.06</v>
      </c>
      <c r="FH240" s="1">
        <v>40888.620000000003</v>
      </c>
      <c r="FI240" s="1">
        <v>41064.94</v>
      </c>
      <c r="FJ240" s="1">
        <v>48239.28</v>
      </c>
      <c r="FK240" s="1">
        <v>41465.49</v>
      </c>
      <c r="FL240" s="1">
        <v>3829.68319686515</v>
      </c>
      <c r="FM240" s="1">
        <v>1139.12634581066</v>
      </c>
      <c r="FN240" s="1">
        <v>1590.8014385966801</v>
      </c>
      <c r="FO240" s="1">
        <v>39549.211171301598</v>
      </c>
      <c r="FP240" s="1">
        <v>24470.820853244801</v>
      </c>
      <c r="FQ240" s="1">
        <v>31293.971394181099</v>
      </c>
      <c r="FR240" s="63">
        <v>84.68</v>
      </c>
      <c r="FS240" s="63">
        <v>84.68</v>
      </c>
      <c r="FT240" s="63">
        <v>184.88</v>
      </c>
      <c r="FU240" s="63">
        <v>0</v>
      </c>
      <c r="FV240" s="63">
        <v>0</v>
      </c>
      <c r="FW240" s="63">
        <v>30379.106085038198</v>
      </c>
      <c r="FX240" s="63">
        <v>129315.301871902</v>
      </c>
      <c r="FY240" s="63">
        <v>60253.726515765302</v>
      </c>
      <c r="FZ240" s="63">
        <v>20026.917464461501</v>
      </c>
      <c r="GA240" s="63">
        <v>16138.795288368199</v>
      </c>
      <c r="GB240" s="63">
        <v>15168.596287377301</v>
      </c>
      <c r="GC240" s="63">
        <v>25664.134797087499</v>
      </c>
      <c r="GE240" s="102">
        <f t="shared" si="43"/>
        <v>297300.81831</v>
      </c>
    </row>
    <row r="241" spans="1:187" ht="30">
      <c r="D241" s="59" t="str">
        <f t="shared" si="31"/>
        <v>7144p</v>
      </c>
      <c r="E241" s="60" t="s">
        <v>359</v>
      </c>
      <c r="F241" s="67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9"/>
      <c r="R241" s="67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9"/>
      <c r="AD241" s="67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9"/>
      <c r="AP241" s="67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9"/>
      <c r="BB241" s="67"/>
      <c r="BC241" s="68"/>
      <c r="BD241" s="68"/>
      <c r="BE241" s="68"/>
      <c r="BF241" s="68"/>
      <c r="BG241" s="68"/>
      <c r="BH241" s="68"/>
      <c r="BI241" s="68"/>
      <c r="BJ241" s="68"/>
      <c r="BK241" s="68"/>
      <c r="BL241" s="68"/>
      <c r="BM241" s="69"/>
      <c r="BN241" s="67"/>
      <c r="BO241" s="68"/>
      <c r="BP241" s="68"/>
      <c r="BQ241" s="68"/>
      <c r="BR241" s="68"/>
      <c r="BS241" s="68"/>
      <c r="BT241" s="68"/>
      <c r="BU241" s="68"/>
      <c r="BV241" s="68"/>
      <c r="BW241" s="68"/>
      <c r="BX241" s="68"/>
      <c r="BY241" s="69"/>
      <c r="BZ241" s="68"/>
      <c r="CA241" s="68"/>
      <c r="CB241" s="68"/>
      <c r="CC241" s="68"/>
      <c r="CD241" s="68"/>
      <c r="CE241" s="68"/>
      <c r="CF241" s="68"/>
      <c r="CG241" s="68"/>
      <c r="CH241" s="68"/>
      <c r="CI241" s="68"/>
      <c r="CJ241" s="68"/>
      <c r="CK241" s="68"/>
      <c r="CL241" s="67">
        <v>179354.57666904401</v>
      </c>
      <c r="CM241" s="68">
        <v>243144.835710107</v>
      </c>
      <c r="CN241" s="68">
        <v>272906.32295692002</v>
      </c>
      <c r="CO241" s="68">
        <v>221192.91748194501</v>
      </c>
      <c r="CP241" s="68">
        <v>207998.45917902901</v>
      </c>
      <c r="CQ241" s="68">
        <v>199861.551346583</v>
      </c>
      <c r="CR241" s="68">
        <v>279922.60601668601</v>
      </c>
      <c r="CS241" s="68">
        <v>259024.349576084</v>
      </c>
      <c r="CT241" s="68">
        <v>163486.81222208301</v>
      </c>
      <c r="CU241" s="68">
        <v>229512.620164464</v>
      </c>
      <c r="CV241" s="68">
        <v>278941.99950558698</v>
      </c>
      <c r="CW241" s="69">
        <v>363990.48237281601</v>
      </c>
      <c r="CX241" s="67">
        <v>218156.888220964</v>
      </c>
      <c r="CY241" s="68">
        <v>255882.09299293201</v>
      </c>
      <c r="CZ241" s="68">
        <v>308454.01078105601</v>
      </c>
      <c r="DA241" s="68">
        <v>291256.03931849397</v>
      </c>
      <c r="DB241" s="68">
        <v>209319.05160094501</v>
      </c>
      <c r="DC241" s="68">
        <v>235732.32623325699</v>
      </c>
      <c r="DD241" s="68">
        <v>266247.77742806799</v>
      </c>
      <c r="DE241" s="68">
        <v>225983.32279932199</v>
      </c>
      <c r="DF241" s="68">
        <v>293786.09202076198</v>
      </c>
      <c r="DG241" s="68">
        <v>277605.57542804303</v>
      </c>
      <c r="DH241" s="68">
        <v>365063.292705231</v>
      </c>
      <c r="DI241" s="69">
        <v>318856.582094435</v>
      </c>
      <c r="DJ241" s="67">
        <v>319445.92309650203</v>
      </c>
      <c r="DK241" s="95">
        <v>318998.73382201698</v>
      </c>
      <c r="DL241" s="68">
        <v>294245.32468477899</v>
      </c>
      <c r="DM241" s="68">
        <v>265752.19135447999</v>
      </c>
      <c r="DN241" s="68">
        <v>214453.455395547</v>
      </c>
      <c r="DO241" s="68">
        <v>280565.80798209901</v>
      </c>
      <c r="DP241" s="68">
        <v>345425.660235469</v>
      </c>
      <c r="DQ241" s="68">
        <v>348533.94181510899</v>
      </c>
      <c r="DR241" s="68">
        <v>389407.98697328201</v>
      </c>
      <c r="DS241" s="68">
        <v>321498.02781153598</v>
      </c>
      <c r="DT241" s="68">
        <v>366619.64391910098</v>
      </c>
      <c r="DU241" s="69">
        <v>274723.21556605701</v>
      </c>
      <c r="DV241" s="83">
        <v>274866.61040622398</v>
      </c>
      <c r="DW241" s="83">
        <v>368642.02921443997</v>
      </c>
      <c r="DX241" s="83">
        <v>373455.37733147101</v>
      </c>
      <c r="DY241" s="83">
        <v>362572.87190317898</v>
      </c>
      <c r="DZ241" s="83">
        <v>341207.70178984402</v>
      </c>
      <c r="EA241" s="83">
        <v>415382.02702632401</v>
      </c>
      <c r="EB241" s="83">
        <v>509333.37649965502</v>
      </c>
      <c r="EC241" s="83">
        <v>579898.66962424305</v>
      </c>
      <c r="ED241" s="83">
        <v>598752.92395899503</v>
      </c>
      <c r="EE241" s="83">
        <v>463510.25181752001</v>
      </c>
      <c r="EF241" s="83">
        <v>525421.49813459103</v>
      </c>
      <c r="EG241" s="83">
        <v>549932.64107979101</v>
      </c>
      <c r="EH241" s="83">
        <v>492866.98583789798</v>
      </c>
      <c r="EI241" s="61">
        <v>683663.55508383305</v>
      </c>
      <c r="EJ241" s="61">
        <v>620353.08767352998</v>
      </c>
      <c r="EK241" s="61">
        <v>553422.43768276996</v>
      </c>
      <c r="EL241" s="61">
        <v>585803.27221383003</v>
      </c>
      <c r="EM241" s="61">
        <v>610193.81055610301</v>
      </c>
      <c r="EN241" s="61">
        <v>683917.63145641005</v>
      </c>
      <c r="EO241" s="61">
        <v>710331.74655200203</v>
      </c>
      <c r="EP241" s="61">
        <v>833999.64311835798</v>
      </c>
      <c r="EQ241" s="61">
        <v>992432.21106913104</v>
      </c>
      <c r="ER241" s="61">
        <v>707539.31377769203</v>
      </c>
      <c r="ES241" s="61">
        <v>833165.91557498602</v>
      </c>
      <c r="ET241" s="1">
        <v>564026.22</v>
      </c>
      <c r="EU241" s="1">
        <v>552007.56999999995</v>
      </c>
      <c r="EV241" s="1">
        <v>707063.83</v>
      </c>
      <c r="EW241" s="1">
        <v>581397.98</v>
      </c>
      <c r="EX241" s="1">
        <v>573080.97</v>
      </c>
      <c r="EY241" s="1">
        <v>1574566.11</v>
      </c>
      <c r="EZ241" s="1">
        <v>808813.86906079995</v>
      </c>
      <c r="FA241" s="1">
        <v>839144.32845080004</v>
      </c>
      <c r="FB241" s="1">
        <v>981148.10563879996</v>
      </c>
      <c r="FC241" s="1">
        <v>1163071.0112858</v>
      </c>
      <c r="FD241" s="1">
        <v>835937.86976180004</v>
      </c>
      <c r="FE241" s="1">
        <v>980190.7637288</v>
      </c>
      <c r="FF241" s="1">
        <v>654304.80000000005</v>
      </c>
      <c r="FG241" s="1">
        <v>660078.18000000005</v>
      </c>
      <c r="FH241" s="1">
        <v>634606.16</v>
      </c>
      <c r="FI241" s="1">
        <v>1775211.97</v>
      </c>
      <c r="FJ241" s="1">
        <v>687337.58</v>
      </c>
      <c r="FK241" s="1">
        <v>695892.2</v>
      </c>
      <c r="FL241" s="1">
        <v>963999.181961542</v>
      </c>
      <c r="FM241" s="1">
        <v>816976.60377219599</v>
      </c>
      <c r="FN241" s="1">
        <v>918213.34360661404</v>
      </c>
      <c r="FO241" s="1">
        <v>944800.52110534196</v>
      </c>
      <c r="FP241" s="1">
        <v>826436.47532958095</v>
      </c>
      <c r="FQ241" s="1">
        <v>903868.876824726</v>
      </c>
      <c r="FR241" s="63">
        <v>706117.19</v>
      </c>
      <c r="FS241" s="63">
        <v>791268.92</v>
      </c>
      <c r="FT241" s="63">
        <v>591906.53</v>
      </c>
      <c r="FU241" s="63">
        <v>76083.25</v>
      </c>
      <c r="FV241" s="63">
        <v>173594.14</v>
      </c>
      <c r="FW241" s="63">
        <v>558698.67019887303</v>
      </c>
      <c r="FX241" s="63">
        <v>523090.83688343602</v>
      </c>
      <c r="FY241" s="63">
        <v>616553.58959047298</v>
      </c>
      <c r="FZ241" s="63">
        <v>629501.79116292903</v>
      </c>
      <c r="GA241" s="63">
        <v>581505.15968900605</v>
      </c>
      <c r="GB241" s="63">
        <v>478910.86901672801</v>
      </c>
      <c r="GC241" s="63">
        <v>719153.33965855604</v>
      </c>
      <c r="GE241" s="102">
        <f t="shared" si="43"/>
        <v>6446384.2862</v>
      </c>
    </row>
    <row r="242" spans="1:187">
      <c r="D242" s="59" t="str">
        <f t="shared" si="31"/>
        <v>7148p</v>
      </c>
      <c r="E242" s="60" t="s">
        <v>364</v>
      </c>
      <c r="F242" s="67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9"/>
      <c r="R242" s="67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9"/>
      <c r="AD242" s="67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9"/>
      <c r="AP242" s="67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9"/>
      <c r="BB242" s="67"/>
      <c r="BC242" s="68"/>
      <c r="BD242" s="68"/>
      <c r="BE242" s="68"/>
      <c r="BF242" s="68"/>
      <c r="BG242" s="68"/>
      <c r="BH242" s="68"/>
      <c r="BI242" s="68"/>
      <c r="BJ242" s="68"/>
      <c r="BK242" s="68"/>
      <c r="BL242" s="68"/>
      <c r="BM242" s="69"/>
      <c r="BN242" s="67"/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9"/>
      <c r="BZ242" s="67"/>
      <c r="CA242" s="68"/>
      <c r="CB242" s="68"/>
      <c r="CC242" s="68"/>
      <c r="CD242" s="68"/>
      <c r="CE242" s="68"/>
      <c r="CF242" s="68"/>
      <c r="CG242" s="68"/>
      <c r="CH242" s="68"/>
      <c r="CI242" s="68"/>
      <c r="CJ242" s="68"/>
      <c r="CK242" s="68"/>
      <c r="CL242" s="67">
        <v>296047.35467364598</v>
      </c>
      <c r="CM242" s="68">
        <v>263097.27733410202</v>
      </c>
      <c r="CN242" s="68">
        <v>258207.787499367</v>
      </c>
      <c r="CO242" s="68">
        <v>252033.27327615599</v>
      </c>
      <c r="CP242" s="68">
        <v>393422.495669542</v>
      </c>
      <c r="CQ242" s="68">
        <v>426928.76100874098</v>
      </c>
      <c r="CR242" s="68">
        <v>419857.98023353901</v>
      </c>
      <c r="CS242" s="68">
        <v>387071.55225916702</v>
      </c>
      <c r="CT242" s="68">
        <v>657472.19588119397</v>
      </c>
      <c r="CU242" s="68">
        <v>206724.58866331101</v>
      </c>
      <c r="CV242" s="68">
        <v>263469.42623368697</v>
      </c>
      <c r="CW242" s="69">
        <v>214540.13832752799</v>
      </c>
      <c r="CX242" s="67">
        <v>183579.790656912</v>
      </c>
      <c r="CY242" s="68">
        <v>170354.41825383599</v>
      </c>
      <c r="CZ242" s="68">
        <v>210009.94619420799</v>
      </c>
      <c r="DA242" s="68">
        <v>251630.44241899301</v>
      </c>
      <c r="DB242" s="68">
        <v>223289.79532645899</v>
      </c>
      <c r="DC242" s="68">
        <v>351783.78129681002</v>
      </c>
      <c r="DD242" s="68">
        <v>404590.35850671597</v>
      </c>
      <c r="DE242" s="68">
        <v>357989.68957817397</v>
      </c>
      <c r="DF242" s="68">
        <v>250924.73032584501</v>
      </c>
      <c r="DG242" s="68">
        <v>578231.796213447</v>
      </c>
      <c r="DH242" s="68">
        <v>177457.81689161001</v>
      </c>
      <c r="DI242" s="69">
        <v>195909.451909884</v>
      </c>
      <c r="DJ242" s="67">
        <v>144822.062434466</v>
      </c>
      <c r="DK242" s="95">
        <v>125880.18416241799</v>
      </c>
      <c r="DL242" s="68">
        <v>219860.66482738699</v>
      </c>
      <c r="DM242" s="68">
        <v>274067.16827258799</v>
      </c>
      <c r="DN242" s="68">
        <v>306742.04201593</v>
      </c>
      <c r="DO242" s="68">
        <v>389633.80794307002</v>
      </c>
      <c r="DP242" s="68">
        <v>372762.78747373802</v>
      </c>
      <c r="DQ242" s="68">
        <v>482296.22835699603</v>
      </c>
      <c r="DR242" s="68">
        <v>293579.60102164699</v>
      </c>
      <c r="DS242" s="68">
        <v>356487.65089904401</v>
      </c>
      <c r="DT242" s="68">
        <v>219114.74615508801</v>
      </c>
      <c r="DU242" s="69">
        <v>237620.11436197901</v>
      </c>
      <c r="DV242" s="83">
        <v>84616.604724494304</v>
      </c>
      <c r="DW242" s="83">
        <v>77821.616741707505</v>
      </c>
      <c r="DX242" s="83">
        <v>106862.511335059</v>
      </c>
      <c r="DY242" s="83">
        <v>129716.10897599701</v>
      </c>
      <c r="DZ242" s="83">
        <v>222198.120952208</v>
      </c>
      <c r="EA242" s="83">
        <v>570153.49564384494</v>
      </c>
      <c r="EB242" s="83">
        <v>582555.39105268498</v>
      </c>
      <c r="EC242" s="83">
        <v>707919.34202449</v>
      </c>
      <c r="ED242" s="83">
        <v>744070.32411620195</v>
      </c>
      <c r="EE242" s="83">
        <v>535838.42520718498</v>
      </c>
      <c r="EF242" s="83">
        <v>376519.01470367698</v>
      </c>
      <c r="EG242" s="83">
        <v>237713.368931579</v>
      </c>
      <c r="EH242" s="83">
        <v>140693.51064336399</v>
      </c>
      <c r="EI242" s="61">
        <v>136488.86404189601</v>
      </c>
      <c r="EJ242" s="61">
        <v>273154.91395946802</v>
      </c>
      <c r="EK242" s="61">
        <v>248333.35994739999</v>
      </c>
      <c r="EL242" s="61">
        <v>276256.70449231</v>
      </c>
      <c r="EM242" s="61">
        <v>489335.93652258499</v>
      </c>
      <c r="EN242" s="61">
        <v>668072.73027239903</v>
      </c>
      <c r="EO242" s="61">
        <v>384274.41653134598</v>
      </c>
      <c r="EP242" s="61">
        <v>1019558.92217623</v>
      </c>
      <c r="EQ242" s="61">
        <v>289500.15704486897</v>
      </c>
      <c r="ER242" s="61">
        <v>274610.02074888599</v>
      </c>
      <c r="ES242" s="61">
        <v>354985.85812133102</v>
      </c>
      <c r="ET242" s="1">
        <v>202641</v>
      </c>
      <c r="EU242" s="1">
        <v>112102.37</v>
      </c>
      <c r="EV242" s="1">
        <v>275039.51</v>
      </c>
      <c r="EW242" s="1">
        <v>232219.69</v>
      </c>
      <c r="EX242" s="1">
        <v>259238.01</v>
      </c>
      <c r="EY242" s="1">
        <v>411052.69</v>
      </c>
      <c r="EZ242" s="1">
        <v>408608.91921992501</v>
      </c>
      <c r="FA242" s="1">
        <v>359052.29337502801</v>
      </c>
      <c r="FB242" s="1">
        <v>796654.93853226898</v>
      </c>
      <c r="FC242" s="1">
        <v>298305.85386800597</v>
      </c>
      <c r="FD242" s="1">
        <v>279151.264073017</v>
      </c>
      <c r="FE242" s="1">
        <v>330849.48508459103</v>
      </c>
      <c r="FF242" s="1">
        <v>106207.67</v>
      </c>
      <c r="FG242" s="1">
        <v>203595.89</v>
      </c>
      <c r="FH242" s="1">
        <v>241900.04</v>
      </c>
      <c r="FI242" s="1">
        <v>248172.78</v>
      </c>
      <c r="FJ242" s="1">
        <v>300826.94</v>
      </c>
      <c r="FK242" s="1">
        <v>367688.93</v>
      </c>
      <c r="FL242" s="1">
        <v>437561.45783439302</v>
      </c>
      <c r="FM242" s="1">
        <v>373492.30937615299</v>
      </c>
      <c r="FN242" s="1">
        <v>267665.67148390401</v>
      </c>
      <c r="FO242" s="1">
        <v>283675.59637904598</v>
      </c>
      <c r="FP242" s="1">
        <v>240308.10538930699</v>
      </c>
      <c r="FQ242" s="1">
        <v>241438.34133719601</v>
      </c>
      <c r="FR242" s="63">
        <v>229836.96</v>
      </c>
      <c r="FS242" s="63">
        <v>144224.95999999999</v>
      </c>
      <c r="FT242" s="63">
        <v>198115.36</v>
      </c>
      <c r="FU242" s="63">
        <v>91043.29</v>
      </c>
      <c r="FV242" s="63">
        <v>218874</v>
      </c>
      <c r="FW242" s="63">
        <v>338204.77919880103</v>
      </c>
      <c r="FX242" s="63">
        <v>445196.447013681</v>
      </c>
      <c r="FY242" s="63">
        <v>373812.03563066502</v>
      </c>
      <c r="FZ242" s="63">
        <v>286288.304303065</v>
      </c>
      <c r="GA242" s="63">
        <v>271753.55082468799</v>
      </c>
      <c r="GB242" s="63">
        <v>232228.02301403199</v>
      </c>
      <c r="GC242" s="63">
        <v>379120.54802506801</v>
      </c>
      <c r="GE242" s="102">
        <f t="shared" si="43"/>
        <v>3208698.25801</v>
      </c>
    </row>
    <row r="243" spans="1:187">
      <c r="D243" s="59" t="str">
        <f t="shared" si="31"/>
        <v>7149p</v>
      </c>
      <c r="E243" s="60" t="s">
        <v>365</v>
      </c>
      <c r="F243" s="67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9"/>
      <c r="R243" s="67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9"/>
      <c r="AD243" s="67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9"/>
      <c r="AP243" s="67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9"/>
      <c r="BB243" s="67"/>
      <c r="BC243" s="68"/>
      <c r="BD243" s="68"/>
      <c r="BE243" s="68"/>
      <c r="BF243" s="68"/>
      <c r="BG243" s="68"/>
      <c r="BH243" s="68"/>
      <c r="BI243" s="68"/>
      <c r="BJ243" s="68"/>
      <c r="BK243" s="68"/>
      <c r="BL243" s="68"/>
      <c r="BM243" s="69"/>
      <c r="BN243" s="67"/>
      <c r="BO243" s="68"/>
      <c r="BP243" s="68"/>
      <c r="BQ243" s="68"/>
      <c r="BR243" s="68"/>
      <c r="BS243" s="68"/>
      <c r="BT243" s="68"/>
      <c r="BU243" s="68"/>
      <c r="BV243" s="68"/>
      <c r="BW243" s="68"/>
      <c r="BX243" s="68"/>
      <c r="BY243" s="69"/>
      <c r="BZ243" s="67"/>
      <c r="CA243" s="68"/>
      <c r="CB243" s="68"/>
      <c r="CC243" s="68"/>
      <c r="CD243" s="68"/>
      <c r="CE243" s="68"/>
      <c r="CF243" s="68"/>
      <c r="CG243" s="68"/>
      <c r="CH243" s="68"/>
      <c r="CI243" s="68"/>
      <c r="CJ243" s="68"/>
      <c r="CK243" s="68"/>
      <c r="CL243" s="67">
        <v>143936.23583426699</v>
      </c>
      <c r="CM243" s="68">
        <v>276953.595918704</v>
      </c>
      <c r="CN243" s="68">
        <v>153923.92339675699</v>
      </c>
      <c r="CO243" s="68">
        <v>884797.20269732899</v>
      </c>
      <c r="CP243" s="68">
        <v>182474.896654251</v>
      </c>
      <c r="CQ243" s="68">
        <v>168082.99010499701</v>
      </c>
      <c r="CR243" s="68">
        <v>1091742.0879387299</v>
      </c>
      <c r="CS243" s="68">
        <v>151004.93896900999</v>
      </c>
      <c r="CT243" s="68">
        <v>209496.32691722401</v>
      </c>
      <c r="CU243" s="68">
        <v>301002.38443604601</v>
      </c>
      <c r="CV243" s="68">
        <v>153753.64206304701</v>
      </c>
      <c r="CW243" s="69">
        <v>256163.445943172</v>
      </c>
      <c r="CX243" s="67">
        <v>382691.86892301001</v>
      </c>
      <c r="CY243" s="68">
        <v>546360.51911575894</v>
      </c>
      <c r="CZ243" s="68">
        <v>688986.50015430397</v>
      </c>
      <c r="DA243" s="68">
        <v>98711.216119666002</v>
      </c>
      <c r="DB243" s="68">
        <v>73947.373394466398</v>
      </c>
      <c r="DC243" s="68">
        <v>139461.13398961801</v>
      </c>
      <c r="DD243" s="68">
        <v>160571.296958438</v>
      </c>
      <c r="DE243" s="68">
        <v>94937.004587921605</v>
      </c>
      <c r="DF243" s="68">
        <v>323212.76571102598</v>
      </c>
      <c r="DG243" s="68">
        <v>164139.83342686199</v>
      </c>
      <c r="DH243" s="68">
        <v>452436.956439993</v>
      </c>
      <c r="DI243" s="69">
        <v>155701.09690783499</v>
      </c>
      <c r="DJ243" s="67">
        <v>494636.873282341</v>
      </c>
      <c r="DK243" s="95">
        <v>206127.48968652901</v>
      </c>
      <c r="DL243" s="68">
        <v>117844.643738613</v>
      </c>
      <c r="DM243" s="68">
        <v>29005.833178814501</v>
      </c>
      <c r="DN243" s="68">
        <v>438636.16407623101</v>
      </c>
      <c r="DO243" s="68">
        <v>311120.38779153401</v>
      </c>
      <c r="DP243" s="68">
        <v>270623.02589880402</v>
      </c>
      <c r="DQ243" s="68">
        <v>57689.035864547797</v>
      </c>
      <c r="DR243" s="68">
        <v>181573.796390617</v>
      </c>
      <c r="DS243" s="68">
        <v>408871.07209410297</v>
      </c>
      <c r="DT243" s="68">
        <v>218163.612194741</v>
      </c>
      <c r="DU243" s="69">
        <v>398488.78284660197</v>
      </c>
      <c r="DV243" s="83">
        <v>314822.27660891699</v>
      </c>
      <c r="DW243" s="83">
        <v>251374.003640913</v>
      </c>
      <c r="DX243" s="83">
        <v>500426.12967162399</v>
      </c>
      <c r="DY243" s="83">
        <v>133480.47206815399</v>
      </c>
      <c r="DZ243" s="83">
        <v>477973.76453493501</v>
      </c>
      <c r="EA243" s="83">
        <v>369320.42172196502</v>
      </c>
      <c r="EB243" s="83">
        <v>466505.684540494</v>
      </c>
      <c r="EC243" s="83">
        <v>158283.98513983801</v>
      </c>
      <c r="ED243" s="83">
        <v>287020.68556600402</v>
      </c>
      <c r="EE243" s="83">
        <v>922467.94211029995</v>
      </c>
      <c r="EF243" s="83">
        <v>310738.11720032198</v>
      </c>
      <c r="EG243" s="83">
        <v>401682.03749825899</v>
      </c>
      <c r="EH243" s="83">
        <v>879313.81627739104</v>
      </c>
      <c r="EI243" s="61">
        <v>281749.44570617698</v>
      </c>
      <c r="EJ243" s="61">
        <v>321869.95743084699</v>
      </c>
      <c r="EK243" s="61">
        <v>1034996.18043421</v>
      </c>
      <c r="EL243" s="61">
        <v>263868.692030787</v>
      </c>
      <c r="EM243" s="61">
        <v>387671.99464153399</v>
      </c>
      <c r="EN243" s="61">
        <v>1080476.3643678499</v>
      </c>
      <c r="EO243" s="61">
        <v>347417.39223819802</v>
      </c>
      <c r="EP243" s="61">
        <v>467416.387641059</v>
      </c>
      <c r="EQ243" s="61">
        <v>1197599.8571213901</v>
      </c>
      <c r="ER243" s="61">
        <v>359542.15693615901</v>
      </c>
      <c r="ES243" s="61">
        <v>349379.09851760103</v>
      </c>
      <c r="ET243" s="1">
        <v>856147.47</v>
      </c>
      <c r="EU243" s="1">
        <v>1035296.43</v>
      </c>
      <c r="EV243" s="1">
        <v>510978.97</v>
      </c>
      <c r="EW243" s="1">
        <v>1324875.1499999999</v>
      </c>
      <c r="EX243" s="1">
        <v>315868.19</v>
      </c>
      <c r="EY243" s="1">
        <v>444544.73</v>
      </c>
      <c r="EZ243" s="1">
        <v>1052819.6538434201</v>
      </c>
      <c r="FA243" s="1">
        <v>298793.30344781699</v>
      </c>
      <c r="FB243" s="1">
        <v>466155.73767239897</v>
      </c>
      <c r="FC243" s="1">
        <v>993979.36175438797</v>
      </c>
      <c r="FD243" s="1">
        <v>518464.28015413397</v>
      </c>
      <c r="FE243" s="1">
        <v>761492.32575512095</v>
      </c>
      <c r="FF243" s="1">
        <v>1392404.68</v>
      </c>
      <c r="FG243" s="1">
        <v>519360.5</v>
      </c>
      <c r="FH243" s="1">
        <v>720883.81</v>
      </c>
      <c r="FI243" s="1">
        <v>887995.83</v>
      </c>
      <c r="FJ243" s="1">
        <v>376418.09</v>
      </c>
      <c r="FK243" s="1">
        <v>729681.57</v>
      </c>
      <c r="FL243" s="1">
        <v>1844605.8128453901</v>
      </c>
      <c r="FM243" s="1">
        <v>628508.80236499</v>
      </c>
      <c r="FN243" s="1">
        <v>937985.35482457001</v>
      </c>
      <c r="FO243" s="1">
        <v>1627558.8697496799</v>
      </c>
      <c r="FP243" s="1">
        <v>1144694.2395774999</v>
      </c>
      <c r="FQ243" s="1">
        <v>1000206.07743787</v>
      </c>
      <c r="FR243" s="63">
        <v>1151964.46</v>
      </c>
      <c r="FS243" s="63">
        <v>991840.42</v>
      </c>
      <c r="FT243" s="63">
        <v>401940.03</v>
      </c>
      <c r="FU243" s="63">
        <v>1270137.42</v>
      </c>
      <c r="FV243" s="63">
        <v>669547.06999999995</v>
      </c>
      <c r="FW243" s="63">
        <v>1005917.22085374</v>
      </c>
      <c r="FX243" s="63">
        <v>940256.66114295798</v>
      </c>
      <c r="FY243" s="63">
        <v>328280.31777032098</v>
      </c>
      <c r="FZ243" s="63">
        <v>879534.17323934298</v>
      </c>
      <c r="GA243" s="63">
        <v>838669.09604718699</v>
      </c>
      <c r="GB243" s="63">
        <v>699947.54693188099</v>
      </c>
      <c r="GC243" s="63">
        <v>1224998.82889457</v>
      </c>
      <c r="GE243" s="102">
        <f t="shared" si="43"/>
        <v>10403033.24488</v>
      </c>
    </row>
    <row r="244" spans="1:187" s="2" customFormat="1">
      <c r="A244" s="71"/>
      <c r="B244" s="71"/>
      <c r="C244" s="71">
        <v>715</v>
      </c>
      <c r="D244" s="71" t="str">
        <f t="shared" si="31"/>
        <v>715p</v>
      </c>
      <c r="E244" s="72" t="s">
        <v>142</v>
      </c>
      <c r="F244" s="73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5"/>
      <c r="R244" s="73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5"/>
      <c r="AD244" s="73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5"/>
      <c r="AP244" s="73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5"/>
      <c r="BB244" s="73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5"/>
      <c r="BN244" s="73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5"/>
      <c r="BZ244" s="73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3">
        <f t="shared" ref="CL244:DU244" si="44">+SUM(CL245:CL248)</f>
        <v>923442.34291329095</v>
      </c>
      <c r="CM244" s="74">
        <f t="shared" si="44"/>
        <v>1777418.9190493899</v>
      </c>
      <c r="CN244" s="74">
        <f t="shared" si="44"/>
        <v>2321412.8253925699</v>
      </c>
      <c r="CO244" s="74">
        <f t="shared" si="44"/>
        <v>1637829.25357359</v>
      </c>
      <c r="CP244" s="74">
        <f t="shared" si="44"/>
        <v>1886272.77177103</v>
      </c>
      <c r="CQ244" s="74">
        <f t="shared" si="44"/>
        <v>1533956.11443653</v>
      </c>
      <c r="CR244" s="74">
        <f t="shared" si="44"/>
        <v>3092390.5965000298</v>
      </c>
      <c r="CS244" s="74">
        <f t="shared" si="44"/>
        <v>2409748.3951187199</v>
      </c>
      <c r="CT244" s="74">
        <f t="shared" si="44"/>
        <v>1476812.08610617</v>
      </c>
      <c r="CU244" s="74">
        <f t="shared" si="44"/>
        <v>1888437.41290446</v>
      </c>
      <c r="CV244" s="74">
        <f t="shared" si="44"/>
        <v>2006775.4309992499</v>
      </c>
      <c r="CW244" s="75">
        <f t="shared" si="44"/>
        <v>8463643.2651979905</v>
      </c>
      <c r="CX244" s="73">
        <f t="shared" si="44"/>
        <v>2128432.1735986099</v>
      </c>
      <c r="CY244" s="74">
        <f t="shared" si="44"/>
        <v>1320017.46429911</v>
      </c>
      <c r="CZ244" s="74">
        <f t="shared" si="44"/>
        <v>1521512.06841508</v>
      </c>
      <c r="DA244" s="74">
        <f t="shared" si="44"/>
        <v>2595680.0159037299</v>
      </c>
      <c r="DB244" s="74">
        <f t="shared" si="44"/>
        <v>2783027.0466008899</v>
      </c>
      <c r="DC244" s="74">
        <f t="shared" si="44"/>
        <v>1934475.5951932</v>
      </c>
      <c r="DD244" s="74">
        <f t="shared" si="44"/>
        <v>3103592.0848331698</v>
      </c>
      <c r="DE244" s="74">
        <f t="shared" si="44"/>
        <v>2451881.0862679598</v>
      </c>
      <c r="DF244" s="74">
        <f t="shared" si="44"/>
        <v>2469058.8016255298</v>
      </c>
      <c r="DG244" s="74">
        <f t="shared" si="44"/>
        <v>2200822.8981059198</v>
      </c>
      <c r="DH244" s="74">
        <f t="shared" si="44"/>
        <v>4135986.1632531201</v>
      </c>
      <c r="DI244" s="75">
        <f t="shared" si="44"/>
        <v>4766285.5166419102</v>
      </c>
      <c r="DJ244" s="73">
        <f t="shared" si="44"/>
        <v>2409154.3623507498</v>
      </c>
      <c r="DK244" s="96">
        <f t="shared" si="44"/>
        <v>1483280.3928009099</v>
      </c>
      <c r="DL244" s="74">
        <f t="shared" si="44"/>
        <v>2006908.174538</v>
      </c>
      <c r="DM244" s="74">
        <f t="shared" si="44"/>
        <v>3182289.9559581201</v>
      </c>
      <c r="DN244" s="74">
        <f t="shared" si="44"/>
        <v>4231375.2243007198</v>
      </c>
      <c r="DO244" s="74">
        <f t="shared" si="44"/>
        <v>3386393.9761406598</v>
      </c>
      <c r="DP244" s="74">
        <f t="shared" si="44"/>
        <v>3090446.9975072802</v>
      </c>
      <c r="DQ244" s="74">
        <f t="shared" si="44"/>
        <v>3087498.4129390102</v>
      </c>
      <c r="DR244" s="74">
        <f t="shared" si="44"/>
        <v>2917378.1773198</v>
      </c>
      <c r="DS244" s="74">
        <f t="shared" si="44"/>
        <v>2584038.1357656401</v>
      </c>
      <c r="DT244" s="74">
        <f t="shared" si="44"/>
        <v>3191275.8352530799</v>
      </c>
      <c r="DU244" s="75">
        <f t="shared" si="44"/>
        <v>5396946.6881590197</v>
      </c>
      <c r="DV244" s="97">
        <f t="shared" ref="DV244:ES244" si="45">SUM(DV245:DV248)</f>
        <v>3695677.3428100101</v>
      </c>
      <c r="DW244" s="97">
        <f t="shared" si="45"/>
        <v>2748948.1269429899</v>
      </c>
      <c r="DX244" s="97">
        <f t="shared" si="45"/>
        <v>3437534.4688711101</v>
      </c>
      <c r="DY244" s="97">
        <f t="shared" si="45"/>
        <v>4310053.4851113996</v>
      </c>
      <c r="DZ244" s="97">
        <f t="shared" si="45"/>
        <v>4691720.2243610397</v>
      </c>
      <c r="EA244" s="97">
        <f t="shared" si="45"/>
        <v>7347424.3207463697</v>
      </c>
      <c r="EB244" s="97">
        <f t="shared" si="45"/>
        <v>7513005.0166636901</v>
      </c>
      <c r="EC244" s="97">
        <f t="shared" si="45"/>
        <v>7727362.0985374805</v>
      </c>
      <c r="ED244" s="97">
        <f t="shared" si="45"/>
        <v>3713024.1621761601</v>
      </c>
      <c r="EE244" s="97">
        <f t="shared" si="45"/>
        <v>3090680.5408276799</v>
      </c>
      <c r="EF244" s="97">
        <f t="shared" si="45"/>
        <v>3793073.2615852002</v>
      </c>
      <c r="EG244" s="97">
        <f t="shared" si="45"/>
        <v>6660284.6574711399</v>
      </c>
      <c r="EH244" s="97">
        <f t="shared" si="45"/>
        <v>1168350.43025555</v>
      </c>
      <c r="EI244" s="97">
        <f t="shared" si="45"/>
        <v>1798869.4036121301</v>
      </c>
      <c r="EJ244" s="97">
        <f t="shared" si="45"/>
        <v>4217567.8031770103</v>
      </c>
      <c r="EK244" s="97">
        <f t="shared" si="45"/>
        <v>4791550.5507069696</v>
      </c>
      <c r="EL244" s="97">
        <f t="shared" si="45"/>
        <v>2759327.84960968</v>
      </c>
      <c r="EM244" s="97">
        <f t="shared" si="45"/>
        <v>4234177.9201608701</v>
      </c>
      <c r="EN244" s="97">
        <f t="shared" si="45"/>
        <v>2756294.0427416698</v>
      </c>
      <c r="EO244" s="97">
        <f t="shared" si="45"/>
        <v>3422485.78977984</v>
      </c>
      <c r="EP244" s="97">
        <f t="shared" si="45"/>
        <v>2475503.0918674301</v>
      </c>
      <c r="EQ244" s="97">
        <f t="shared" si="45"/>
        <v>2324139.16516069</v>
      </c>
      <c r="ER244" s="97">
        <f t="shared" si="45"/>
        <v>2273693.8538731402</v>
      </c>
      <c r="ES244" s="97">
        <f t="shared" si="45"/>
        <v>5169176.3101685103</v>
      </c>
      <c r="ET244" s="98">
        <v>2425520.81</v>
      </c>
      <c r="EU244" s="98">
        <v>1609741.96</v>
      </c>
      <c r="EV244" s="98">
        <v>2046839.31</v>
      </c>
      <c r="EW244" s="98">
        <v>5482431.4299999997</v>
      </c>
      <c r="EX244" s="98">
        <v>2151437.83</v>
      </c>
      <c r="EY244" s="98">
        <v>2740294.16</v>
      </c>
      <c r="EZ244" s="98">
        <v>3610099.6149460999</v>
      </c>
      <c r="FA244" s="98">
        <v>2856432.7673175</v>
      </c>
      <c r="FB244" s="98">
        <v>38693622.019299202</v>
      </c>
      <c r="FC244" s="98">
        <v>3080614.3453884399</v>
      </c>
      <c r="FD244" s="98">
        <v>2054798.3756645599</v>
      </c>
      <c r="FE244" s="98">
        <v>4981072.0471647903</v>
      </c>
      <c r="FF244" s="99">
        <v>1567288.04</v>
      </c>
      <c r="FG244" s="99">
        <v>2199531.1</v>
      </c>
      <c r="FH244" s="99">
        <v>3194097.81</v>
      </c>
      <c r="FI244" s="99">
        <v>2385711.15</v>
      </c>
      <c r="FJ244" s="99">
        <v>7159438.3899999997</v>
      </c>
      <c r="FK244" s="99">
        <v>3263135.44</v>
      </c>
      <c r="FL244" s="99">
        <v>3782335.0282840999</v>
      </c>
      <c r="FM244" s="99">
        <v>3340173.0404689498</v>
      </c>
      <c r="FN244" s="99">
        <f>37689732.0664406-35000000</f>
        <v>2689732.0664406</v>
      </c>
      <c r="FO244" s="99">
        <f>2215962.80977053+35000000</f>
        <v>37215962.809770502</v>
      </c>
      <c r="FP244" s="99">
        <v>3512092.3071244601</v>
      </c>
      <c r="FQ244" s="99">
        <v>7138953.7303113202</v>
      </c>
      <c r="FR244" s="100">
        <f>SUM(FR245:FR248)</f>
        <v>1484714.27</v>
      </c>
      <c r="FS244" s="100">
        <f t="shared" ref="FS244:GC244" si="46">SUM(FS245:FS248)</f>
        <v>2100277.88</v>
      </c>
      <c r="FT244" s="100">
        <f t="shared" si="46"/>
        <v>4248499.3600000003</v>
      </c>
      <c r="FU244" s="100">
        <f t="shared" si="46"/>
        <v>1617752.38</v>
      </c>
      <c r="FV244" s="100">
        <f t="shared" si="46"/>
        <v>1237245.3600000001</v>
      </c>
      <c r="FW244" s="100">
        <f t="shared" si="46"/>
        <v>2257816.0682841102</v>
      </c>
      <c r="FX244" s="100">
        <f t="shared" si="46"/>
        <v>5692253.8149066595</v>
      </c>
      <c r="FY244" s="100">
        <f t="shared" si="46"/>
        <v>4621203.3620386403</v>
      </c>
      <c r="FZ244" s="100">
        <f t="shared" si="46"/>
        <v>17537126.9152207</v>
      </c>
      <c r="GA244" s="100">
        <f t="shared" si="46"/>
        <v>3831817.5735939299</v>
      </c>
      <c r="GB244" s="100">
        <f t="shared" si="46"/>
        <v>3619302.6260553901</v>
      </c>
      <c r="GC244" s="100">
        <f t="shared" si="46"/>
        <v>4678583.5639540702</v>
      </c>
      <c r="GE244" s="101">
        <f>SUM(FR244:GC244)</f>
        <v>52926593.174053498</v>
      </c>
    </row>
    <row r="245" spans="1:187">
      <c r="D245" s="59" t="str">
        <f t="shared" si="31"/>
        <v>7151p</v>
      </c>
      <c r="E245" s="60" t="s">
        <v>366</v>
      </c>
      <c r="F245" s="67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9"/>
      <c r="R245" s="67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9"/>
      <c r="AD245" s="67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9"/>
      <c r="AP245" s="67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9"/>
      <c r="BB245" s="67"/>
      <c r="BC245" s="68"/>
      <c r="BD245" s="68"/>
      <c r="BE245" s="68"/>
      <c r="BF245" s="68"/>
      <c r="BG245" s="68"/>
      <c r="BH245" s="68"/>
      <c r="BI245" s="68"/>
      <c r="BJ245" s="68"/>
      <c r="BK245" s="68"/>
      <c r="BL245" s="68"/>
      <c r="BM245" s="69"/>
      <c r="BN245" s="67"/>
      <c r="BO245" s="68"/>
      <c r="BP245" s="68"/>
      <c r="BQ245" s="68"/>
      <c r="BR245" s="68"/>
      <c r="BS245" s="68"/>
      <c r="BT245" s="68"/>
      <c r="BU245" s="68"/>
      <c r="BV245" s="68"/>
      <c r="BW245" s="68"/>
      <c r="BX245" s="68"/>
      <c r="BY245" s="69"/>
      <c r="BZ245" s="67"/>
      <c r="CA245" s="68"/>
      <c r="CB245" s="68"/>
      <c r="CC245" s="68"/>
      <c r="CD245" s="68"/>
      <c r="CE245" s="68"/>
      <c r="CF245" s="68"/>
      <c r="CG245" s="68"/>
      <c r="CH245" s="68"/>
      <c r="CI245" s="68"/>
      <c r="CJ245" s="68"/>
      <c r="CK245" s="68"/>
      <c r="CL245" s="67">
        <v>98721.240703580406</v>
      </c>
      <c r="CM245" s="68">
        <v>199006.95546478499</v>
      </c>
      <c r="CN245" s="68">
        <v>292621.907293392</v>
      </c>
      <c r="CO245" s="68">
        <v>284997.00106043299</v>
      </c>
      <c r="CP245" s="68">
        <v>65352.2923161418</v>
      </c>
      <c r="CQ245" s="68">
        <v>88560.434385360495</v>
      </c>
      <c r="CR245" s="68">
        <v>1239363.1697599101</v>
      </c>
      <c r="CS245" s="68">
        <v>88219.9360511673</v>
      </c>
      <c r="CT245" s="68">
        <v>39016.234769396302</v>
      </c>
      <c r="CU245" s="68">
        <v>27677.4051063644</v>
      </c>
      <c r="CV245" s="68">
        <v>537263.99134649802</v>
      </c>
      <c r="CW245" s="69">
        <v>5854494.6857544603</v>
      </c>
      <c r="CX245" s="67">
        <v>9591.9361269248802</v>
      </c>
      <c r="CY245" s="68">
        <v>14192.5275529461</v>
      </c>
      <c r="CZ245" s="68">
        <v>42685.597995647302</v>
      </c>
      <c r="DA245" s="68">
        <v>907796.75200147997</v>
      </c>
      <c r="DB245" s="68">
        <v>233793.933297004</v>
      </c>
      <c r="DC245" s="68">
        <v>104006.289816224</v>
      </c>
      <c r="DD245" s="68">
        <v>72531.959400060397</v>
      </c>
      <c r="DE245" s="68">
        <v>7130.6443796449703</v>
      </c>
      <c r="DF245" s="68">
        <v>29236.203122810301</v>
      </c>
      <c r="DG245" s="68">
        <v>68741.409645039297</v>
      </c>
      <c r="DH245" s="68">
        <v>1926287.3644220899</v>
      </c>
      <c r="DI245" s="69">
        <v>2117612.1246805601</v>
      </c>
      <c r="DJ245" s="67">
        <v>835593.46597761498</v>
      </c>
      <c r="DK245" s="95">
        <v>16641.154904242099</v>
      </c>
      <c r="DL245" s="68">
        <v>83325.284891318297</v>
      </c>
      <c r="DM245" s="68">
        <v>1049974.21989057</v>
      </c>
      <c r="DN245" s="68">
        <v>1266544.8347054501</v>
      </c>
      <c r="DO245" s="68">
        <v>126965.33533716299</v>
      </c>
      <c r="DP245" s="68">
        <v>210938.68314856701</v>
      </c>
      <c r="DQ245" s="68">
        <v>44371.297523195302</v>
      </c>
      <c r="DR245" s="68">
        <v>243990.78190129899</v>
      </c>
      <c r="DS245" s="68">
        <v>351811.91558337398</v>
      </c>
      <c r="DT245" s="68">
        <v>945388.91983147396</v>
      </c>
      <c r="DU245" s="69">
        <v>1488732.9835949701</v>
      </c>
      <c r="DV245" s="83">
        <v>622243.43742548802</v>
      </c>
      <c r="DW245" s="83">
        <v>21734.434026843701</v>
      </c>
      <c r="DX245" s="83">
        <v>281340.35395874397</v>
      </c>
      <c r="DY245" s="83">
        <v>1019759.82936973</v>
      </c>
      <c r="DZ245" s="83">
        <v>384420.98845440202</v>
      </c>
      <c r="EA245" s="83">
        <v>120000</v>
      </c>
      <c r="EB245" s="83">
        <v>120000</v>
      </c>
      <c r="EC245" s="83">
        <v>120000</v>
      </c>
      <c r="ED245" s="83">
        <v>120000</v>
      </c>
      <c r="EE245" s="83">
        <v>120000</v>
      </c>
      <c r="EF245" s="83">
        <v>355667.30266589002</v>
      </c>
      <c r="EG245" s="83">
        <v>470066.24805447197</v>
      </c>
      <c r="EH245" s="83">
        <v>30048.6449295284</v>
      </c>
      <c r="EI245" s="61">
        <v>80473.644045489506</v>
      </c>
      <c r="EJ245" s="61">
        <v>1404189.0939060899</v>
      </c>
      <c r="EK245" s="61">
        <v>1328416.2006138801</v>
      </c>
      <c r="EL245" s="61">
        <v>450581.90470515302</v>
      </c>
      <c r="EM245" s="61">
        <v>900688.67790029501</v>
      </c>
      <c r="EN245" s="61">
        <v>22280.476069529199</v>
      </c>
      <c r="EO245" s="61">
        <v>442373.01667031902</v>
      </c>
      <c r="EP245" s="61">
        <v>67111.538100177306</v>
      </c>
      <c r="EQ245" s="61">
        <v>10991.8597291117</v>
      </c>
      <c r="ER245" s="61">
        <v>211979.94954489899</v>
      </c>
      <c r="ES245" s="61">
        <v>111649.123115793</v>
      </c>
      <c r="ET245" s="1">
        <v>757682.7</v>
      </c>
      <c r="EU245" s="1">
        <v>26758.59</v>
      </c>
      <c r="EV245" s="1">
        <v>211659.24</v>
      </c>
      <c r="EW245" s="1">
        <v>1943319.77</v>
      </c>
      <c r="EX245" s="1">
        <v>60036.480000000003</v>
      </c>
      <c r="EY245" s="1">
        <v>94564.29</v>
      </c>
      <c r="EZ245" s="1">
        <v>500000</v>
      </c>
      <c r="FA245" s="1">
        <v>46562.556250299996</v>
      </c>
      <c r="FB245" s="1">
        <v>36675374.437274903</v>
      </c>
      <c r="FC245" s="1">
        <v>21499.427390571302</v>
      </c>
      <c r="FD245" s="1">
        <v>75015.8176629925</v>
      </c>
      <c r="FE245" s="1">
        <v>391669.17944445799</v>
      </c>
      <c r="FF245" s="1">
        <v>319074</v>
      </c>
      <c r="FG245" s="1">
        <v>248883.21</v>
      </c>
      <c r="FH245" s="1">
        <v>186917.08</v>
      </c>
      <c r="FI245" s="1">
        <v>63899.67</v>
      </c>
      <c r="FJ245" s="1">
        <v>3605086.71</v>
      </c>
      <c r="FK245" s="1">
        <v>707894.38</v>
      </c>
      <c r="FL245" s="1">
        <v>69107.908891398503</v>
      </c>
      <c r="FM245" s="1">
        <v>21215.989032920799</v>
      </c>
      <c r="FN245" s="1">
        <f>35641038.6596607-35000000</f>
        <v>641038.65966069698</v>
      </c>
      <c r="FO245" s="1">
        <f>29471.3771226292+35000000</f>
        <v>35029471.377122603</v>
      </c>
      <c r="FP245" s="1">
        <v>82517.189184354604</v>
      </c>
      <c r="FQ245" s="1">
        <v>4275778.4187080404</v>
      </c>
      <c r="FR245" s="63">
        <v>53359.77</v>
      </c>
      <c r="FS245" s="63">
        <v>217955.03</v>
      </c>
      <c r="FT245" s="63">
        <v>2182389.16</v>
      </c>
      <c r="FU245" s="63">
        <v>6978.91</v>
      </c>
      <c r="FV245" s="63">
        <v>67644.320000000007</v>
      </c>
      <c r="FW245" s="63">
        <v>196637.70301504</v>
      </c>
      <c r="FX245" s="63">
        <v>2045893.5292437801</v>
      </c>
      <c r="FY245" s="63">
        <v>1353708.8668183901</v>
      </c>
      <c r="FZ245" s="63">
        <v>15117391.0415076</v>
      </c>
      <c r="GA245" s="63">
        <v>1366450.3689103599</v>
      </c>
      <c r="GB245" s="63">
        <v>1349853.77612851</v>
      </c>
      <c r="GC245" s="63">
        <v>1473897.17116978</v>
      </c>
      <c r="GE245" s="102">
        <f>SUM(FR245:GD245)</f>
        <v>25432159.6467935</v>
      </c>
    </row>
    <row r="246" spans="1:187" ht="30">
      <c r="D246" s="59" t="str">
        <f t="shared" si="31"/>
        <v>7152p</v>
      </c>
      <c r="E246" s="60" t="s">
        <v>367</v>
      </c>
      <c r="F246" s="67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9"/>
      <c r="R246" s="67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9"/>
      <c r="AD246" s="67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9"/>
      <c r="AP246" s="67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9"/>
      <c r="BB246" s="67"/>
      <c r="BC246" s="68"/>
      <c r="BD246" s="68"/>
      <c r="BE246" s="68"/>
      <c r="BF246" s="68"/>
      <c r="BG246" s="68"/>
      <c r="BH246" s="68"/>
      <c r="BI246" s="68"/>
      <c r="BJ246" s="68"/>
      <c r="BK246" s="68"/>
      <c r="BL246" s="68"/>
      <c r="BM246" s="69"/>
      <c r="BN246" s="67"/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9"/>
      <c r="BZ246" s="67"/>
      <c r="CA246" s="68"/>
      <c r="CB246" s="68"/>
      <c r="CC246" s="68"/>
      <c r="CD246" s="68"/>
      <c r="CE246" s="68"/>
      <c r="CF246" s="68"/>
      <c r="CG246" s="68"/>
      <c r="CH246" s="68"/>
      <c r="CI246" s="68"/>
      <c r="CJ246" s="68"/>
      <c r="CK246" s="68"/>
      <c r="CL246" s="67">
        <v>383042.28989708499</v>
      </c>
      <c r="CM246" s="68">
        <v>477254.92582153098</v>
      </c>
      <c r="CN246" s="68">
        <v>683436.22345265502</v>
      </c>
      <c r="CO246" s="68">
        <v>618670.23229595996</v>
      </c>
      <c r="CP246" s="68">
        <v>674710.249484058</v>
      </c>
      <c r="CQ246" s="68">
        <v>650321.89490412106</v>
      </c>
      <c r="CR246" s="68">
        <v>961741.84883892199</v>
      </c>
      <c r="CS246" s="68">
        <v>1110907.4205030301</v>
      </c>
      <c r="CT246" s="68">
        <v>721846.04987347196</v>
      </c>
      <c r="CU246" s="68">
        <v>716487.68784240598</v>
      </c>
      <c r="CV246" s="68">
        <v>710861.447478813</v>
      </c>
      <c r="CW246" s="69">
        <v>802065.24626978103</v>
      </c>
      <c r="CX246" s="67">
        <v>535547.49781744904</v>
      </c>
      <c r="CY246" s="68">
        <v>740506.73838263296</v>
      </c>
      <c r="CZ246" s="68">
        <v>726627.07689493697</v>
      </c>
      <c r="DA246" s="68">
        <v>753352.97544523794</v>
      </c>
      <c r="DB246" s="68">
        <v>980566.87007629301</v>
      </c>
      <c r="DC246" s="68">
        <v>1039527.5505012</v>
      </c>
      <c r="DD246" s="68">
        <v>1558137.83370553</v>
      </c>
      <c r="DE246" s="68">
        <v>1561185.5179963401</v>
      </c>
      <c r="DF246" s="68">
        <v>1147702.38116171</v>
      </c>
      <c r="DG246" s="68">
        <v>885534.92711899604</v>
      </c>
      <c r="DH246" s="68">
        <v>834922.44557827106</v>
      </c>
      <c r="DI246" s="69">
        <v>1060462.0751362599</v>
      </c>
      <c r="DJ246" s="67">
        <v>618473.28954126302</v>
      </c>
      <c r="DK246" s="95">
        <v>795189.26250700303</v>
      </c>
      <c r="DL246" s="68">
        <v>847695.85377084196</v>
      </c>
      <c r="DM246" s="68">
        <v>829750.05719259102</v>
      </c>
      <c r="DN246" s="68">
        <v>861763.464818771</v>
      </c>
      <c r="DO246" s="68">
        <v>1218537.0610503801</v>
      </c>
      <c r="DP246" s="68">
        <v>1440377.4781782499</v>
      </c>
      <c r="DQ246" s="68">
        <v>1837805.24306115</v>
      </c>
      <c r="DR246" s="68">
        <v>1278018.3843084599</v>
      </c>
      <c r="DS246" s="68">
        <v>936932.08570881304</v>
      </c>
      <c r="DT246" s="68">
        <v>871947.15793865896</v>
      </c>
      <c r="DU246" s="69">
        <v>1136066.02953498</v>
      </c>
      <c r="DV246" s="83">
        <v>1099959.4149096799</v>
      </c>
      <c r="DW246" s="83">
        <v>1320646.30429768</v>
      </c>
      <c r="DX246" s="83">
        <v>1421057.9506620299</v>
      </c>
      <c r="DY246" s="83">
        <v>1075078.7111322801</v>
      </c>
      <c r="DZ246" s="83">
        <v>1250849.8605698701</v>
      </c>
      <c r="EA246" s="83">
        <v>155034.77866494001</v>
      </c>
      <c r="EB246" s="83">
        <v>279688.31002397498</v>
      </c>
      <c r="EC246" s="83">
        <v>370242.41468934802</v>
      </c>
      <c r="ED246" s="83">
        <v>1682858.1203559099</v>
      </c>
      <c r="EE246" s="83">
        <v>1171872.43837207</v>
      </c>
      <c r="EF246" s="83">
        <v>1211054.1681742501</v>
      </c>
      <c r="EG246" s="83">
        <v>1794735.91471565</v>
      </c>
      <c r="EH246" s="83">
        <v>616399.17525379802</v>
      </c>
      <c r="EI246" s="61">
        <v>893643.669277156</v>
      </c>
      <c r="EJ246" s="61">
        <v>1052555.49648813</v>
      </c>
      <c r="EK246" s="61">
        <v>929033.520496301</v>
      </c>
      <c r="EL246" s="61">
        <v>1046930.30398172</v>
      </c>
      <c r="EM246" s="61">
        <v>1384631.9687642399</v>
      </c>
      <c r="EN246" s="61">
        <v>1670756.17466156</v>
      </c>
      <c r="EO246" s="61">
        <v>1847792.9922404799</v>
      </c>
      <c r="EP246" s="61">
        <v>1117616.7549838</v>
      </c>
      <c r="EQ246" s="61">
        <v>1290129.19561473</v>
      </c>
      <c r="ER246" s="61">
        <v>1094382.32056362</v>
      </c>
      <c r="ES246" s="61">
        <v>1700137.37375554</v>
      </c>
      <c r="ET246" s="1">
        <v>657232.74</v>
      </c>
      <c r="EU246" s="1">
        <v>844736.49</v>
      </c>
      <c r="EV246" s="1">
        <v>860879.6</v>
      </c>
      <c r="EW246" s="1">
        <v>1001033.47</v>
      </c>
      <c r="EX246" s="1">
        <v>876009.07</v>
      </c>
      <c r="EY246" s="1">
        <v>1142440.52</v>
      </c>
      <c r="EZ246" s="1">
        <v>1800794.1065653199</v>
      </c>
      <c r="FA246" s="1">
        <v>1870205.88634974</v>
      </c>
      <c r="FB246" s="1">
        <v>1122335.0272681001</v>
      </c>
      <c r="FC246" s="1">
        <v>1112476.8054633201</v>
      </c>
      <c r="FD246" s="1">
        <v>1016964.77484201</v>
      </c>
      <c r="FE246" s="1">
        <v>1423029.6089605601</v>
      </c>
      <c r="FF246" s="1">
        <v>609800.16</v>
      </c>
      <c r="FG246" s="1">
        <v>943704.64</v>
      </c>
      <c r="FH246" s="1">
        <v>1029233.16</v>
      </c>
      <c r="FI246" s="1">
        <v>1018399.18</v>
      </c>
      <c r="FJ246" s="1">
        <v>1673986.28</v>
      </c>
      <c r="FK246" s="1">
        <v>1387978.01</v>
      </c>
      <c r="FL246" s="1">
        <v>1602217.3229380399</v>
      </c>
      <c r="FM246" s="1">
        <v>1482892.3832058101</v>
      </c>
      <c r="FN246" s="1">
        <v>873947.35952687904</v>
      </c>
      <c r="FO246" s="1">
        <v>916958.58916879003</v>
      </c>
      <c r="FP246" s="1">
        <v>740793.464134668</v>
      </c>
      <c r="FQ246" s="1">
        <v>923598.44422581303</v>
      </c>
      <c r="FR246" s="63">
        <v>770985.9</v>
      </c>
      <c r="FS246" s="63">
        <v>1051133.5</v>
      </c>
      <c r="FT246" s="63">
        <v>852509.5</v>
      </c>
      <c r="FU246" s="63">
        <v>578139.14</v>
      </c>
      <c r="FV246" s="63">
        <v>681465.85</v>
      </c>
      <c r="FW246" s="63">
        <v>999640.81838258903</v>
      </c>
      <c r="FX246" s="63">
        <v>2493052.06028665</v>
      </c>
      <c r="FY246" s="63">
        <v>2304202.0180038498</v>
      </c>
      <c r="FZ246" s="63">
        <v>1424120.3438691699</v>
      </c>
      <c r="GA246" s="63">
        <v>1240752.81304405</v>
      </c>
      <c r="GB246" s="63">
        <v>1013826.07241707</v>
      </c>
      <c r="GC246" s="63">
        <v>1286188.11998663</v>
      </c>
      <c r="GE246" s="102">
        <f>SUM(FR246:GD246)</f>
        <v>14696016.135989999</v>
      </c>
    </row>
    <row r="247" spans="1:187" ht="30">
      <c r="D247" s="59" t="str">
        <f t="shared" si="31"/>
        <v>7153p</v>
      </c>
      <c r="E247" s="60" t="s">
        <v>368</v>
      </c>
      <c r="F247" s="67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9"/>
      <c r="R247" s="67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9"/>
      <c r="AD247" s="67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9"/>
      <c r="AP247" s="67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9"/>
      <c r="BB247" s="67"/>
      <c r="BC247" s="68"/>
      <c r="BD247" s="68"/>
      <c r="BE247" s="68"/>
      <c r="BF247" s="68"/>
      <c r="BG247" s="68"/>
      <c r="BH247" s="68"/>
      <c r="BI247" s="68"/>
      <c r="BJ247" s="68"/>
      <c r="BK247" s="68"/>
      <c r="BL247" s="68"/>
      <c r="BM247" s="69"/>
      <c r="BN247" s="67"/>
      <c r="BO247" s="68"/>
      <c r="BP247" s="68"/>
      <c r="BQ247" s="68"/>
      <c r="BR247" s="68"/>
      <c r="BS247" s="68"/>
      <c r="BT247" s="68"/>
      <c r="BU247" s="68"/>
      <c r="BV247" s="68"/>
      <c r="BW247" s="68"/>
      <c r="BX247" s="68"/>
      <c r="BY247" s="69"/>
      <c r="BZ247" s="67"/>
      <c r="CA247" s="68"/>
      <c r="CB247" s="68"/>
      <c r="CC247" s="68"/>
      <c r="CD247" s="68"/>
      <c r="CE247" s="68"/>
      <c r="CF247" s="68"/>
      <c r="CG247" s="68"/>
      <c r="CH247" s="68"/>
      <c r="CI247" s="68"/>
      <c r="CJ247" s="68"/>
      <c r="CK247" s="68"/>
      <c r="CL247" s="67">
        <v>105660.57810580199</v>
      </c>
      <c r="CM247" s="68">
        <v>113960.074040272</v>
      </c>
      <c r="CN247" s="68">
        <v>194068.21940110301</v>
      </c>
      <c r="CO247" s="68">
        <v>215744.02279161301</v>
      </c>
      <c r="CP247" s="68">
        <v>194245.15208018199</v>
      </c>
      <c r="CQ247" s="68">
        <v>202910.49602642201</v>
      </c>
      <c r="CR247" s="68">
        <v>188059.04430532799</v>
      </c>
      <c r="CS247" s="68">
        <v>163610.167871174</v>
      </c>
      <c r="CT247" s="68">
        <v>151132.44421844001</v>
      </c>
      <c r="CU247" s="68">
        <v>162193.35524771301</v>
      </c>
      <c r="CV247" s="68">
        <v>151171.99535484699</v>
      </c>
      <c r="CW247" s="69">
        <v>264415.23647077201</v>
      </c>
      <c r="CX247" s="67">
        <v>92458.128568339904</v>
      </c>
      <c r="CY247" s="68">
        <v>125098.74235607</v>
      </c>
      <c r="CZ247" s="68">
        <v>200562.967046921</v>
      </c>
      <c r="DA247" s="68">
        <v>169433.33677156299</v>
      </c>
      <c r="DB247" s="68">
        <v>151549.429559718</v>
      </c>
      <c r="DC247" s="68">
        <v>216223.29722223399</v>
      </c>
      <c r="DD247" s="68">
        <v>259541.65890583099</v>
      </c>
      <c r="DE247" s="68">
        <v>251424.408784517</v>
      </c>
      <c r="DF247" s="68">
        <v>173451.274219132</v>
      </c>
      <c r="DG247" s="68">
        <v>183220.99765206201</v>
      </c>
      <c r="DH247" s="68">
        <v>149346.20651691299</v>
      </c>
      <c r="DI247" s="69">
        <v>247894.89587613099</v>
      </c>
      <c r="DJ247" s="67">
        <v>104079.75152347</v>
      </c>
      <c r="DK247" s="95">
        <v>153757.608431064</v>
      </c>
      <c r="DL247" s="68">
        <v>164057.68321046999</v>
      </c>
      <c r="DM247" s="68">
        <v>203227.15795867</v>
      </c>
      <c r="DN247" s="68">
        <v>291554.28772636998</v>
      </c>
      <c r="DO247" s="68">
        <v>220657.97509015899</v>
      </c>
      <c r="DP247" s="68">
        <v>207041.891953296</v>
      </c>
      <c r="DQ247" s="68">
        <v>214764.101874638</v>
      </c>
      <c r="DR247" s="68">
        <v>171719.43357340101</v>
      </c>
      <c r="DS247" s="68">
        <v>167451.23901490201</v>
      </c>
      <c r="DT247" s="68">
        <v>142305.97247966999</v>
      </c>
      <c r="DU247" s="69">
        <v>223992.34751291</v>
      </c>
      <c r="DV247" s="83">
        <v>577912.61175565002</v>
      </c>
      <c r="DW247" s="83">
        <v>760498.18714058597</v>
      </c>
      <c r="DX247" s="83">
        <v>931112.27012728399</v>
      </c>
      <c r="DY247" s="83">
        <v>806351.452084466</v>
      </c>
      <c r="DZ247" s="83">
        <v>882633.10394537903</v>
      </c>
      <c r="EA247" s="83">
        <v>39538.670189578901</v>
      </c>
      <c r="EB247" s="83">
        <v>17098.014827198698</v>
      </c>
      <c r="EC247" s="83">
        <v>16576.339899161001</v>
      </c>
      <c r="ED247" s="83">
        <v>675798.96175514301</v>
      </c>
      <c r="EE247" s="83">
        <v>721207.12013894506</v>
      </c>
      <c r="EF247" s="83">
        <v>610780.58390106598</v>
      </c>
      <c r="EG247" s="83">
        <v>1033954.47186768</v>
      </c>
      <c r="EH247" s="83">
        <v>94302.742112849301</v>
      </c>
      <c r="EI247" s="61">
        <v>129288.33257272901</v>
      </c>
      <c r="EJ247" s="61">
        <v>152162.021264888</v>
      </c>
      <c r="EK247" s="61">
        <v>161476.377391132</v>
      </c>
      <c r="EL247" s="61">
        <v>169397.64602066699</v>
      </c>
      <c r="EM247" s="61">
        <v>224711.17730719101</v>
      </c>
      <c r="EN247" s="61">
        <v>308808.17772969499</v>
      </c>
      <c r="EO247" s="61">
        <v>195111.138434405</v>
      </c>
      <c r="EP247" s="61">
        <v>171841.25456131101</v>
      </c>
      <c r="EQ247" s="61">
        <v>163355.749900925</v>
      </c>
      <c r="ER247" s="61">
        <v>214610.299252525</v>
      </c>
      <c r="ES247" s="61">
        <v>2239230.2347193402</v>
      </c>
      <c r="ET247" s="1">
        <v>126122.18</v>
      </c>
      <c r="EU247" s="1">
        <v>179834.33</v>
      </c>
      <c r="EV247" s="1">
        <v>220071.26</v>
      </c>
      <c r="EW247" s="1">
        <v>266646.62</v>
      </c>
      <c r="EX247" s="1">
        <v>315030.67</v>
      </c>
      <c r="EY247" s="1">
        <v>421466.02</v>
      </c>
      <c r="EZ247" s="1">
        <v>459800.20397609501</v>
      </c>
      <c r="FA247" s="1">
        <v>444694.70052588399</v>
      </c>
      <c r="FB247" s="1">
        <v>398639.94885171199</v>
      </c>
      <c r="FC247" s="1">
        <v>385249.25687030703</v>
      </c>
      <c r="FD247" s="1">
        <v>468449.158925305</v>
      </c>
      <c r="FE247" s="1">
        <v>572102.46768867294</v>
      </c>
      <c r="FF247" s="1">
        <v>164019.29</v>
      </c>
      <c r="FG247" s="1">
        <v>247340.36</v>
      </c>
      <c r="FH247" s="1">
        <v>328409.52</v>
      </c>
      <c r="FI247" s="1">
        <v>261152.7</v>
      </c>
      <c r="FJ247" s="1">
        <v>230706.4</v>
      </c>
      <c r="FK247" s="1">
        <v>289255.07</v>
      </c>
      <c r="FL247" s="1">
        <v>467099.66567019699</v>
      </c>
      <c r="FM247" s="1">
        <v>259070.77173300699</v>
      </c>
      <c r="FN247" s="1">
        <v>301266.94361907197</v>
      </c>
      <c r="FO247" s="1">
        <v>321644.39806882897</v>
      </c>
      <c r="FP247" s="1">
        <v>283758.857961584</v>
      </c>
      <c r="FQ247" s="1">
        <v>301622.23954731098</v>
      </c>
      <c r="FR247" s="63">
        <v>170155.41</v>
      </c>
      <c r="FS247" s="63">
        <v>207689.67</v>
      </c>
      <c r="FT247" s="63">
        <v>151455.6</v>
      </c>
      <c r="FU247" s="63">
        <v>78991.53</v>
      </c>
      <c r="FV247" s="63">
        <v>187396.49</v>
      </c>
      <c r="FW247" s="63">
        <v>237974.252105477</v>
      </c>
      <c r="FX247" s="63">
        <v>345294.23192196398</v>
      </c>
      <c r="FY247" s="63">
        <v>291312.91552778601</v>
      </c>
      <c r="FZ247" s="63">
        <v>294817.25436003599</v>
      </c>
      <c r="GA247" s="63">
        <v>293976.40023316198</v>
      </c>
      <c r="GB247" s="63">
        <v>286144.18478180299</v>
      </c>
      <c r="GC247" s="63">
        <v>349994.87318977201</v>
      </c>
      <c r="GE247" s="102">
        <f>SUM(FR247:GD247)</f>
        <v>2895202.8121199999</v>
      </c>
    </row>
    <row r="248" spans="1:187">
      <c r="D248" s="59" t="str">
        <f t="shared" si="31"/>
        <v>7155p</v>
      </c>
      <c r="E248" s="60" t="s">
        <v>142</v>
      </c>
      <c r="F248" s="67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9"/>
      <c r="R248" s="67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9"/>
      <c r="AD248" s="67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9"/>
      <c r="AP248" s="67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9"/>
      <c r="BB248" s="67"/>
      <c r="BC248" s="68"/>
      <c r="BD248" s="68"/>
      <c r="BE248" s="68"/>
      <c r="BF248" s="68"/>
      <c r="BG248" s="68"/>
      <c r="BH248" s="68"/>
      <c r="BI248" s="68"/>
      <c r="BJ248" s="68"/>
      <c r="BK248" s="68"/>
      <c r="BL248" s="68"/>
      <c r="BM248" s="69"/>
      <c r="BN248" s="67"/>
      <c r="BO248" s="68"/>
      <c r="BP248" s="68"/>
      <c r="BQ248" s="68"/>
      <c r="BR248" s="68"/>
      <c r="BS248" s="68"/>
      <c r="BT248" s="68"/>
      <c r="BU248" s="68"/>
      <c r="BV248" s="68"/>
      <c r="BW248" s="68"/>
      <c r="BX248" s="68"/>
      <c r="BY248" s="69"/>
      <c r="BZ248" s="67"/>
      <c r="CA248" s="68"/>
      <c r="CB248" s="68"/>
      <c r="CC248" s="68"/>
      <c r="CD248" s="68"/>
      <c r="CE248" s="68"/>
      <c r="CF248" s="68"/>
      <c r="CG248" s="68"/>
      <c r="CH248" s="68"/>
      <c r="CI248" s="68"/>
      <c r="CJ248" s="68"/>
      <c r="CK248" s="68"/>
      <c r="CL248" s="67">
        <v>336018.23420682398</v>
      </c>
      <c r="CM248" s="68">
        <v>987196.96372280305</v>
      </c>
      <c r="CN248" s="68">
        <v>1151286.4752454199</v>
      </c>
      <c r="CO248" s="68">
        <v>518417.99742558901</v>
      </c>
      <c r="CP248" s="68">
        <v>951965.07789064595</v>
      </c>
      <c r="CQ248" s="68">
        <v>592163.28912062605</v>
      </c>
      <c r="CR248" s="68">
        <v>703226.53359586303</v>
      </c>
      <c r="CS248" s="68">
        <v>1047010.87069335</v>
      </c>
      <c r="CT248" s="68">
        <v>564817.35724486399</v>
      </c>
      <c r="CU248" s="68">
        <v>982078.96470797295</v>
      </c>
      <c r="CV248" s="68">
        <v>607477.99681908905</v>
      </c>
      <c r="CW248" s="69">
        <v>1542668.0967029801</v>
      </c>
      <c r="CX248" s="67">
        <v>1490834.6110859001</v>
      </c>
      <c r="CY248" s="68">
        <v>440219.45600746199</v>
      </c>
      <c r="CZ248" s="68">
        <v>551636.42647757404</v>
      </c>
      <c r="DA248" s="68">
        <v>765096.95168544399</v>
      </c>
      <c r="DB248" s="68">
        <v>1417116.8136678699</v>
      </c>
      <c r="DC248" s="68">
        <v>574718.45765354205</v>
      </c>
      <c r="DD248" s="68">
        <v>1213380.6328217399</v>
      </c>
      <c r="DE248" s="68">
        <v>632140.51510745997</v>
      </c>
      <c r="DF248" s="68">
        <v>1118668.9431218801</v>
      </c>
      <c r="DG248" s="68">
        <v>1063325.56368982</v>
      </c>
      <c r="DH248" s="68">
        <v>1225430.14673584</v>
      </c>
      <c r="DI248" s="69">
        <v>1340316.4209489599</v>
      </c>
      <c r="DJ248" s="67">
        <v>851007.85530840303</v>
      </c>
      <c r="DK248" s="95">
        <v>517692.36695859698</v>
      </c>
      <c r="DL248" s="68">
        <v>911829.352665368</v>
      </c>
      <c r="DM248" s="68">
        <v>1099338.5209162901</v>
      </c>
      <c r="DN248" s="68">
        <v>1811512.6370501299</v>
      </c>
      <c r="DO248" s="68">
        <v>1820233.6046629499</v>
      </c>
      <c r="DP248" s="68">
        <v>1232088.94422717</v>
      </c>
      <c r="DQ248" s="68">
        <v>990557.77048002696</v>
      </c>
      <c r="DR248" s="68">
        <v>1223649.57753664</v>
      </c>
      <c r="DS248" s="68">
        <v>1127842.89545855</v>
      </c>
      <c r="DT248" s="68">
        <v>1231633.78500328</v>
      </c>
      <c r="DU248" s="69">
        <v>2548155.32751616</v>
      </c>
      <c r="DV248" s="83">
        <v>1395561.8787191899</v>
      </c>
      <c r="DW248" s="83">
        <v>646069.201477875</v>
      </c>
      <c r="DX248" s="83">
        <v>804023.89412304806</v>
      </c>
      <c r="DY248" s="83">
        <v>1408863.49252493</v>
      </c>
      <c r="DZ248" s="83">
        <v>2173816.2713913899</v>
      </c>
      <c r="EA248" s="83">
        <v>7032850.8718918599</v>
      </c>
      <c r="EB248" s="83">
        <v>7096218.6918125097</v>
      </c>
      <c r="EC248" s="83">
        <v>7220543.3439489696</v>
      </c>
      <c r="ED248" s="83">
        <v>1234367.08006511</v>
      </c>
      <c r="EE248" s="83">
        <v>1077600.98231667</v>
      </c>
      <c r="EF248" s="83">
        <v>1615571.2068439899</v>
      </c>
      <c r="EG248" s="83">
        <v>3361528.0228333301</v>
      </c>
      <c r="EH248" s="83">
        <v>427599.86795937503</v>
      </c>
      <c r="EI248" s="61">
        <v>695463.75771675596</v>
      </c>
      <c r="EJ248" s="61">
        <v>1608661.1915179</v>
      </c>
      <c r="EK248" s="61">
        <v>2372624.4522056598</v>
      </c>
      <c r="EL248" s="61">
        <v>1092417.99490214</v>
      </c>
      <c r="EM248" s="61">
        <v>1724146.0961891401</v>
      </c>
      <c r="EN248" s="61">
        <v>754449.21428088704</v>
      </c>
      <c r="EO248" s="61">
        <v>937208.64243463695</v>
      </c>
      <c r="EP248" s="61">
        <v>1118933.54422214</v>
      </c>
      <c r="EQ248" s="61">
        <v>859662.359915926</v>
      </c>
      <c r="ER248" s="61">
        <v>752721.28451209795</v>
      </c>
      <c r="ES248" s="61">
        <v>1118159.57857784</v>
      </c>
      <c r="ET248" s="1">
        <v>884483.19</v>
      </c>
      <c r="EU248" s="1">
        <v>558412.55000000005</v>
      </c>
      <c r="EV248" s="1">
        <v>754229.21</v>
      </c>
      <c r="EW248" s="1">
        <v>2271431.5699999998</v>
      </c>
      <c r="EX248" s="1">
        <v>900361.61</v>
      </c>
      <c r="EY248" s="1">
        <v>1081823.33</v>
      </c>
      <c r="EZ248" s="1">
        <v>849505.304404689</v>
      </c>
      <c r="FA248" s="1">
        <v>494969.62419158098</v>
      </c>
      <c r="FB248" s="1">
        <v>497272.60590455798</v>
      </c>
      <c r="FC248" s="1">
        <v>1561388.85566425</v>
      </c>
      <c r="FD248" s="1">
        <v>494368.62423425599</v>
      </c>
      <c r="FE248" s="1">
        <v>2594270.7910711002</v>
      </c>
      <c r="FF248" s="1">
        <v>474394.59</v>
      </c>
      <c r="FG248" s="1">
        <v>759602.89</v>
      </c>
      <c r="FH248" s="1">
        <v>1649538.05</v>
      </c>
      <c r="FI248" s="1">
        <v>1042259.6</v>
      </c>
      <c r="FJ248" s="1">
        <v>1649659</v>
      </c>
      <c r="FK248" s="1">
        <v>878007.98</v>
      </c>
      <c r="FL248" s="1">
        <v>1643910.1307844699</v>
      </c>
      <c r="FM248" s="1">
        <v>1576993.89649721</v>
      </c>
      <c r="FN248" s="1">
        <v>873479.10363403102</v>
      </c>
      <c r="FO248" s="1">
        <v>947888.44541028095</v>
      </c>
      <c r="FP248" s="1">
        <v>2405022.7958438601</v>
      </c>
      <c r="FQ248" s="1">
        <v>1637954.6278301501</v>
      </c>
      <c r="FR248" s="63">
        <v>490213.19</v>
      </c>
      <c r="FS248" s="63">
        <v>623499.68000000005</v>
      </c>
      <c r="FT248" s="63">
        <v>1062145.1000000001</v>
      </c>
      <c r="FU248" s="63">
        <v>953642.8</v>
      </c>
      <c r="FV248" s="63">
        <v>300738.7</v>
      </c>
      <c r="FW248" s="63">
        <v>823563.29478099896</v>
      </c>
      <c r="FX248" s="63">
        <v>808013.99345427402</v>
      </c>
      <c r="FY248" s="63">
        <v>671979.56168860802</v>
      </c>
      <c r="FZ248" s="63">
        <v>700798.275483859</v>
      </c>
      <c r="GA248" s="63">
        <v>930637.99140636495</v>
      </c>
      <c r="GB248" s="63">
        <v>969478.59272800595</v>
      </c>
      <c r="GC248" s="63">
        <v>1568503.3996078901</v>
      </c>
      <c r="GE248" s="102">
        <f>SUM(FR248:GD248)</f>
        <v>9903214.5791500006</v>
      </c>
    </row>
    <row r="249" spans="1:187" s="2" customFormat="1">
      <c r="A249" s="71"/>
      <c r="B249" s="71">
        <v>72</v>
      </c>
      <c r="C249" s="71" t="s">
        <v>6</v>
      </c>
      <c r="D249" s="71" t="str">
        <f t="shared" si="31"/>
        <v>72p</v>
      </c>
      <c r="E249" s="72" t="s">
        <v>178</v>
      </c>
      <c r="F249" s="73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5"/>
      <c r="R249" s="73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5"/>
      <c r="AD249" s="73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5"/>
      <c r="AP249" s="73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5"/>
      <c r="BB249" s="73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5"/>
      <c r="BN249" s="73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5"/>
      <c r="BZ249" s="73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3">
        <v>0</v>
      </c>
      <c r="CM249" s="74">
        <v>0</v>
      </c>
      <c r="CN249" s="74">
        <v>0</v>
      </c>
      <c r="CO249" s="74">
        <v>8000000</v>
      </c>
      <c r="CP249" s="74">
        <v>0</v>
      </c>
      <c r="CQ249" s="74">
        <v>0</v>
      </c>
      <c r="CR249" s="74">
        <v>0</v>
      </c>
      <c r="CS249" s="74">
        <v>0</v>
      </c>
      <c r="CT249" s="74">
        <v>0</v>
      </c>
      <c r="CU249" s="74">
        <v>0</v>
      </c>
      <c r="CV249" s="74">
        <v>0</v>
      </c>
      <c r="CW249" s="75">
        <v>0</v>
      </c>
      <c r="CX249" s="73">
        <v>416666.66666666698</v>
      </c>
      <c r="CY249" s="74">
        <v>416666.66666666698</v>
      </c>
      <c r="CZ249" s="74">
        <v>416666.66666666698</v>
      </c>
      <c r="DA249" s="74">
        <v>416666.66666666698</v>
      </c>
      <c r="DB249" s="74">
        <v>416666.66666666698</v>
      </c>
      <c r="DC249" s="74">
        <v>416666.66666666698</v>
      </c>
      <c r="DD249" s="74">
        <v>416666.66666666698</v>
      </c>
      <c r="DE249" s="74">
        <v>416666.66666666698</v>
      </c>
      <c r="DF249" s="74">
        <v>416666.66666666698</v>
      </c>
      <c r="DG249" s="74">
        <v>416666.66666666698</v>
      </c>
      <c r="DH249" s="74">
        <v>416666.66666666698</v>
      </c>
      <c r="DI249" s="75">
        <v>416666.66666666698</v>
      </c>
      <c r="DJ249" s="73"/>
      <c r="DK249" s="96"/>
      <c r="DL249" s="74"/>
      <c r="DM249" s="74"/>
      <c r="DN249" s="74"/>
      <c r="DO249" s="74"/>
      <c r="DP249" s="74"/>
      <c r="DQ249" s="74"/>
      <c r="DR249" s="74"/>
      <c r="DS249" s="74"/>
      <c r="DT249" s="74"/>
      <c r="DU249" s="75"/>
      <c r="DV249" s="97">
        <v>0</v>
      </c>
      <c r="DW249" s="97"/>
      <c r="DX249" s="97"/>
      <c r="DY249" s="97"/>
      <c r="DZ249" s="97"/>
      <c r="EA249" s="97"/>
      <c r="EB249" s="97"/>
      <c r="EC249" s="97"/>
      <c r="ED249" s="97"/>
      <c r="EE249" s="97"/>
      <c r="EF249" s="97"/>
      <c r="EG249" s="97"/>
      <c r="EH249" s="97">
        <v>0</v>
      </c>
      <c r="EI249" s="97">
        <v>0</v>
      </c>
      <c r="EJ249" s="97">
        <v>0</v>
      </c>
      <c r="EK249" s="97">
        <v>0</v>
      </c>
      <c r="EL249" s="97">
        <v>0</v>
      </c>
      <c r="EM249" s="97">
        <v>0</v>
      </c>
      <c r="EN249" s="97">
        <v>0</v>
      </c>
      <c r="EO249" s="97">
        <v>0</v>
      </c>
      <c r="EP249" s="97">
        <v>0</v>
      </c>
      <c r="EQ249" s="97">
        <v>0</v>
      </c>
      <c r="ER249" s="97">
        <v>0</v>
      </c>
      <c r="ES249" s="97">
        <v>0</v>
      </c>
      <c r="FE249" s="2">
        <v>16000000</v>
      </c>
      <c r="FF249" s="2">
        <v>500000</v>
      </c>
      <c r="FG249" s="2">
        <v>500000</v>
      </c>
      <c r="FH249" s="2">
        <v>500000</v>
      </c>
      <c r="FI249" s="2">
        <v>500000</v>
      </c>
      <c r="FJ249" s="2">
        <v>500000</v>
      </c>
      <c r="FK249" s="2">
        <v>500000</v>
      </c>
      <c r="FL249" s="2">
        <v>500000</v>
      </c>
      <c r="FM249" s="2">
        <v>500000</v>
      </c>
      <c r="FN249" s="2">
        <v>500000</v>
      </c>
      <c r="FO249" s="2">
        <v>500000</v>
      </c>
      <c r="FP249" s="2">
        <v>500000</v>
      </c>
      <c r="FQ249" s="2">
        <v>500000</v>
      </c>
      <c r="FR249" s="100">
        <v>62782.51</v>
      </c>
      <c r="FS249" s="100">
        <v>437988.22</v>
      </c>
      <c r="FT249" s="100">
        <v>603218.21</v>
      </c>
      <c r="FU249" s="100">
        <v>198578.39</v>
      </c>
      <c r="FV249" s="100">
        <v>270349.07</v>
      </c>
      <c r="FW249" s="100">
        <v>632440.5</v>
      </c>
      <c r="FX249" s="100">
        <v>632440.5</v>
      </c>
      <c r="FY249" s="100">
        <v>632440.5</v>
      </c>
      <c r="FZ249" s="100">
        <v>632440.5</v>
      </c>
      <c r="GA249" s="100">
        <v>632440.5</v>
      </c>
      <c r="GB249" s="100">
        <v>632440.5</v>
      </c>
      <c r="GC249" s="100">
        <v>632440.6</v>
      </c>
      <c r="GD249" s="103"/>
      <c r="GE249" s="101">
        <f>SUM(FR249:GC249)</f>
        <v>6000000</v>
      </c>
    </row>
    <row r="250" spans="1:187" ht="30">
      <c r="C250" s="59">
        <v>721</v>
      </c>
      <c r="D250" s="59" t="str">
        <f t="shared" si="31"/>
        <v>7212p</v>
      </c>
      <c r="E250" s="60" t="s">
        <v>369</v>
      </c>
      <c r="F250" s="67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9"/>
      <c r="R250" s="67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9"/>
      <c r="AD250" s="67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9"/>
      <c r="AP250" s="67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9"/>
      <c r="BB250" s="67"/>
      <c r="BC250" s="68"/>
      <c r="BD250" s="68"/>
      <c r="BE250" s="68"/>
      <c r="BF250" s="68"/>
      <c r="BG250" s="68"/>
      <c r="BH250" s="68"/>
      <c r="BI250" s="68"/>
      <c r="BJ250" s="68"/>
      <c r="BK250" s="68"/>
      <c r="BL250" s="68"/>
      <c r="BM250" s="69"/>
      <c r="BN250" s="67"/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9"/>
      <c r="BZ250" s="67"/>
      <c r="CA250" s="68"/>
      <c r="CB250" s="68"/>
      <c r="CC250" s="68"/>
      <c r="CD250" s="68"/>
      <c r="CE250" s="68"/>
      <c r="CF250" s="68"/>
      <c r="CG250" s="68"/>
      <c r="CH250" s="68"/>
      <c r="CI250" s="68"/>
      <c r="CJ250" s="68"/>
      <c r="CK250" s="68"/>
      <c r="CL250" s="67"/>
      <c r="CM250" s="68"/>
      <c r="CN250" s="68"/>
      <c r="CO250" s="68"/>
      <c r="CP250" s="68"/>
      <c r="CQ250" s="68"/>
      <c r="CR250" s="68"/>
      <c r="CS250" s="68"/>
      <c r="CT250" s="68"/>
      <c r="CU250" s="68"/>
      <c r="CV250" s="68"/>
      <c r="CW250" s="69"/>
      <c r="CX250" s="67"/>
      <c r="CY250" s="68"/>
      <c r="CZ250" s="68"/>
      <c r="DA250" s="68"/>
      <c r="DB250" s="68"/>
      <c r="DC250" s="68"/>
      <c r="DD250" s="68"/>
      <c r="DE250" s="68"/>
      <c r="DF250" s="68"/>
      <c r="DG250" s="68"/>
      <c r="DH250" s="68"/>
      <c r="DI250" s="69"/>
      <c r="DJ250" s="67"/>
      <c r="DK250" s="95"/>
      <c r="DL250" s="68"/>
      <c r="DM250" s="68"/>
      <c r="DN250" s="68"/>
      <c r="DO250" s="68"/>
      <c r="DP250" s="68"/>
      <c r="DQ250" s="68"/>
      <c r="DR250" s="68"/>
      <c r="DS250" s="68"/>
      <c r="DT250" s="68"/>
      <c r="DU250" s="69"/>
      <c r="DV250" s="83"/>
      <c r="DW250" s="83"/>
      <c r="DX250" s="83"/>
      <c r="DY250" s="83"/>
      <c r="DZ250" s="83"/>
      <c r="EA250" s="83"/>
      <c r="EB250" s="83"/>
      <c r="EC250" s="83"/>
      <c r="ED250" s="83"/>
      <c r="EE250" s="83"/>
      <c r="EF250" s="83"/>
      <c r="EG250" s="83"/>
      <c r="EH250" s="83"/>
      <c r="EI250" s="61"/>
      <c r="EJ250" s="61"/>
      <c r="EK250" s="61"/>
      <c r="EL250" s="61"/>
      <c r="EM250" s="61"/>
      <c r="EN250" s="61"/>
      <c r="EO250" s="61"/>
      <c r="EP250" s="61"/>
      <c r="EQ250" s="61"/>
      <c r="ER250" s="61"/>
      <c r="ES250" s="61"/>
    </row>
    <row r="251" spans="1:187" ht="30">
      <c r="C251" s="59">
        <v>722</v>
      </c>
      <c r="D251" s="59" t="str">
        <f t="shared" si="31"/>
        <v>7222p</v>
      </c>
      <c r="E251" s="60" t="s">
        <v>370</v>
      </c>
      <c r="F251" s="67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9"/>
      <c r="R251" s="67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9"/>
      <c r="AD251" s="67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9"/>
      <c r="AP251" s="67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9"/>
      <c r="BB251" s="67"/>
      <c r="BC251" s="68"/>
      <c r="BD251" s="68"/>
      <c r="BE251" s="68"/>
      <c r="BF251" s="68"/>
      <c r="BG251" s="68"/>
      <c r="BH251" s="68"/>
      <c r="BI251" s="68"/>
      <c r="BJ251" s="68"/>
      <c r="BK251" s="68"/>
      <c r="BL251" s="68"/>
      <c r="BM251" s="69"/>
      <c r="BN251" s="67"/>
      <c r="BO251" s="68"/>
      <c r="BP251" s="68"/>
      <c r="BQ251" s="68"/>
      <c r="BR251" s="68"/>
      <c r="BS251" s="68"/>
      <c r="BT251" s="68"/>
      <c r="BU251" s="68"/>
      <c r="BV251" s="68"/>
      <c r="BW251" s="68"/>
      <c r="BX251" s="68"/>
      <c r="BY251" s="69"/>
      <c r="BZ251" s="67"/>
      <c r="CA251" s="68"/>
      <c r="CB251" s="68"/>
      <c r="CC251" s="68"/>
      <c r="CD251" s="68"/>
      <c r="CE251" s="68"/>
      <c r="CF251" s="68"/>
      <c r="CG251" s="68"/>
      <c r="CH251" s="68"/>
      <c r="CI251" s="68"/>
      <c r="CJ251" s="68"/>
      <c r="CK251" s="68"/>
      <c r="CL251" s="67"/>
      <c r="CM251" s="68"/>
      <c r="CN251" s="68"/>
      <c r="CO251" s="68"/>
      <c r="CP251" s="68"/>
      <c r="CQ251" s="68"/>
      <c r="CR251" s="68"/>
      <c r="CS251" s="68"/>
      <c r="CT251" s="68"/>
      <c r="CU251" s="68"/>
      <c r="CV251" s="68"/>
      <c r="CW251" s="69"/>
      <c r="CX251" s="67"/>
      <c r="CY251" s="68"/>
      <c r="CZ251" s="68"/>
      <c r="DA251" s="68"/>
      <c r="DB251" s="68"/>
      <c r="DC251" s="68"/>
      <c r="DD251" s="68"/>
      <c r="DE251" s="68"/>
      <c r="DF251" s="68"/>
      <c r="DG251" s="68"/>
      <c r="DH251" s="68"/>
      <c r="DI251" s="69"/>
      <c r="DJ251" s="67"/>
      <c r="DK251" s="95"/>
      <c r="DL251" s="68"/>
      <c r="DM251" s="68"/>
      <c r="DN251" s="68"/>
      <c r="DO251" s="68"/>
      <c r="DP251" s="68"/>
      <c r="DQ251" s="68"/>
      <c r="DR251" s="68"/>
      <c r="DS251" s="68"/>
      <c r="DT251" s="68"/>
      <c r="DU251" s="69"/>
      <c r="DV251" s="83"/>
      <c r="DW251" s="83"/>
      <c r="DX251" s="83"/>
      <c r="DY251" s="83"/>
      <c r="DZ251" s="83"/>
      <c r="EA251" s="83"/>
      <c r="EB251" s="83"/>
      <c r="EC251" s="83"/>
      <c r="ED251" s="83"/>
      <c r="EE251" s="83"/>
      <c r="EF251" s="83"/>
      <c r="EG251" s="83"/>
      <c r="EH251" s="83"/>
      <c r="EI251" s="61"/>
      <c r="EJ251" s="61"/>
      <c r="EK251" s="61"/>
      <c r="EL251" s="61"/>
      <c r="EM251" s="61"/>
      <c r="EN251" s="61"/>
      <c r="EO251" s="61"/>
      <c r="EP251" s="61"/>
      <c r="EQ251" s="61"/>
      <c r="ER251" s="61"/>
      <c r="ES251" s="61"/>
    </row>
    <row r="252" spans="1:187" s="2" customFormat="1" ht="45">
      <c r="A252" s="71"/>
      <c r="B252" s="71">
        <v>73</v>
      </c>
      <c r="C252" s="71"/>
      <c r="D252" s="71" t="str">
        <f t="shared" si="31"/>
        <v>73p</v>
      </c>
      <c r="E252" s="72" t="s">
        <v>143</v>
      </c>
      <c r="F252" s="73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5"/>
      <c r="R252" s="73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5"/>
      <c r="AD252" s="73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5"/>
      <c r="AP252" s="73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5"/>
      <c r="BB252" s="73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5"/>
      <c r="BN252" s="73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5"/>
      <c r="BZ252" s="73"/>
      <c r="CA252" s="74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3">
        <v>559600.77695003396</v>
      </c>
      <c r="CM252" s="74">
        <v>354476.86713533301</v>
      </c>
      <c r="CN252" s="74">
        <v>385297.92814256001</v>
      </c>
      <c r="CO252" s="74">
        <v>255274.24635763999</v>
      </c>
      <c r="CP252" s="74">
        <v>249492.029952385</v>
      </c>
      <c r="CQ252" s="74">
        <v>375486.02775821497</v>
      </c>
      <c r="CR252" s="74">
        <v>535390.30249528401</v>
      </c>
      <c r="CS252" s="74">
        <v>597926.67182852398</v>
      </c>
      <c r="CT252" s="74">
        <v>377295.10829472099</v>
      </c>
      <c r="CU252" s="74">
        <v>319944.59541492502</v>
      </c>
      <c r="CV252" s="74">
        <v>559463.96219362295</v>
      </c>
      <c r="CW252" s="75">
        <v>239411.49161934</v>
      </c>
      <c r="CX252" s="73">
        <v>192772.113812055</v>
      </c>
      <c r="CY252" s="74">
        <v>219000.954588433</v>
      </c>
      <c r="CZ252" s="74">
        <v>279212.95056261198</v>
      </c>
      <c r="DA252" s="74">
        <v>278484.14214295201</v>
      </c>
      <c r="DB252" s="74">
        <v>194564.22932022999</v>
      </c>
      <c r="DC252" s="74">
        <v>305977.50152959302</v>
      </c>
      <c r="DD252" s="74">
        <v>3232893.97699227</v>
      </c>
      <c r="DE252" s="74">
        <v>546027.11320662103</v>
      </c>
      <c r="DF252" s="74">
        <v>373977.62507384398</v>
      </c>
      <c r="DG252" s="74">
        <v>572522.69594572205</v>
      </c>
      <c r="DH252" s="74">
        <v>159825.78339378699</v>
      </c>
      <c r="DI252" s="75">
        <v>691003.40059818898</v>
      </c>
      <c r="DJ252" s="73">
        <v>102742.572435397</v>
      </c>
      <c r="DK252" s="96">
        <v>80570.775912455603</v>
      </c>
      <c r="DL252" s="74">
        <v>207943.58242626401</v>
      </c>
      <c r="DM252" s="74">
        <v>255508.97776091</v>
      </c>
      <c r="DN252" s="74">
        <v>94657.993290660001</v>
      </c>
      <c r="DO252" s="74">
        <v>451041.31152943301</v>
      </c>
      <c r="DP252" s="74">
        <v>850260.27680842602</v>
      </c>
      <c r="DQ252" s="74">
        <v>271751.70792733401</v>
      </c>
      <c r="DR252" s="74">
        <v>299578.18186702701</v>
      </c>
      <c r="DS252" s="74">
        <v>296967.92792094499</v>
      </c>
      <c r="DT252" s="74">
        <v>830659.77314096305</v>
      </c>
      <c r="DU252" s="75">
        <v>1332064.7982784701</v>
      </c>
      <c r="DV252" s="97">
        <v>253250.300577274</v>
      </c>
      <c r="DW252" s="97">
        <v>695838.96268096298</v>
      </c>
      <c r="DX252" s="97">
        <v>349250.65446083603</v>
      </c>
      <c r="DY252" s="97">
        <v>328188.56365903799</v>
      </c>
      <c r="DZ252" s="97">
        <v>234734.25312116501</v>
      </c>
      <c r="EA252" s="97">
        <v>745592.50489778304</v>
      </c>
      <c r="EB252" s="97">
        <v>1162897.8060049601</v>
      </c>
      <c r="EC252" s="97">
        <v>314798.40965867601</v>
      </c>
      <c r="ED252" s="97">
        <v>306801.39412826998</v>
      </c>
      <c r="EE252" s="97">
        <v>407546.83241463598</v>
      </c>
      <c r="EF252" s="97">
        <v>761665.66094479</v>
      </c>
      <c r="EG252" s="97">
        <v>1818172.34667346</v>
      </c>
      <c r="EH252" s="97">
        <v>183698.17865459199</v>
      </c>
      <c r="EI252" s="76">
        <v>102035.586439317</v>
      </c>
      <c r="EJ252" s="76">
        <v>148096.29167512801</v>
      </c>
      <c r="EK252" s="76">
        <v>127767.637595065</v>
      </c>
      <c r="EL252" s="76">
        <v>1142721.30765135</v>
      </c>
      <c r="EM252" s="76">
        <v>701618.425722952</v>
      </c>
      <c r="EN252" s="76">
        <v>104750.019129247</v>
      </c>
      <c r="EO252" s="76">
        <v>98423.786607339993</v>
      </c>
      <c r="EP252" s="76">
        <v>166546.28014151499</v>
      </c>
      <c r="EQ252" s="76">
        <v>280543.438777206</v>
      </c>
      <c r="ER252" s="76">
        <v>972014.90277657995</v>
      </c>
      <c r="ES252" s="76">
        <v>1282367.8136507501</v>
      </c>
      <c r="ET252" s="2">
        <v>172043.05</v>
      </c>
      <c r="EU252" s="2">
        <v>78777.210000000006</v>
      </c>
      <c r="EV252" s="2">
        <v>195694.06</v>
      </c>
      <c r="EW252" s="2">
        <v>433978.03</v>
      </c>
      <c r="EX252" s="2">
        <v>1090667.1299999999</v>
      </c>
      <c r="EY252" s="2">
        <v>2374577.77</v>
      </c>
      <c r="EZ252" s="2">
        <v>478781.262008716</v>
      </c>
      <c r="FA252" s="2">
        <v>135623.916017354</v>
      </c>
      <c r="FB252" s="2">
        <v>165878.65208433699</v>
      </c>
      <c r="FC252" s="2">
        <v>490320.358924172</v>
      </c>
      <c r="FD252" s="2">
        <v>785775.496663125</v>
      </c>
      <c r="FE252" s="2">
        <v>860197.30493980495</v>
      </c>
      <c r="FF252" s="2">
        <v>69158.880000000005</v>
      </c>
      <c r="FG252" s="2">
        <v>378338.04</v>
      </c>
      <c r="FH252" s="2">
        <v>257172.98</v>
      </c>
      <c r="FI252" s="2">
        <v>349238.34</v>
      </c>
      <c r="FJ252" s="2">
        <v>808656.23</v>
      </c>
      <c r="FK252" s="2">
        <v>1298753.81</v>
      </c>
      <c r="FL252" s="2">
        <v>142080.09602146101</v>
      </c>
      <c r="FM252" s="2">
        <v>117083.56784272499</v>
      </c>
      <c r="FN252" s="2">
        <v>723504.94882674702</v>
      </c>
      <c r="FO252" s="2">
        <v>419152.39381785702</v>
      </c>
      <c r="FP252" s="2">
        <v>3373987.8037220701</v>
      </c>
      <c r="FQ252" s="2">
        <v>574536.91176913597</v>
      </c>
      <c r="FR252" s="100">
        <v>80819.179999999993</v>
      </c>
      <c r="FS252" s="100">
        <v>813727.89</v>
      </c>
      <c r="FT252" s="100">
        <v>794561.22</v>
      </c>
      <c r="FU252" s="100">
        <v>561040.23</v>
      </c>
      <c r="FV252" s="100">
        <v>218800.94</v>
      </c>
      <c r="FW252" s="100">
        <v>172752.84814830599</v>
      </c>
      <c r="FX252" s="100">
        <v>621585.638012385</v>
      </c>
      <c r="FY252" s="100">
        <v>1170088.84910474</v>
      </c>
      <c r="FZ252" s="100">
        <v>665799.08079606504</v>
      </c>
      <c r="GA252" s="100">
        <v>9201611.3215604108</v>
      </c>
      <c r="GB252" s="100">
        <v>1305018.6190754001</v>
      </c>
      <c r="GC252" s="100">
        <v>1507066.62330269</v>
      </c>
      <c r="GE252" s="101">
        <f>SUM(FR252:GC252)</f>
        <v>17112872.440000001</v>
      </c>
    </row>
    <row r="253" spans="1:187">
      <c r="B253" s="59" t="s">
        <v>6</v>
      </c>
      <c r="C253" s="59">
        <v>731</v>
      </c>
      <c r="D253" s="59" t="str">
        <f t="shared" si="31"/>
        <v>7311p</v>
      </c>
      <c r="E253" s="60" t="s">
        <v>20</v>
      </c>
      <c r="F253" s="67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9"/>
      <c r="R253" s="67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9"/>
      <c r="AD253" s="67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9"/>
      <c r="AP253" s="67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9"/>
      <c r="BB253" s="67"/>
      <c r="BC253" s="68"/>
      <c r="BD253" s="68"/>
      <c r="BE253" s="68"/>
      <c r="BF253" s="68"/>
      <c r="BG253" s="68"/>
      <c r="BH253" s="68"/>
      <c r="BI253" s="68"/>
      <c r="BJ253" s="68"/>
      <c r="BK253" s="68"/>
      <c r="BL253" s="68"/>
      <c r="BM253" s="69"/>
      <c r="BN253" s="67"/>
      <c r="BO253" s="68"/>
      <c r="BP253" s="68"/>
      <c r="BQ253" s="68"/>
      <c r="BR253" s="68"/>
      <c r="BS253" s="68"/>
      <c r="BT253" s="68"/>
      <c r="BU253" s="68"/>
      <c r="BV253" s="68"/>
      <c r="BW253" s="68"/>
      <c r="BX253" s="68"/>
      <c r="BY253" s="69"/>
      <c r="BZ253" s="67"/>
      <c r="CA253" s="68"/>
      <c r="CB253" s="68"/>
      <c r="CC253" s="68"/>
      <c r="CD253" s="68"/>
      <c r="CE253" s="68"/>
      <c r="CF253" s="68"/>
      <c r="CG253" s="68"/>
      <c r="CH253" s="68"/>
      <c r="CI253" s="68"/>
      <c r="CJ253" s="68"/>
      <c r="CK253" s="68"/>
      <c r="CL253" s="67"/>
      <c r="CM253" s="68"/>
      <c r="CN253" s="68"/>
      <c r="CO253" s="68"/>
      <c r="CP253" s="68"/>
      <c r="CQ253" s="68"/>
      <c r="CR253" s="68"/>
      <c r="CS253" s="68"/>
      <c r="CT253" s="68"/>
      <c r="CU253" s="68"/>
      <c r="CV253" s="68"/>
      <c r="CW253" s="69"/>
      <c r="CX253" s="67"/>
      <c r="CY253" s="68"/>
      <c r="CZ253" s="68"/>
      <c r="DA253" s="68"/>
      <c r="DB253" s="68"/>
      <c r="DC253" s="68"/>
      <c r="DD253" s="68"/>
      <c r="DE253" s="68"/>
      <c r="DF253" s="68"/>
      <c r="DG253" s="68"/>
      <c r="DH253" s="68"/>
      <c r="DI253" s="69"/>
      <c r="DJ253" s="67">
        <v>0</v>
      </c>
      <c r="DK253" s="95">
        <v>0</v>
      </c>
      <c r="DL253" s="68">
        <v>0</v>
      </c>
      <c r="DM253" s="68">
        <v>0</v>
      </c>
      <c r="DN253" s="68">
        <v>0</v>
      </c>
      <c r="DO253" s="68">
        <v>0</v>
      </c>
      <c r="DP253" s="68">
        <v>0</v>
      </c>
      <c r="DQ253" s="68">
        <v>0</v>
      </c>
      <c r="DR253" s="68">
        <v>0</v>
      </c>
      <c r="DS253" s="68">
        <v>0</v>
      </c>
      <c r="DT253" s="68">
        <v>0</v>
      </c>
      <c r="DU253" s="69">
        <v>0</v>
      </c>
      <c r="DV253" s="83"/>
      <c r="DW253" s="83"/>
      <c r="DX253" s="83"/>
      <c r="DY253" s="83"/>
      <c r="DZ253" s="83"/>
      <c r="EA253" s="83"/>
      <c r="EB253" s="83"/>
      <c r="EC253" s="83"/>
      <c r="ED253" s="83"/>
      <c r="EE253" s="83"/>
      <c r="EF253" s="83"/>
      <c r="EG253" s="83"/>
      <c r="EH253" s="83"/>
      <c r="EI253" s="61"/>
      <c r="EJ253" s="61"/>
      <c r="EK253" s="61"/>
      <c r="EL253" s="61"/>
      <c r="EM253" s="61"/>
      <c r="EN253" s="61"/>
      <c r="EO253" s="61"/>
      <c r="EP253" s="61"/>
      <c r="EQ253" s="61"/>
      <c r="ER253" s="61"/>
      <c r="ES253" s="61"/>
      <c r="ET253" s="2">
        <v>172043.05</v>
      </c>
      <c r="EU253" s="2">
        <v>78777.210000000006</v>
      </c>
      <c r="EV253" s="2">
        <v>195694.06</v>
      </c>
      <c r="EW253" s="2">
        <v>433978.03</v>
      </c>
      <c r="EX253" s="2">
        <v>1090667.1299999999</v>
      </c>
      <c r="EY253" s="2">
        <v>2374577.77</v>
      </c>
      <c r="EZ253" s="2">
        <v>478781.262008716</v>
      </c>
      <c r="FA253" s="2">
        <v>135623.916017354</v>
      </c>
      <c r="FB253" s="2">
        <v>165878.65208433699</v>
      </c>
      <c r="FC253" s="2">
        <v>490320.358924172</v>
      </c>
      <c r="FD253" s="2">
        <v>785775.496663125</v>
      </c>
      <c r="FE253" s="2">
        <v>860197.30493980495</v>
      </c>
      <c r="FF253" s="1">
        <v>69158.880000000005</v>
      </c>
      <c r="FG253" s="1">
        <v>378338.04</v>
      </c>
      <c r="FH253" s="1">
        <v>257172.98</v>
      </c>
      <c r="FI253" s="1">
        <v>349238.34</v>
      </c>
      <c r="FJ253" s="1">
        <v>808656.23</v>
      </c>
      <c r="FK253" s="1">
        <v>1298753.81</v>
      </c>
      <c r="FL253" s="1">
        <v>142080.09602146101</v>
      </c>
      <c r="FM253" s="1">
        <v>117083.56784272499</v>
      </c>
      <c r="FN253" s="1">
        <v>723504.94882674702</v>
      </c>
      <c r="FO253" s="1">
        <v>419152.39381785702</v>
      </c>
      <c r="FP253" s="1">
        <v>3373987.8037220701</v>
      </c>
      <c r="FQ253" s="1">
        <v>574536.91176913597</v>
      </c>
      <c r="FR253" s="63">
        <v>80819.179999999993</v>
      </c>
      <c r="FS253" s="63">
        <v>813727.89</v>
      </c>
      <c r="FT253" s="63">
        <v>794561.22</v>
      </c>
      <c r="FU253" s="63">
        <v>561040.23</v>
      </c>
      <c r="FV253" s="63">
        <v>218800.94</v>
      </c>
      <c r="FW253" s="63">
        <v>172752.84814830599</v>
      </c>
      <c r="FX253" s="63">
        <v>621585.638012385</v>
      </c>
      <c r="FY253" s="63">
        <v>1170088.84910474</v>
      </c>
      <c r="FZ253" s="63">
        <v>665799.08079606504</v>
      </c>
      <c r="GA253" s="63">
        <v>9201611.3215604108</v>
      </c>
      <c r="GB253" s="63">
        <v>1305018.6190754001</v>
      </c>
      <c r="GC253" s="63">
        <v>1507066.62330269</v>
      </c>
      <c r="GE253" s="102">
        <f>SUM(FR253:GD253)</f>
        <v>17112872.440000001</v>
      </c>
    </row>
    <row r="254" spans="1:187" ht="30">
      <c r="C254" s="59">
        <v>732</v>
      </c>
      <c r="D254" s="59" t="str">
        <f t="shared" si="31"/>
        <v>7321p</v>
      </c>
      <c r="E254" s="60" t="s">
        <v>371</v>
      </c>
      <c r="F254" s="67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9"/>
      <c r="R254" s="67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9"/>
      <c r="AD254" s="67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9"/>
      <c r="AP254" s="67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9"/>
      <c r="BB254" s="67"/>
      <c r="BC254" s="68"/>
      <c r="BD254" s="68"/>
      <c r="BE254" s="68"/>
      <c r="BF254" s="68"/>
      <c r="BG254" s="68"/>
      <c r="BH254" s="68"/>
      <c r="BI254" s="68"/>
      <c r="BJ254" s="68"/>
      <c r="BK254" s="68"/>
      <c r="BL254" s="68"/>
      <c r="BM254" s="69"/>
      <c r="BN254" s="67"/>
      <c r="BO254" s="68"/>
      <c r="BP254" s="68"/>
      <c r="BQ254" s="68"/>
      <c r="BR254" s="68"/>
      <c r="BS254" s="68"/>
      <c r="BT254" s="68"/>
      <c r="BU254" s="68"/>
      <c r="BV254" s="68"/>
      <c r="BW254" s="68"/>
      <c r="BX254" s="68"/>
      <c r="BY254" s="69"/>
      <c r="BZ254" s="67"/>
      <c r="CA254" s="68"/>
      <c r="CB254" s="68"/>
      <c r="CC254" s="68"/>
      <c r="CD254" s="68"/>
      <c r="CE254" s="68"/>
      <c r="CF254" s="68"/>
      <c r="CG254" s="68"/>
      <c r="CH254" s="68"/>
      <c r="CI254" s="68"/>
      <c r="CJ254" s="68"/>
      <c r="CK254" s="68"/>
      <c r="CL254" s="67"/>
      <c r="CM254" s="68"/>
      <c r="CN254" s="68"/>
      <c r="CO254" s="68"/>
      <c r="CP254" s="68"/>
      <c r="CQ254" s="68"/>
      <c r="CR254" s="68"/>
      <c r="CS254" s="68"/>
      <c r="CT254" s="68"/>
      <c r="CU254" s="68"/>
      <c r="CV254" s="68"/>
      <c r="CW254" s="69"/>
      <c r="CX254" s="67"/>
      <c r="CY254" s="68"/>
      <c r="CZ254" s="68"/>
      <c r="DA254" s="68"/>
      <c r="DB254" s="68"/>
      <c r="DC254" s="68"/>
      <c r="DD254" s="68"/>
      <c r="DE254" s="68"/>
      <c r="DF254" s="68"/>
      <c r="DG254" s="68"/>
      <c r="DH254" s="68"/>
      <c r="DI254" s="69"/>
      <c r="DJ254" s="67">
        <v>0</v>
      </c>
      <c r="DK254" s="95">
        <v>0</v>
      </c>
      <c r="DL254" s="68">
        <v>0</v>
      </c>
      <c r="DM254" s="68">
        <v>0</v>
      </c>
      <c r="DN254" s="68">
        <v>0</v>
      </c>
      <c r="DO254" s="68">
        <v>0</v>
      </c>
      <c r="DP254" s="68">
        <v>0</v>
      </c>
      <c r="DQ254" s="68">
        <v>0</v>
      </c>
      <c r="DR254" s="68">
        <v>0</v>
      </c>
      <c r="DS254" s="68">
        <v>0</v>
      </c>
      <c r="DT254" s="68">
        <v>0</v>
      </c>
      <c r="DU254" s="69">
        <v>0</v>
      </c>
      <c r="DV254" s="83"/>
      <c r="DW254" s="83"/>
      <c r="DX254" s="83"/>
      <c r="DY254" s="83"/>
      <c r="DZ254" s="83"/>
      <c r="EA254" s="83"/>
      <c r="EB254" s="83"/>
      <c r="EC254" s="83"/>
      <c r="ED254" s="83"/>
      <c r="EE254" s="83"/>
      <c r="EF254" s="83"/>
      <c r="EG254" s="83"/>
      <c r="EH254" s="83"/>
      <c r="EI254" s="61"/>
      <c r="EJ254" s="61"/>
      <c r="EK254" s="61"/>
      <c r="EL254" s="61"/>
      <c r="EM254" s="61"/>
      <c r="EN254" s="61"/>
      <c r="EO254" s="61"/>
      <c r="EP254" s="61"/>
      <c r="EQ254" s="61"/>
      <c r="ER254" s="61"/>
      <c r="ES254" s="61"/>
      <c r="FS254" s="63">
        <v>0</v>
      </c>
      <c r="FT254" s="63">
        <v>0</v>
      </c>
      <c r="FU254" s="63">
        <v>0</v>
      </c>
      <c r="FV254" s="63">
        <v>0</v>
      </c>
      <c r="FW254" s="63">
        <v>0</v>
      </c>
      <c r="FX254" s="63">
        <v>0</v>
      </c>
      <c r="FY254" s="63">
        <v>0</v>
      </c>
      <c r="FZ254" s="63">
        <v>0</v>
      </c>
      <c r="GA254" s="63">
        <v>0</v>
      </c>
      <c r="GB254" s="63">
        <v>0</v>
      </c>
      <c r="GC254" s="63">
        <v>0</v>
      </c>
    </row>
    <row r="255" spans="1:187" s="2" customFormat="1">
      <c r="A255" s="71"/>
      <c r="B255" s="71">
        <v>74</v>
      </c>
      <c r="C255" s="71" t="s">
        <v>6</v>
      </c>
      <c r="D255" s="71" t="str">
        <f t="shared" si="31"/>
        <v>74p</v>
      </c>
      <c r="E255" s="72" t="s">
        <v>144</v>
      </c>
      <c r="F255" s="73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5"/>
      <c r="R255" s="73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5"/>
      <c r="AD255" s="73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5"/>
      <c r="AP255" s="73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5"/>
      <c r="BB255" s="73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5"/>
      <c r="BN255" s="73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5"/>
      <c r="BZ255" s="73"/>
      <c r="CA255" s="74"/>
      <c r="CB255" s="74"/>
      <c r="CC255" s="74"/>
      <c r="CD255" s="74"/>
      <c r="CE255" s="74"/>
      <c r="CF255" s="74"/>
      <c r="CG255" s="74"/>
      <c r="CH255" s="74"/>
      <c r="CI255" s="74"/>
      <c r="CJ255" s="74"/>
      <c r="CK255" s="74"/>
      <c r="CL255" s="73">
        <v>0</v>
      </c>
      <c r="CM255" s="74">
        <v>0</v>
      </c>
      <c r="CN255" s="74">
        <v>0</v>
      </c>
      <c r="CO255" s="74">
        <v>0</v>
      </c>
      <c r="CP255" s="74">
        <v>0</v>
      </c>
      <c r="CQ255" s="74">
        <v>0</v>
      </c>
      <c r="CR255" s="74">
        <v>0</v>
      </c>
      <c r="CS255" s="74">
        <v>0</v>
      </c>
      <c r="CT255" s="74">
        <v>0</v>
      </c>
      <c r="CU255" s="74">
        <v>0</v>
      </c>
      <c r="CV255" s="74">
        <v>0</v>
      </c>
      <c r="CW255" s="75">
        <v>0</v>
      </c>
      <c r="CX255" s="73">
        <v>666666.66666666698</v>
      </c>
      <c r="CY255" s="74">
        <v>666666.66666666698</v>
      </c>
      <c r="CZ255" s="74">
        <v>666666.66666666698</v>
      </c>
      <c r="DA255" s="74">
        <v>666666.66666666698</v>
      </c>
      <c r="DB255" s="74">
        <v>666666.66666666698</v>
      </c>
      <c r="DC255" s="74">
        <v>666666.66666666698</v>
      </c>
      <c r="DD255" s="74">
        <v>666666.66666666698</v>
      </c>
      <c r="DE255" s="74">
        <v>666666.66666666698</v>
      </c>
      <c r="DF255" s="74">
        <v>666666.66666666698</v>
      </c>
      <c r="DG255" s="74">
        <v>666666.66666666698</v>
      </c>
      <c r="DH255" s="74">
        <v>666666.66666666698</v>
      </c>
      <c r="DI255" s="75">
        <v>666666.66666666698</v>
      </c>
      <c r="DJ255" s="73">
        <v>151870.61020172099</v>
      </c>
      <c r="DK255" s="96">
        <v>759284.21401818597</v>
      </c>
      <c r="DL255" s="74">
        <v>232686.29412273201</v>
      </c>
      <c r="DM255" s="74">
        <v>680176.81394201098</v>
      </c>
      <c r="DN255" s="74">
        <v>334566.54127297702</v>
      </c>
      <c r="DO255" s="74">
        <v>290134.08358243498</v>
      </c>
      <c r="DP255" s="74">
        <v>384254.59140583902</v>
      </c>
      <c r="DQ255" s="74">
        <v>311193.369250838</v>
      </c>
      <c r="DR255" s="74">
        <v>574859.18368163705</v>
      </c>
      <c r="DS255" s="74">
        <v>752410.21529335005</v>
      </c>
      <c r="DT255" s="74">
        <v>963792.40888977901</v>
      </c>
      <c r="DU255" s="75">
        <v>1156891.4845592401</v>
      </c>
      <c r="DV255" s="97">
        <v>878692.974464264</v>
      </c>
      <c r="DW255" s="97">
        <v>1757032.3136169501</v>
      </c>
      <c r="DX255" s="97">
        <v>1641296.3253875501</v>
      </c>
      <c r="DY255" s="97">
        <v>2057251.9562577</v>
      </c>
      <c r="DZ255" s="97">
        <v>1165798.21240134</v>
      </c>
      <c r="EA255" s="97">
        <v>1626226.36701288</v>
      </c>
      <c r="EB255" s="97">
        <v>2268437.16119728</v>
      </c>
      <c r="EC255" s="97">
        <v>1088287.2617470601</v>
      </c>
      <c r="ED255" s="97">
        <v>2354336.3073598701</v>
      </c>
      <c r="EE255" s="97">
        <v>3603761.2068113899</v>
      </c>
      <c r="EF255" s="97">
        <v>3267998.0201318599</v>
      </c>
      <c r="EG255" s="97">
        <v>7546095.2223542202</v>
      </c>
      <c r="EH255" s="97">
        <v>547322.26784047706</v>
      </c>
      <c r="EI255" s="76">
        <v>467022.50625958299</v>
      </c>
      <c r="EJ255" s="76">
        <v>2218647.0372368302</v>
      </c>
      <c r="EK255" s="76">
        <v>1658251.9080133101</v>
      </c>
      <c r="EL255" s="76">
        <v>2940231.9146968802</v>
      </c>
      <c r="EM255" s="76">
        <v>3480111.7653140998</v>
      </c>
      <c r="EN255" s="76">
        <v>1506547.2713743299</v>
      </c>
      <c r="EO255" s="76">
        <v>1860592.15939265</v>
      </c>
      <c r="EP255" s="76">
        <v>4235813.51657023</v>
      </c>
      <c r="EQ255" s="76">
        <v>3997546.81724993</v>
      </c>
      <c r="ER255" s="76">
        <v>4745750.1562713301</v>
      </c>
      <c r="ES255" s="76">
        <v>7542162.6797803501</v>
      </c>
      <c r="ET255" s="2">
        <v>1518621.66</v>
      </c>
      <c r="EU255" s="2">
        <v>776556.18</v>
      </c>
      <c r="EV255" s="2">
        <v>1210159.24</v>
      </c>
      <c r="EW255" s="2">
        <v>8493510.6400000006</v>
      </c>
      <c r="EX255" s="2">
        <v>1746477.29</v>
      </c>
      <c r="EY255" s="2">
        <v>1532517.83</v>
      </c>
      <c r="EZ255" s="2">
        <v>2435550.5406138701</v>
      </c>
      <c r="FA255" s="2">
        <v>570671.53597611003</v>
      </c>
      <c r="FB255" s="2">
        <v>1353198.88018052</v>
      </c>
      <c r="FC255" s="2">
        <v>2470225.20254238</v>
      </c>
      <c r="FD255" s="2">
        <v>2112933.3732640101</v>
      </c>
      <c r="FE255" s="2">
        <v>7307967.0482751997</v>
      </c>
      <c r="FF255" s="2">
        <v>13526711.25</v>
      </c>
      <c r="FG255" s="2">
        <v>1001055.74</v>
      </c>
      <c r="FH255" s="2">
        <v>861265.77</v>
      </c>
      <c r="FI255" s="2">
        <v>627154.51</v>
      </c>
      <c r="FJ255" s="2">
        <v>1388870.5</v>
      </c>
      <c r="FK255" s="2">
        <v>827810.06</v>
      </c>
      <c r="FL255" s="2">
        <v>1487222.95806334</v>
      </c>
      <c r="FM255" s="2">
        <v>1494727.7085961699</v>
      </c>
      <c r="FN255" s="2">
        <v>1256927.06395571</v>
      </c>
      <c r="FO255" s="2">
        <v>2914661.9432842401</v>
      </c>
      <c r="FP255" s="2">
        <v>9560814.8118033893</v>
      </c>
      <c r="FQ255" s="2">
        <v>9532777.68429715</v>
      </c>
      <c r="FR255" s="100">
        <v>754264.83</v>
      </c>
      <c r="FS255" s="100">
        <v>1636489.54</v>
      </c>
      <c r="FT255" s="100">
        <v>3512551.56</v>
      </c>
      <c r="FU255" s="100">
        <v>2957605.59</v>
      </c>
      <c r="FV255" s="100">
        <v>1856477.6183333299</v>
      </c>
      <c r="FW255" s="100">
        <v>2156477.6183333299</v>
      </c>
      <c r="FX255" s="100">
        <v>1856477.6183333299</v>
      </c>
      <c r="FY255" s="100">
        <v>1856477.6183333299</v>
      </c>
      <c r="FZ255" s="100">
        <v>25000000</v>
      </c>
      <c r="GA255" s="100">
        <v>1856477.6183333299</v>
      </c>
      <c r="GB255" s="100">
        <v>1856477.6183333299</v>
      </c>
      <c r="GC255" s="100">
        <v>4700000</v>
      </c>
      <c r="GE255" s="101">
        <f>SUM(FR255:GC255)</f>
        <v>49999777.229999997</v>
      </c>
    </row>
    <row r="256" spans="1:187">
      <c r="C256" s="59">
        <v>741</v>
      </c>
      <c r="D256" s="59" t="str">
        <f t="shared" si="31"/>
        <v>7411p</v>
      </c>
      <c r="E256" s="60" t="s">
        <v>372</v>
      </c>
      <c r="F256" s="67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9"/>
      <c r="R256" s="67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9"/>
      <c r="AD256" s="67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9"/>
      <c r="AP256" s="67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9"/>
      <c r="BB256" s="67"/>
      <c r="BC256" s="68"/>
      <c r="BD256" s="68"/>
      <c r="BE256" s="68"/>
      <c r="BF256" s="68"/>
      <c r="BG256" s="68"/>
      <c r="BH256" s="68"/>
      <c r="BI256" s="68"/>
      <c r="BJ256" s="68"/>
      <c r="BK256" s="68"/>
      <c r="BL256" s="68"/>
      <c r="BM256" s="69"/>
      <c r="BN256" s="67"/>
      <c r="BO256" s="68"/>
      <c r="BP256" s="68"/>
      <c r="BQ256" s="68"/>
      <c r="BR256" s="68"/>
      <c r="BS256" s="68"/>
      <c r="BT256" s="68"/>
      <c r="BU256" s="68"/>
      <c r="BV256" s="68"/>
      <c r="BW256" s="68"/>
      <c r="BX256" s="68"/>
      <c r="BY256" s="69"/>
      <c r="BZ256" s="67"/>
      <c r="CA256" s="68"/>
      <c r="CB256" s="68"/>
      <c r="CC256" s="68"/>
      <c r="CD256" s="68"/>
      <c r="CE256" s="68"/>
      <c r="CF256" s="68"/>
      <c r="CG256" s="68"/>
      <c r="CH256" s="68"/>
      <c r="CI256" s="68"/>
      <c r="CJ256" s="68"/>
      <c r="CK256" s="68"/>
      <c r="CL256" s="67"/>
      <c r="CM256" s="68"/>
      <c r="CN256" s="68"/>
      <c r="CO256" s="68"/>
      <c r="CP256" s="68"/>
      <c r="CQ256" s="68"/>
      <c r="CR256" s="68"/>
      <c r="CS256" s="68"/>
      <c r="CT256" s="68"/>
      <c r="CU256" s="68"/>
      <c r="CV256" s="68"/>
      <c r="CW256" s="69"/>
      <c r="CX256" s="104"/>
      <c r="CY256" s="95"/>
      <c r="CZ256" s="95"/>
      <c r="DA256" s="95"/>
      <c r="DB256" s="95"/>
      <c r="DC256" s="95"/>
      <c r="DD256" s="95"/>
      <c r="DE256" s="95"/>
      <c r="DF256" s="95"/>
      <c r="DG256" s="95"/>
      <c r="DH256" s="95"/>
      <c r="DI256" s="105"/>
      <c r="DJ256" s="67">
        <v>0</v>
      </c>
      <c r="DK256" s="95">
        <v>0</v>
      </c>
      <c r="DL256" s="68">
        <v>0</v>
      </c>
      <c r="DM256" s="68">
        <v>0</v>
      </c>
      <c r="DN256" s="68">
        <v>0</v>
      </c>
      <c r="DO256" s="68">
        <v>0</v>
      </c>
      <c r="DP256" s="68">
        <v>0</v>
      </c>
      <c r="DQ256" s="68">
        <v>0</v>
      </c>
      <c r="DR256" s="68">
        <v>0</v>
      </c>
      <c r="DS256" s="68">
        <v>0</v>
      </c>
      <c r="DT256" s="68">
        <v>0</v>
      </c>
      <c r="DU256" s="69">
        <v>0</v>
      </c>
      <c r="DV256" s="83"/>
      <c r="DW256" s="83"/>
      <c r="DX256" s="83"/>
      <c r="DY256" s="83"/>
      <c r="DZ256" s="83"/>
      <c r="EA256" s="83"/>
      <c r="EB256" s="83"/>
      <c r="EC256" s="83"/>
      <c r="ED256" s="83"/>
      <c r="EE256" s="83"/>
      <c r="EF256" s="83"/>
      <c r="EG256" s="83"/>
      <c r="EH256" s="63"/>
      <c r="ET256" s="2">
        <v>1518621.66</v>
      </c>
      <c r="EU256" s="2">
        <v>776556.18</v>
      </c>
      <c r="EV256" s="2">
        <v>1210159.24</v>
      </c>
      <c r="EW256" s="2">
        <v>8493510.6400000006</v>
      </c>
      <c r="EX256" s="2">
        <v>1746477.29</v>
      </c>
      <c r="EY256" s="2">
        <v>1532517.83</v>
      </c>
      <c r="EZ256" s="2">
        <v>2435550.5406138701</v>
      </c>
      <c r="FA256" s="2">
        <v>570671.53597611003</v>
      </c>
      <c r="FB256" s="2">
        <v>1353198.88018052</v>
      </c>
      <c r="FC256" s="2">
        <v>2470225.20254238</v>
      </c>
      <c r="FD256" s="2">
        <v>2112933.3732640101</v>
      </c>
      <c r="FE256" s="2">
        <v>7307967.0482751997</v>
      </c>
      <c r="FF256" s="1">
        <v>13526711.25</v>
      </c>
      <c r="FG256" s="1">
        <v>1001055.74</v>
      </c>
      <c r="FH256" s="1">
        <v>861265.77</v>
      </c>
      <c r="FI256" s="1">
        <v>627154.51</v>
      </c>
      <c r="FJ256" s="1">
        <v>1388870.5</v>
      </c>
      <c r="FK256" s="1">
        <v>827810.06</v>
      </c>
      <c r="FL256" s="1">
        <v>1487222.95806334</v>
      </c>
      <c r="FM256" s="1">
        <v>1494727.7085961699</v>
      </c>
      <c r="FN256" s="1">
        <v>1256927.06395571</v>
      </c>
      <c r="FO256" s="1">
        <v>2914661.9432842401</v>
      </c>
      <c r="FP256" s="1">
        <v>9560814.8118033893</v>
      </c>
      <c r="FQ256" s="1">
        <v>9532777.68429715</v>
      </c>
      <c r="FS256" s="63"/>
      <c r="FT256" s="63"/>
      <c r="FU256" s="63"/>
      <c r="FV256" s="63"/>
      <c r="FW256" s="63"/>
      <c r="FX256" s="63"/>
      <c r="FY256" s="63"/>
      <c r="FZ256" s="63"/>
      <c r="GA256" s="63"/>
      <c r="GB256" s="63"/>
      <c r="GC256" s="63"/>
    </row>
    <row r="257" spans="1:187">
      <c r="C257" s="59">
        <v>742</v>
      </c>
      <c r="D257" s="59" t="str">
        <f t="shared" si="31"/>
        <v>7421p</v>
      </c>
      <c r="E257" s="60" t="s">
        <v>373</v>
      </c>
      <c r="F257" s="67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9"/>
      <c r="R257" s="67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9"/>
      <c r="AD257" s="67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9"/>
      <c r="AP257" s="67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9"/>
      <c r="BB257" s="67"/>
      <c r="BC257" s="68"/>
      <c r="BD257" s="68"/>
      <c r="BE257" s="68"/>
      <c r="BF257" s="68"/>
      <c r="BG257" s="68"/>
      <c r="BH257" s="68"/>
      <c r="BI257" s="68"/>
      <c r="BJ257" s="68"/>
      <c r="BK257" s="68"/>
      <c r="BL257" s="68"/>
      <c r="BM257" s="69"/>
      <c r="BN257" s="67"/>
      <c r="BO257" s="68"/>
      <c r="BP257" s="68"/>
      <c r="BQ257" s="68"/>
      <c r="BR257" s="68"/>
      <c r="BS257" s="68"/>
      <c r="BT257" s="68"/>
      <c r="BU257" s="68"/>
      <c r="BV257" s="68"/>
      <c r="BW257" s="68"/>
      <c r="BX257" s="68"/>
      <c r="BY257" s="69"/>
      <c r="BZ257" s="67"/>
      <c r="CA257" s="68"/>
      <c r="CB257" s="68"/>
      <c r="CC257" s="68"/>
      <c r="CD257" s="68"/>
      <c r="CE257" s="68"/>
      <c r="CF257" s="68"/>
      <c r="CG257" s="68"/>
      <c r="CH257" s="68"/>
      <c r="CI257" s="68"/>
      <c r="CJ257" s="68"/>
      <c r="CK257" s="68"/>
      <c r="CL257" s="67"/>
      <c r="CM257" s="68"/>
      <c r="CN257" s="68"/>
      <c r="CO257" s="68"/>
      <c r="CP257" s="68"/>
      <c r="CQ257" s="68"/>
      <c r="CR257" s="68"/>
      <c r="CS257" s="68"/>
      <c r="CT257" s="68"/>
      <c r="CU257" s="68"/>
      <c r="CV257" s="68"/>
      <c r="CW257" s="69"/>
      <c r="CX257" s="104"/>
      <c r="CY257" s="95"/>
      <c r="CZ257" s="95"/>
      <c r="DA257" s="95"/>
      <c r="DB257" s="95"/>
      <c r="DC257" s="95"/>
      <c r="DD257" s="95"/>
      <c r="DE257" s="95"/>
      <c r="DF257" s="95"/>
      <c r="DG257" s="95"/>
      <c r="DH257" s="95"/>
      <c r="DI257" s="105"/>
      <c r="DJ257" s="67">
        <v>0</v>
      </c>
      <c r="DK257" s="95">
        <v>0</v>
      </c>
      <c r="DL257" s="68">
        <v>0</v>
      </c>
      <c r="DM257" s="68">
        <v>0</v>
      </c>
      <c r="DN257" s="68">
        <v>0</v>
      </c>
      <c r="DO257" s="68">
        <v>0</v>
      </c>
      <c r="DP257" s="68">
        <v>0</v>
      </c>
      <c r="DQ257" s="68">
        <v>0</v>
      </c>
      <c r="DR257" s="68">
        <v>0</v>
      </c>
      <c r="DS257" s="68">
        <v>0</v>
      </c>
      <c r="DT257" s="68">
        <v>0</v>
      </c>
      <c r="DU257" s="69">
        <v>0</v>
      </c>
      <c r="DV257" s="83"/>
      <c r="DW257" s="83"/>
      <c r="DX257" s="83"/>
      <c r="DY257" s="83"/>
      <c r="DZ257" s="83"/>
      <c r="EA257" s="83"/>
      <c r="EB257" s="83"/>
      <c r="EC257" s="83"/>
      <c r="ED257" s="83"/>
      <c r="EE257" s="83"/>
      <c r="EF257" s="83"/>
      <c r="EG257" s="83"/>
      <c r="EH257" s="63"/>
    </row>
    <row r="258" spans="1:187">
      <c r="B258" s="59">
        <v>75</v>
      </c>
      <c r="D258" s="59" t="str">
        <f t="shared" ref="D258:D289" si="47">+CONCATENATE(D49,"p")</f>
        <v>75p</v>
      </c>
      <c r="E258" s="60" t="s">
        <v>374</v>
      </c>
      <c r="F258" s="67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9"/>
      <c r="R258" s="67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9"/>
      <c r="AD258" s="67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9"/>
      <c r="AP258" s="67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9"/>
      <c r="BB258" s="67"/>
      <c r="BC258" s="68"/>
      <c r="BD258" s="68"/>
      <c r="BE258" s="68"/>
      <c r="BF258" s="68"/>
      <c r="BG258" s="68"/>
      <c r="BH258" s="68"/>
      <c r="BI258" s="68"/>
      <c r="BJ258" s="68"/>
      <c r="BK258" s="68"/>
      <c r="BL258" s="68"/>
      <c r="BM258" s="69"/>
      <c r="BN258" s="67"/>
      <c r="BO258" s="68"/>
      <c r="BP258" s="68"/>
      <c r="BQ258" s="68"/>
      <c r="BR258" s="68"/>
      <c r="BS258" s="68"/>
      <c r="BT258" s="68"/>
      <c r="BU258" s="68"/>
      <c r="BV258" s="68"/>
      <c r="BW258" s="68"/>
      <c r="BX258" s="68"/>
      <c r="BY258" s="69"/>
      <c r="BZ258" s="67"/>
      <c r="CA258" s="68"/>
      <c r="CB258" s="68"/>
      <c r="CC258" s="68"/>
      <c r="CD258" s="68"/>
      <c r="CE258" s="68"/>
      <c r="CF258" s="68"/>
      <c r="CG258" s="68"/>
      <c r="CH258" s="68"/>
      <c r="CI258" s="68"/>
      <c r="CJ258" s="68"/>
      <c r="CK258" s="68"/>
      <c r="CL258" s="67"/>
      <c r="CM258" s="68"/>
      <c r="CN258" s="68"/>
      <c r="CO258" s="68"/>
      <c r="CP258" s="68"/>
      <c r="CQ258" s="68"/>
      <c r="CR258" s="68"/>
      <c r="CS258" s="68"/>
      <c r="CT258" s="68"/>
      <c r="CU258" s="68"/>
      <c r="CV258" s="68"/>
      <c r="CW258" s="69"/>
      <c r="CX258" s="104"/>
      <c r="CY258" s="95"/>
      <c r="CZ258" s="95"/>
      <c r="DA258" s="95"/>
      <c r="DB258" s="95"/>
      <c r="DC258" s="95"/>
      <c r="DD258" s="95"/>
      <c r="DE258" s="95"/>
      <c r="DF258" s="95"/>
      <c r="DG258" s="95"/>
      <c r="DH258" s="95"/>
      <c r="DI258" s="105"/>
      <c r="DJ258" s="67"/>
      <c r="DK258" s="95"/>
      <c r="DL258" s="68"/>
      <c r="DM258" s="68"/>
      <c r="DN258" s="68"/>
      <c r="DO258" s="68"/>
      <c r="DP258" s="68"/>
      <c r="DQ258" s="68"/>
      <c r="DR258" s="68"/>
      <c r="DS258" s="68"/>
      <c r="DT258" s="68"/>
      <c r="DU258" s="69"/>
      <c r="DV258" s="83"/>
      <c r="DW258" s="83"/>
      <c r="DX258" s="83"/>
      <c r="DY258" s="83"/>
      <c r="DZ258" s="83"/>
      <c r="EA258" s="83"/>
      <c r="EB258" s="83"/>
      <c r="EC258" s="83"/>
      <c r="ED258" s="83"/>
      <c r="EE258" s="83"/>
      <c r="EF258" s="83"/>
      <c r="EG258" s="83"/>
      <c r="EH258" s="63"/>
    </row>
    <row r="259" spans="1:187" s="2" customFormat="1">
      <c r="A259" s="71"/>
      <c r="B259" s="71"/>
      <c r="C259" s="71">
        <v>751</v>
      </c>
      <c r="D259" s="71" t="str">
        <f t="shared" si="47"/>
        <v>751p</v>
      </c>
      <c r="E259" s="72" t="s">
        <v>22</v>
      </c>
      <c r="F259" s="73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5"/>
      <c r="R259" s="73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5"/>
      <c r="AD259" s="73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5"/>
      <c r="AP259" s="73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5"/>
      <c r="BB259" s="73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5"/>
      <c r="BN259" s="73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5"/>
      <c r="BZ259" s="73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3">
        <f t="shared" ref="CL259:CX259" si="48">+SUM(CL260:CL261)</f>
        <v>0</v>
      </c>
      <c r="CM259" s="74">
        <f t="shared" si="48"/>
        <v>0</v>
      </c>
      <c r="CN259" s="106">
        <f t="shared" si="48"/>
        <v>0</v>
      </c>
      <c r="CO259" s="106">
        <f t="shared" si="48"/>
        <v>200000000</v>
      </c>
      <c r="CP259" s="106">
        <f t="shared" si="48"/>
        <v>0</v>
      </c>
      <c r="CQ259" s="106">
        <f t="shared" si="48"/>
        <v>0</v>
      </c>
      <c r="CR259" s="106">
        <f t="shared" si="48"/>
        <v>0</v>
      </c>
      <c r="CS259" s="106">
        <f t="shared" si="48"/>
        <v>0</v>
      </c>
      <c r="CT259" s="106">
        <f t="shared" si="48"/>
        <v>0</v>
      </c>
      <c r="CU259" s="106">
        <f t="shared" si="48"/>
        <v>50000000</v>
      </c>
      <c r="CV259" s="106">
        <f t="shared" si="48"/>
        <v>0</v>
      </c>
      <c r="CW259" s="106">
        <f t="shared" si="48"/>
        <v>0</v>
      </c>
      <c r="CX259" s="106">
        <f t="shared" si="48"/>
        <v>18997964.655235801</v>
      </c>
      <c r="CY259" s="106">
        <f t="shared" ref="CY259:DJ259" si="49">+SUM(CY260:CY261)</f>
        <v>18997964.655235801</v>
      </c>
      <c r="CZ259" s="106">
        <f t="shared" si="49"/>
        <v>18997964.655235801</v>
      </c>
      <c r="DA259" s="106">
        <f t="shared" si="49"/>
        <v>18997964.655235801</v>
      </c>
      <c r="DB259" s="106">
        <f t="shared" si="49"/>
        <v>18997964.655235801</v>
      </c>
      <c r="DC259" s="106">
        <f t="shared" si="49"/>
        <v>18997964.655235801</v>
      </c>
      <c r="DD259" s="106">
        <f t="shared" si="49"/>
        <v>18997964.655235801</v>
      </c>
      <c r="DE259" s="106">
        <f t="shared" si="49"/>
        <v>18997964.655235801</v>
      </c>
      <c r="DF259" s="106">
        <f t="shared" si="49"/>
        <v>18997964.655235801</v>
      </c>
      <c r="DG259" s="106">
        <f t="shared" si="49"/>
        <v>18997964.655235801</v>
      </c>
      <c r="DH259" s="106">
        <f t="shared" si="49"/>
        <v>18997964.655235801</v>
      </c>
      <c r="DI259" s="106">
        <f t="shared" si="49"/>
        <v>18997964.655235801</v>
      </c>
      <c r="DJ259" s="106">
        <f t="shared" si="49"/>
        <v>52840136.5697181</v>
      </c>
      <c r="DK259" s="106">
        <f t="shared" ref="DK259:DU259" si="50">+SUM(DK260:DK261)</f>
        <v>52840136.5697181</v>
      </c>
      <c r="DL259" s="106">
        <f t="shared" si="50"/>
        <v>52840136.5697181</v>
      </c>
      <c r="DM259" s="106">
        <f t="shared" si="50"/>
        <v>52840136.5697181</v>
      </c>
      <c r="DN259" s="106">
        <f t="shared" si="50"/>
        <v>52840136.5697181</v>
      </c>
      <c r="DO259" s="106">
        <f t="shared" si="50"/>
        <v>52840136.5697181</v>
      </c>
      <c r="DP259" s="106">
        <f t="shared" si="50"/>
        <v>52840136.5697181</v>
      </c>
      <c r="DQ259" s="106">
        <f t="shared" si="50"/>
        <v>52840136.5697181</v>
      </c>
      <c r="DR259" s="106">
        <f t="shared" si="50"/>
        <v>52840136.5697181</v>
      </c>
      <c r="DS259" s="106">
        <f t="shared" si="50"/>
        <v>52840136.5697181</v>
      </c>
      <c r="DT259" s="106">
        <f t="shared" si="50"/>
        <v>52840136.5697181</v>
      </c>
      <c r="DU259" s="106">
        <f t="shared" si="50"/>
        <v>52840136.5697181</v>
      </c>
      <c r="DV259" s="106">
        <f>SUM(DV260:DV261)</f>
        <v>55595756.0880467</v>
      </c>
      <c r="DW259" s="106">
        <f t="shared" ref="DW259:EG259" si="51">SUM(DW260:DW261)</f>
        <v>55595756.0880467</v>
      </c>
      <c r="DX259" s="106">
        <f t="shared" si="51"/>
        <v>55595756.0880467</v>
      </c>
      <c r="DY259" s="106">
        <f t="shared" si="51"/>
        <v>55595756.0880467</v>
      </c>
      <c r="DZ259" s="106">
        <f t="shared" si="51"/>
        <v>55595756.0880467</v>
      </c>
      <c r="EA259" s="106">
        <f t="shared" si="51"/>
        <v>55595756.0880467</v>
      </c>
      <c r="EB259" s="106">
        <f t="shared" si="51"/>
        <v>55595756.0880467</v>
      </c>
      <c r="EC259" s="106">
        <f t="shared" si="51"/>
        <v>55595756.0880467</v>
      </c>
      <c r="ED259" s="106">
        <f t="shared" si="51"/>
        <v>55595756.0880467</v>
      </c>
      <c r="EE259" s="106">
        <f t="shared" si="51"/>
        <v>55595756.0880467</v>
      </c>
      <c r="EF259" s="106">
        <f t="shared" si="51"/>
        <v>55595756.0880467</v>
      </c>
      <c r="EG259" s="106">
        <f t="shared" si="51"/>
        <v>55595756.0880467</v>
      </c>
      <c r="EH259" s="106">
        <f t="shared" ref="EH259:ES259" si="52">SUM(EH260:EH261)</f>
        <v>37847818.636239201</v>
      </c>
      <c r="EI259" s="106">
        <f t="shared" si="52"/>
        <v>37847818.636239201</v>
      </c>
      <c r="EJ259" s="106">
        <f t="shared" si="52"/>
        <v>37847818.636239201</v>
      </c>
      <c r="EK259" s="106">
        <f t="shared" si="52"/>
        <v>37847818.636239201</v>
      </c>
      <c r="EL259" s="106">
        <f t="shared" si="52"/>
        <v>37847818.636239201</v>
      </c>
      <c r="EM259" s="106">
        <f t="shared" si="52"/>
        <v>37847818.636239201</v>
      </c>
      <c r="EN259" s="106">
        <f t="shared" si="52"/>
        <v>37847818.636239201</v>
      </c>
      <c r="EO259" s="106">
        <f t="shared" si="52"/>
        <v>37847818.636239201</v>
      </c>
      <c r="EP259" s="106">
        <f t="shared" si="52"/>
        <v>37847818.636239201</v>
      </c>
      <c r="EQ259" s="106">
        <f t="shared" si="52"/>
        <v>37847818.636239201</v>
      </c>
      <c r="ER259" s="106">
        <f t="shared" si="52"/>
        <v>37847818.636239201</v>
      </c>
      <c r="ES259" s="106">
        <f t="shared" si="52"/>
        <v>37847818.636239201</v>
      </c>
      <c r="ET259" s="106"/>
      <c r="EU259" s="106"/>
      <c r="EV259" s="106"/>
      <c r="EW259" s="106"/>
      <c r="EX259" s="106"/>
      <c r="EY259" s="106"/>
      <c r="EZ259" s="106"/>
      <c r="FA259" s="106"/>
      <c r="FB259" s="106"/>
      <c r="FC259" s="106"/>
      <c r="FD259" s="106"/>
      <c r="FE259" s="106"/>
      <c r="FF259" s="106">
        <v>24022843.850000001</v>
      </c>
      <c r="FG259" s="106">
        <v>0</v>
      </c>
      <c r="FH259" s="106">
        <v>107399337.39</v>
      </c>
      <c r="FI259" s="106">
        <v>15000000</v>
      </c>
      <c r="FJ259" s="106">
        <v>112000000</v>
      </c>
      <c r="FK259" s="106">
        <v>17000000</v>
      </c>
      <c r="FL259" s="106">
        <v>17000000</v>
      </c>
      <c r="FM259" s="106">
        <v>15000000</v>
      </c>
      <c r="FN259" s="106">
        <v>17000000</v>
      </c>
      <c r="FO259" s="106">
        <v>17000000</v>
      </c>
      <c r="FP259" s="106">
        <v>15000000</v>
      </c>
      <c r="FQ259" s="106">
        <v>13983087.5015538</v>
      </c>
      <c r="FR259" s="106">
        <f>SUM(FR260:FR261)</f>
        <v>316564.84000000003</v>
      </c>
      <c r="FS259" s="106">
        <f t="shared" ref="FS259:GC259" si="53">SUM(FS260:FS261)</f>
        <v>1511136.76</v>
      </c>
      <c r="FT259" s="106">
        <f t="shared" si="53"/>
        <v>3834054.75</v>
      </c>
      <c r="FU259" s="106">
        <f t="shared" si="53"/>
        <v>4493810.3600000003</v>
      </c>
      <c r="FV259" s="106">
        <f t="shared" si="53"/>
        <v>250307576.15000001</v>
      </c>
      <c r="FW259" s="106">
        <f t="shared" si="53"/>
        <v>10146635.9985714</v>
      </c>
      <c r="FX259" s="106">
        <f t="shared" si="53"/>
        <v>10146635.9985714</v>
      </c>
      <c r="FY259" s="106">
        <f t="shared" si="53"/>
        <v>10146635.9985714</v>
      </c>
      <c r="FZ259" s="106">
        <f t="shared" si="53"/>
        <v>10146635.9985714</v>
      </c>
      <c r="GA259" s="106">
        <f t="shared" si="53"/>
        <v>10146635.9985714</v>
      </c>
      <c r="GB259" s="106">
        <f t="shared" si="53"/>
        <v>10146635.9985714</v>
      </c>
      <c r="GC259" s="106">
        <f t="shared" si="53"/>
        <v>10146635.9985714</v>
      </c>
      <c r="GE259" s="101">
        <f>SUM(FR259:GC259)</f>
        <v>331489594.85000002</v>
      </c>
    </row>
    <row r="260" spans="1:187" ht="30">
      <c r="D260" s="59" t="str">
        <f t="shared" si="47"/>
        <v>7511p</v>
      </c>
      <c r="E260" s="60" t="s">
        <v>176</v>
      </c>
      <c r="F260" s="67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9"/>
      <c r="R260" s="67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9"/>
      <c r="AD260" s="67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9"/>
      <c r="AP260" s="67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9"/>
      <c r="BB260" s="67"/>
      <c r="BC260" s="68"/>
      <c r="BD260" s="68"/>
      <c r="BE260" s="68"/>
      <c r="BF260" s="68"/>
      <c r="BG260" s="68"/>
      <c r="BH260" s="68"/>
      <c r="BI260" s="68"/>
      <c r="BJ260" s="68"/>
      <c r="BK260" s="68"/>
      <c r="BL260" s="68"/>
      <c r="BM260" s="69"/>
      <c r="BN260" s="67"/>
      <c r="BO260" s="68"/>
      <c r="BP260" s="68"/>
      <c r="BQ260" s="68"/>
      <c r="BR260" s="68"/>
      <c r="BS260" s="68"/>
      <c r="BT260" s="68"/>
      <c r="BU260" s="68"/>
      <c r="BV260" s="68"/>
      <c r="BW260" s="68"/>
      <c r="BX260" s="68"/>
      <c r="BY260" s="69"/>
      <c r="BZ260" s="67"/>
      <c r="CA260" s="68"/>
      <c r="CB260" s="68"/>
      <c r="CC260" s="68"/>
      <c r="CD260" s="68"/>
      <c r="CE260" s="68"/>
      <c r="CF260" s="68"/>
      <c r="CG260" s="68"/>
      <c r="CH260" s="68"/>
      <c r="CI260" s="68"/>
      <c r="CJ260" s="68"/>
      <c r="CK260" s="68"/>
      <c r="CL260" s="67"/>
      <c r="CM260" s="68"/>
      <c r="CN260" s="68"/>
      <c r="CO260" s="68"/>
      <c r="CP260" s="68"/>
      <c r="CQ260" s="68"/>
      <c r="CR260" s="68"/>
      <c r="CS260" s="68"/>
      <c r="CT260" s="68"/>
      <c r="CU260" s="68"/>
      <c r="CV260" s="68"/>
      <c r="CW260" s="69"/>
      <c r="CX260" s="107">
        <v>0</v>
      </c>
      <c r="CY260" s="108">
        <v>0</v>
      </c>
      <c r="CZ260" s="108">
        <v>0</v>
      </c>
      <c r="DA260" s="108">
        <v>0</v>
      </c>
      <c r="DB260" s="108">
        <v>0</v>
      </c>
      <c r="DC260" s="108">
        <v>0</v>
      </c>
      <c r="DD260" s="108">
        <v>0</v>
      </c>
      <c r="DE260" s="108">
        <v>0</v>
      </c>
      <c r="DF260" s="108">
        <v>0</v>
      </c>
      <c r="DG260" s="108">
        <v>0</v>
      </c>
      <c r="DH260" s="108">
        <v>0</v>
      </c>
      <c r="DI260" s="109">
        <v>0</v>
      </c>
      <c r="DJ260" s="67"/>
      <c r="DK260" s="95"/>
      <c r="DL260" s="68"/>
      <c r="DM260" s="68"/>
      <c r="DN260" s="68"/>
      <c r="DO260" s="68"/>
      <c r="DP260" s="68"/>
      <c r="DQ260" s="68"/>
      <c r="DR260" s="68"/>
      <c r="DS260" s="68"/>
      <c r="DT260" s="68"/>
      <c r="DU260" s="69"/>
      <c r="DV260" s="83">
        <v>833333.33333333302</v>
      </c>
      <c r="DW260" s="83">
        <v>833333.33333333302</v>
      </c>
      <c r="DX260" s="83">
        <v>833333.33333333302</v>
      </c>
      <c r="DY260" s="83">
        <v>833333.33333333302</v>
      </c>
      <c r="DZ260" s="83">
        <v>833333.33333333302</v>
      </c>
      <c r="EA260" s="83">
        <v>833333.33333333302</v>
      </c>
      <c r="EB260" s="83">
        <v>833333.33333333302</v>
      </c>
      <c r="EC260" s="83">
        <v>833333.33333333302</v>
      </c>
      <c r="ED260" s="83">
        <v>833333.33333333302</v>
      </c>
      <c r="EE260" s="83">
        <v>833333.33333333302</v>
      </c>
      <c r="EF260" s="83">
        <v>833333.33333333302</v>
      </c>
      <c r="EG260" s="83">
        <v>833333.33333333302</v>
      </c>
      <c r="EH260" s="83">
        <v>8333333.3333333302</v>
      </c>
      <c r="EI260" s="83">
        <v>8333333.3333333302</v>
      </c>
      <c r="EJ260" s="83">
        <v>8333333.3333333302</v>
      </c>
      <c r="EK260" s="83">
        <v>8333333.3333333302</v>
      </c>
      <c r="EL260" s="83">
        <v>8333333.3333333302</v>
      </c>
      <c r="EM260" s="83">
        <v>8333333.3333333302</v>
      </c>
      <c r="EN260" s="83">
        <v>8333333.3333333302</v>
      </c>
      <c r="EO260" s="83">
        <v>8333333.3333333302</v>
      </c>
      <c r="EP260" s="83">
        <v>8333333.3333333302</v>
      </c>
      <c r="EQ260" s="83">
        <v>8333333.3333333302</v>
      </c>
      <c r="ER260" s="83">
        <v>8333333.3333333302</v>
      </c>
      <c r="ES260" s="83">
        <v>8333333.3333333302</v>
      </c>
      <c r="FH260" s="1">
        <v>95000000</v>
      </c>
      <c r="FJ260" s="1">
        <v>95000000</v>
      </c>
    </row>
    <row r="261" spans="1:187" ht="30">
      <c r="D261" s="59" t="str">
        <f t="shared" si="47"/>
        <v>7512p</v>
      </c>
      <c r="E261" s="60" t="s">
        <v>177</v>
      </c>
      <c r="F261" s="67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9"/>
      <c r="R261" s="67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9"/>
      <c r="AD261" s="67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9"/>
      <c r="AP261" s="67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9"/>
      <c r="BB261" s="67"/>
      <c r="BC261" s="68"/>
      <c r="BD261" s="68"/>
      <c r="BE261" s="68"/>
      <c r="BF261" s="68"/>
      <c r="BG261" s="68"/>
      <c r="BH261" s="68"/>
      <c r="BI261" s="68"/>
      <c r="BJ261" s="68"/>
      <c r="BK261" s="68"/>
      <c r="BL261" s="68"/>
      <c r="BM261" s="69"/>
      <c r="BN261" s="67"/>
      <c r="BO261" s="68"/>
      <c r="BP261" s="68"/>
      <c r="BQ261" s="68"/>
      <c r="BR261" s="68"/>
      <c r="BS261" s="68"/>
      <c r="BT261" s="68"/>
      <c r="BU261" s="68"/>
      <c r="BV261" s="68"/>
      <c r="BW261" s="68"/>
      <c r="BX261" s="68"/>
      <c r="BY261" s="69"/>
      <c r="BZ261" s="67"/>
      <c r="CA261" s="68"/>
      <c r="CB261" s="68"/>
      <c r="CC261" s="68"/>
      <c r="CD261" s="68"/>
      <c r="CE261" s="68"/>
      <c r="CF261" s="68"/>
      <c r="CG261" s="68"/>
      <c r="CH261" s="68"/>
      <c r="CI261" s="68"/>
      <c r="CJ261" s="68"/>
      <c r="CK261" s="68"/>
      <c r="CL261" s="67">
        <v>0</v>
      </c>
      <c r="CM261" s="68">
        <v>0</v>
      </c>
      <c r="CN261" s="68">
        <v>0</v>
      </c>
      <c r="CO261" s="68">
        <v>200000000</v>
      </c>
      <c r="CP261" s="68">
        <v>0</v>
      </c>
      <c r="CQ261" s="68">
        <v>0</v>
      </c>
      <c r="CR261" s="68">
        <v>0</v>
      </c>
      <c r="CS261" s="68">
        <v>0</v>
      </c>
      <c r="CT261" s="68">
        <v>0</v>
      </c>
      <c r="CU261" s="68">
        <v>50000000</v>
      </c>
      <c r="CV261" s="68">
        <v>0</v>
      </c>
      <c r="CW261" s="69">
        <v>0</v>
      </c>
      <c r="CX261" s="107">
        <v>18997964.655235801</v>
      </c>
      <c r="CY261" s="108">
        <v>18997964.655235801</v>
      </c>
      <c r="CZ261" s="108">
        <v>18997964.655235801</v>
      </c>
      <c r="DA261" s="108">
        <v>18997964.655235801</v>
      </c>
      <c r="DB261" s="108">
        <v>18997964.655235801</v>
      </c>
      <c r="DC261" s="108">
        <v>18997964.655235801</v>
      </c>
      <c r="DD261" s="108">
        <v>18997964.655235801</v>
      </c>
      <c r="DE261" s="108">
        <v>18997964.655235801</v>
      </c>
      <c r="DF261" s="108">
        <v>18997964.655235801</v>
      </c>
      <c r="DG261" s="108">
        <v>18997964.655235801</v>
      </c>
      <c r="DH261" s="108">
        <v>18997964.655235801</v>
      </c>
      <c r="DI261" s="109">
        <v>18997964.655235801</v>
      </c>
      <c r="DJ261" s="67">
        <v>52840136.5697181</v>
      </c>
      <c r="DK261" s="95">
        <v>52840136.5697181</v>
      </c>
      <c r="DL261" s="68">
        <v>52840136.5697181</v>
      </c>
      <c r="DM261" s="68">
        <v>52840136.5697181</v>
      </c>
      <c r="DN261" s="68">
        <v>52840136.5697181</v>
      </c>
      <c r="DO261" s="68">
        <v>52840136.5697181</v>
      </c>
      <c r="DP261" s="68">
        <v>52840136.5697181</v>
      </c>
      <c r="DQ261" s="68">
        <v>52840136.5697181</v>
      </c>
      <c r="DR261" s="68">
        <v>52840136.5697181</v>
      </c>
      <c r="DS261" s="68">
        <v>52840136.5697181</v>
      </c>
      <c r="DT261" s="68">
        <v>52840136.5697181</v>
      </c>
      <c r="DU261" s="69">
        <v>52840136.5697181</v>
      </c>
      <c r="DV261" s="83">
        <v>54762422.754713297</v>
      </c>
      <c r="DW261" s="83">
        <v>54762422.754713297</v>
      </c>
      <c r="DX261" s="83">
        <v>54762422.754713297</v>
      </c>
      <c r="DY261" s="83">
        <v>54762422.754713297</v>
      </c>
      <c r="DZ261" s="83">
        <v>54762422.754713297</v>
      </c>
      <c r="EA261" s="83">
        <v>54762422.754713297</v>
      </c>
      <c r="EB261" s="83">
        <v>54762422.754713297</v>
      </c>
      <c r="EC261" s="83">
        <v>54762422.754713297</v>
      </c>
      <c r="ED261" s="83">
        <v>54762422.754713297</v>
      </c>
      <c r="EE261" s="83">
        <v>54762422.754713297</v>
      </c>
      <c r="EF261" s="83">
        <v>54762422.754713297</v>
      </c>
      <c r="EG261" s="83">
        <v>54762422.754713297</v>
      </c>
      <c r="EH261" s="83">
        <v>29514485.302905802</v>
      </c>
      <c r="EI261" s="83">
        <v>29514485.302905802</v>
      </c>
      <c r="EJ261" s="83">
        <v>29514485.302905802</v>
      </c>
      <c r="EK261" s="83">
        <v>29514485.302905802</v>
      </c>
      <c r="EL261" s="83">
        <v>29514485.302905802</v>
      </c>
      <c r="EM261" s="83">
        <v>29514485.302905802</v>
      </c>
      <c r="EN261" s="83">
        <v>29514485.302905802</v>
      </c>
      <c r="EO261" s="83">
        <v>29514485.302905802</v>
      </c>
      <c r="EP261" s="83">
        <v>29514485.302905802</v>
      </c>
      <c r="EQ261" s="83">
        <v>29514485.302905802</v>
      </c>
      <c r="ER261" s="83">
        <v>29514485.302905802</v>
      </c>
      <c r="ES261" s="83">
        <v>29514485.302905802</v>
      </c>
      <c r="ET261" s="1">
        <v>24658333.329999998</v>
      </c>
      <c r="EU261" s="1">
        <v>24658333.329999998</v>
      </c>
      <c r="EV261" s="1">
        <v>24658333.329999998</v>
      </c>
      <c r="EW261" s="1">
        <v>24658333.329999998</v>
      </c>
      <c r="EX261" s="1">
        <v>24658333.329999998</v>
      </c>
      <c r="EY261" s="1">
        <v>24658333.329999998</v>
      </c>
      <c r="EZ261" s="1">
        <v>24658333.329999998</v>
      </c>
      <c r="FA261" s="1">
        <v>24658333.329999998</v>
      </c>
      <c r="FB261" s="1">
        <v>24658333.329999998</v>
      </c>
      <c r="FC261" s="1">
        <v>24658333.329999998</v>
      </c>
      <c r="FD261" s="1">
        <v>24658333.329999998</v>
      </c>
      <c r="FE261" s="1">
        <v>468022681.93578702</v>
      </c>
      <c r="FF261" s="1">
        <v>24022843.850000001</v>
      </c>
      <c r="FH261" s="1">
        <v>12399337.390000001</v>
      </c>
      <c r="FI261" s="1">
        <v>15000000</v>
      </c>
      <c r="FJ261" s="1">
        <v>17000000</v>
      </c>
      <c r="FK261" s="1">
        <v>17000000</v>
      </c>
      <c r="FL261" s="1">
        <v>17000000</v>
      </c>
      <c r="FM261" s="1">
        <v>15000000</v>
      </c>
      <c r="FN261" s="1">
        <v>17000000</v>
      </c>
      <c r="FO261" s="1">
        <v>17000000</v>
      </c>
      <c r="FP261" s="1">
        <v>15000000</v>
      </c>
      <c r="FQ261" s="1">
        <v>13983087.5015538</v>
      </c>
      <c r="FR261" s="63">
        <v>316564.84000000003</v>
      </c>
      <c r="FS261" s="63">
        <v>1511136.76</v>
      </c>
      <c r="FT261" s="63">
        <v>3834054.75</v>
      </c>
      <c r="FU261" s="63">
        <v>4493810.3600000003</v>
      </c>
      <c r="FV261" s="63">
        <v>250307576.15000001</v>
      </c>
      <c r="FW261" s="63">
        <v>10146635.9985714</v>
      </c>
      <c r="FX261" s="63">
        <v>10146635.9985714</v>
      </c>
      <c r="FY261" s="63">
        <v>10146635.9985714</v>
      </c>
      <c r="FZ261" s="63">
        <v>10146635.9985714</v>
      </c>
      <c r="GA261" s="63">
        <v>10146635.9985714</v>
      </c>
      <c r="GB261" s="63">
        <v>10146635.9985714</v>
      </c>
      <c r="GC261" s="63">
        <v>10146635.9985714</v>
      </c>
      <c r="GE261" s="101">
        <f>SUM(FR261:GD261)</f>
        <v>331489594.85000002</v>
      </c>
    </row>
    <row r="262" spans="1:187">
      <c r="A262" s="59">
        <v>4</v>
      </c>
      <c r="B262" s="59" t="s">
        <v>6</v>
      </c>
      <c r="D262" s="59" t="str">
        <f t="shared" si="47"/>
        <v>p</v>
      </c>
      <c r="E262" s="60" t="s">
        <v>375</v>
      </c>
      <c r="F262" s="67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9"/>
      <c r="R262" s="67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9"/>
      <c r="AD262" s="67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9"/>
      <c r="AP262" s="67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9"/>
      <c r="BB262" s="67"/>
      <c r="BC262" s="68"/>
      <c r="BD262" s="68"/>
      <c r="BE262" s="68"/>
      <c r="BF262" s="68"/>
      <c r="BG262" s="68"/>
      <c r="BH262" s="68"/>
      <c r="BI262" s="68"/>
      <c r="BJ262" s="68"/>
      <c r="BK262" s="68"/>
      <c r="BL262" s="68"/>
      <c r="BM262" s="69"/>
      <c r="BN262" s="67"/>
      <c r="BO262" s="68"/>
      <c r="BP262" s="68"/>
      <c r="BQ262" s="68"/>
      <c r="BR262" s="68"/>
      <c r="BS262" s="68"/>
      <c r="BT262" s="68"/>
      <c r="BU262" s="68"/>
      <c r="BV262" s="68"/>
      <c r="BW262" s="68"/>
      <c r="BX262" s="68"/>
      <c r="BY262" s="69"/>
      <c r="BZ262" s="67"/>
      <c r="CA262" s="68"/>
      <c r="CB262" s="68"/>
      <c r="CC262" s="68"/>
      <c r="CD262" s="68"/>
      <c r="CE262" s="68"/>
      <c r="CF262" s="68"/>
      <c r="CG262" s="68"/>
      <c r="CH262" s="68"/>
      <c r="CI262" s="68"/>
      <c r="CJ262" s="68"/>
      <c r="CK262" s="68"/>
      <c r="CL262" s="67"/>
      <c r="CM262" s="68"/>
      <c r="CN262" s="68"/>
      <c r="CO262" s="68"/>
      <c r="CP262" s="68"/>
      <c r="CQ262" s="68"/>
      <c r="CR262" s="68"/>
      <c r="CS262" s="68"/>
      <c r="CT262" s="68"/>
      <c r="CU262" s="68"/>
      <c r="CV262" s="68"/>
      <c r="CW262" s="69"/>
      <c r="CX262" s="107"/>
      <c r="CY262" s="108"/>
      <c r="CZ262" s="108"/>
      <c r="DA262" s="108"/>
      <c r="DB262" s="108"/>
      <c r="DC262" s="108"/>
      <c r="DD262" s="108"/>
      <c r="DE262" s="108"/>
      <c r="DF262" s="108"/>
      <c r="DG262" s="108"/>
      <c r="DH262" s="108"/>
      <c r="DI262" s="109"/>
      <c r="DJ262" s="67" t="e">
        <f>DJ263+DJ320+DJ350+DJ368+DJ378+DJ392+DJ393</f>
        <v>#REF!</v>
      </c>
      <c r="DK262" s="68"/>
      <c r="DL262" s="68"/>
      <c r="DM262" s="68"/>
      <c r="DN262" s="68"/>
      <c r="DO262" s="68"/>
      <c r="DP262" s="68"/>
      <c r="DQ262" s="68"/>
      <c r="DR262" s="68"/>
      <c r="DS262" s="68"/>
      <c r="DT262" s="68"/>
      <c r="DU262" s="69"/>
      <c r="DV262" s="83" t="e">
        <f t="shared" ref="DV262:EG262" si="54">DV263+DV320+DV350+DV368+DV379+DV392+DV393</f>
        <v>#REF!</v>
      </c>
      <c r="DW262" s="83" t="e">
        <f t="shared" si="54"/>
        <v>#REF!</v>
      </c>
      <c r="DX262" s="83" t="e">
        <f t="shared" si="54"/>
        <v>#REF!</v>
      </c>
      <c r="DY262" s="83" t="e">
        <f t="shared" si="54"/>
        <v>#REF!</v>
      </c>
      <c r="DZ262" s="83" t="e">
        <f t="shared" si="54"/>
        <v>#REF!</v>
      </c>
      <c r="EA262" s="83" t="e">
        <f t="shared" si="54"/>
        <v>#REF!</v>
      </c>
      <c r="EB262" s="83" t="e">
        <f t="shared" si="54"/>
        <v>#REF!</v>
      </c>
      <c r="EC262" s="83" t="e">
        <f t="shared" si="54"/>
        <v>#REF!</v>
      </c>
      <c r="ED262" s="83" t="e">
        <f t="shared" si="54"/>
        <v>#REF!</v>
      </c>
      <c r="EE262" s="83" t="e">
        <f t="shared" si="54"/>
        <v>#REF!</v>
      </c>
      <c r="EF262" s="83" t="e">
        <f t="shared" si="54"/>
        <v>#REF!</v>
      </c>
      <c r="EG262" s="83" t="e">
        <f t="shared" si="54"/>
        <v>#REF!</v>
      </c>
      <c r="EH262" s="63"/>
    </row>
    <row r="263" spans="1:187">
      <c r="A263" s="59" t="s">
        <v>6</v>
      </c>
      <c r="B263" s="59">
        <v>41</v>
      </c>
      <c r="D263" s="59" t="str">
        <f t="shared" si="47"/>
        <v>41p</v>
      </c>
      <c r="E263" s="60" t="s">
        <v>146</v>
      </c>
      <c r="F263" s="67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9"/>
      <c r="R263" s="67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9"/>
      <c r="AD263" s="67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9"/>
      <c r="AP263" s="67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9"/>
      <c r="BB263" s="67"/>
      <c r="BC263" s="68"/>
      <c r="BD263" s="68"/>
      <c r="BE263" s="68"/>
      <c r="BF263" s="68"/>
      <c r="BG263" s="68"/>
      <c r="BH263" s="68"/>
      <c r="BI263" s="68"/>
      <c r="BJ263" s="68"/>
      <c r="BK263" s="68"/>
      <c r="BL263" s="68"/>
      <c r="BM263" s="69"/>
      <c r="BN263" s="67"/>
      <c r="BO263" s="68"/>
      <c r="BP263" s="68"/>
      <c r="BQ263" s="68"/>
      <c r="BR263" s="68"/>
      <c r="BS263" s="68"/>
      <c r="BT263" s="68"/>
      <c r="BU263" s="68"/>
      <c r="BV263" s="68"/>
      <c r="BW263" s="68"/>
      <c r="BX263" s="68"/>
      <c r="BY263" s="69"/>
      <c r="BZ263" s="67"/>
      <c r="CA263" s="68"/>
      <c r="CB263" s="68"/>
      <c r="CC263" s="68"/>
      <c r="CD263" s="68"/>
      <c r="CE263" s="68"/>
      <c r="CF263" s="68"/>
      <c r="CG263" s="68"/>
      <c r="CH263" s="68"/>
      <c r="CI263" s="68"/>
      <c r="CJ263" s="68"/>
      <c r="CK263" s="68"/>
      <c r="CL263" s="67"/>
      <c r="CM263" s="68"/>
      <c r="CN263" s="68"/>
      <c r="CO263" s="68"/>
      <c r="CP263" s="68"/>
      <c r="CQ263" s="68"/>
      <c r="CR263" s="68"/>
      <c r="CS263" s="68"/>
      <c r="CT263" s="68"/>
      <c r="CU263" s="68"/>
      <c r="CV263" s="68"/>
      <c r="CW263" s="69"/>
      <c r="CX263" s="107"/>
      <c r="CY263" s="108"/>
      <c r="CZ263" s="108"/>
      <c r="DA263" s="108"/>
      <c r="DB263" s="108"/>
      <c r="DC263" s="108"/>
      <c r="DD263" s="108"/>
      <c r="DE263" s="108"/>
      <c r="DF263" s="108"/>
      <c r="DG263" s="108"/>
      <c r="DH263" s="108"/>
      <c r="DI263" s="109"/>
      <c r="DJ263" s="67" t="e">
        <f>DJ264+DJ270+DJ278+DJ285+DJ295+DJ299+DJ302+DJ306+DJ310+#REF!</f>
        <v>#REF!</v>
      </c>
      <c r="DK263" s="68"/>
      <c r="DL263" s="68"/>
      <c r="DM263" s="68"/>
      <c r="DN263" s="68"/>
      <c r="DO263" s="68"/>
      <c r="DP263" s="68"/>
      <c r="DQ263" s="68"/>
      <c r="DR263" s="68"/>
      <c r="DS263" s="68"/>
      <c r="DT263" s="68"/>
      <c r="DU263" s="69"/>
      <c r="DV263" s="83" t="e">
        <f>DV264+DV270+DV278+DV285+DV295+DV299+DV302+DV306+DV310+#REF!</f>
        <v>#REF!</v>
      </c>
      <c r="DW263" s="83" t="e">
        <f>DW264+DW270+DW278+DW285+DW295+DW299+DW302+DW306+DW310+#REF!</f>
        <v>#REF!</v>
      </c>
      <c r="DX263" s="83" t="e">
        <f>DX264+DX270+DX278+DX285+DX295+DX299+DX302+DX306+DX310+#REF!</f>
        <v>#REF!</v>
      </c>
      <c r="DY263" s="83" t="e">
        <f>DY264+DY270+DY278+DY285+DY295+DY299+DY302+DY306+DY310+#REF!</f>
        <v>#REF!</v>
      </c>
      <c r="DZ263" s="83" t="e">
        <f>DZ264+DZ270+DZ278+DZ285+DZ295+DZ299+DZ302+DZ306+DZ310+#REF!</f>
        <v>#REF!</v>
      </c>
      <c r="EA263" s="83" t="e">
        <f>EA264+EA270+EA278+EA285+EA295+EA299+EA302+EA306+EA310+#REF!</f>
        <v>#REF!</v>
      </c>
      <c r="EB263" s="83" t="e">
        <f>EB264+EB270+EB278+EB285+EB295+EB299+EB302+EB306+EB310+#REF!</f>
        <v>#REF!</v>
      </c>
      <c r="EC263" s="83" t="e">
        <f>EC264+EC270+EC278+EC285+EC295+EC299+EC302+EC306+EC310+#REF!</f>
        <v>#REF!</v>
      </c>
      <c r="ED263" s="83" t="e">
        <f>ED264+ED270+ED278+ED285+ED295+ED299+ED302+ED306+ED310+#REF!</f>
        <v>#REF!</v>
      </c>
      <c r="EE263" s="83" t="e">
        <f>EE264+EE270+EE278+EE285+EE295+EE299+EE302+EE306+EE310+#REF!</f>
        <v>#REF!</v>
      </c>
      <c r="EF263" s="83" t="e">
        <f>EF264+EF270+EF278+EF285+EF295+EF299+EF302+EF306+EF310+#REF!</f>
        <v>#REF!</v>
      </c>
      <c r="EG263" s="83" t="e">
        <f>EG264+EG270+EG278+EG285+EG295+EG299+EG302+EG306+EG310+#REF!</f>
        <v>#REF!</v>
      </c>
      <c r="EH263" s="63"/>
    </row>
    <row r="264" spans="1:187" s="2" customFormat="1" ht="30">
      <c r="A264" s="71"/>
      <c r="B264" s="71"/>
      <c r="C264" s="71">
        <v>411</v>
      </c>
      <c r="D264" s="71" t="str">
        <f t="shared" si="47"/>
        <v>411p</v>
      </c>
      <c r="E264" s="72" t="s">
        <v>147</v>
      </c>
      <c r="F264" s="73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5"/>
      <c r="R264" s="73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5"/>
      <c r="AD264" s="73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5"/>
      <c r="AP264" s="73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5"/>
      <c r="BB264" s="73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5"/>
      <c r="BN264" s="73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5"/>
      <c r="BZ264" s="73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3">
        <f t="shared" ref="CL264:CX264" si="55">+SUM(CL265:CL269)</f>
        <v>31010717.645833299</v>
      </c>
      <c r="CM264" s="74">
        <f t="shared" si="55"/>
        <v>31010717.645833299</v>
      </c>
      <c r="CN264" s="74">
        <f t="shared" si="55"/>
        <v>31010717.645833299</v>
      </c>
      <c r="CO264" s="74">
        <f t="shared" si="55"/>
        <v>31010717.645833299</v>
      </c>
      <c r="CP264" s="74">
        <f t="shared" si="55"/>
        <v>31010717.645833299</v>
      </c>
      <c r="CQ264" s="74">
        <f t="shared" si="55"/>
        <v>31010717.645833299</v>
      </c>
      <c r="CR264" s="74">
        <f t="shared" si="55"/>
        <v>31010717.645833299</v>
      </c>
      <c r="CS264" s="74">
        <f t="shared" si="55"/>
        <v>31010717.645833299</v>
      </c>
      <c r="CT264" s="74">
        <f t="shared" si="55"/>
        <v>31010717.645833299</v>
      </c>
      <c r="CU264" s="74">
        <f t="shared" si="55"/>
        <v>31010717.645833299</v>
      </c>
      <c r="CV264" s="74">
        <f t="shared" si="55"/>
        <v>31010717.645833299</v>
      </c>
      <c r="CW264" s="75">
        <f t="shared" si="55"/>
        <v>31010717.645833299</v>
      </c>
      <c r="CX264" s="110">
        <f t="shared" si="55"/>
        <v>32195307.643333301</v>
      </c>
      <c r="CY264" s="111">
        <f t="shared" ref="CY264:DJ264" si="56">+SUM(CY265:CY269)</f>
        <v>32195307.643333301</v>
      </c>
      <c r="CZ264" s="111">
        <f t="shared" si="56"/>
        <v>32195307.643333301</v>
      </c>
      <c r="DA264" s="111">
        <f t="shared" si="56"/>
        <v>32195307.643333301</v>
      </c>
      <c r="DB264" s="111">
        <f t="shared" si="56"/>
        <v>32195307.643333301</v>
      </c>
      <c r="DC264" s="111">
        <f t="shared" si="56"/>
        <v>32195307.643333301</v>
      </c>
      <c r="DD264" s="111">
        <f t="shared" si="56"/>
        <v>32195307.643333301</v>
      </c>
      <c r="DE264" s="111">
        <f t="shared" si="56"/>
        <v>32195307.643333301</v>
      </c>
      <c r="DF264" s="111">
        <f t="shared" si="56"/>
        <v>32195307.643333301</v>
      </c>
      <c r="DG264" s="111">
        <f t="shared" si="56"/>
        <v>32195307.643333301</v>
      </c>
      <c r="DH264" s="111">
        <f t="shared" si="56"/>
        <v>32195307.643333301</v>
      </c>
      <c r="DI264" s="112">
        <f t="shared" si="56"/>
        <v>32195307.643333301</v>
      </c>
      <c r="DJ264" s="73">
        <f t="shared" si="56"/>
        <v>31613633.060833301</v>
      </c>
      <c r="DK264" s="74">
        <f t="shared" ref="DK264:DU264" si="57">+SUM(DK265:DK269)</f>
        <v>31613633.060833301</v>
      </c>
      <c r="DL264" s="74">
        <f t="shared" si="57"/>
        <v>31613633.060833301</v>
      </c>
      <c r="DM264" s="74">
        <f t="shared" si="57"/>
        <v>31613633.060833301</v>
      </c>
      <c r="DN264" s="74">
        <f t="shared" si="57"/>
        <v>31613633.060833301</v>
      </c>
      <c r="DO264" s="74">
        <f t="shared" si="57"/>
        <v>31613633.060833301</v>
      </c>
      <c r="DP264" s="74">
        <f t="shared" si="57"/>
        <v>31613633.060833301</v>
      </c>
      <c r="DQ264" s="74">
        <f t="shared" si="57"/>
        <v>31613633.060833301</v>
      </c>
      <c r="DR264" s="74">
        <f t="shared" si="57"/>
        <v>31613633.060833301</v>
      </c>
      <c r="DS264" s="74">
        <f t="shared" si="57"/>
        <v>31613633.060833301</v>
      </c>
      <c r="DT264" s="74">
        <f t="shared" si="57"/>
        <v>31613633.060833301</v>
      </c>
      <c r="DU264" s="75">
        <f t="shared" si="57"/>
        <v>31613633.060833301</v>
      </c>
      <c r="DV264" s="74">
        <v>34652899.586666703</v>
      </c>
      <c r="DW264" s="74">
        <v>34652899.586666703</v>
      </c>
      <c r="DX264" s="74">
        <v>34652899.586666703</v>
      </c>
      <c r="DY264" s="74">
        <v>34652899.586666703</v>
      </c>
      <c r="DZ264" s="74">
        <v>34652899.586666703</v>
      </c>
      <c r="EA264" s="74">
        <v>34652899.586666703</v>
      </c>
      <c r="EB264" s="74">
        <v>34652899.586666703</v>
      </c>
      <c r="EC264" s="74">
        <v>34652899.586666703</v>
      </c>
      <c r="ED264" s="74">
        <v>34652899.586666703</v>
      </c>
      <c r="EE264" s="74">
        <v>34652899.586666703</v>
      </c>
      <c r="EF264" s="74">
        <v>34652899.586666703</v>
      </c>
      <c r="EG264" s="74">
        <v>34652899.586666703</v>
      </c>
      <c r="EH264" s="74">
        <v>36520519.998333298</v>
      </c>
      <c r="EI264" s="74">
        <v>36520519.998333298</v>
      </c>
      <c r="EJ264" s="74">
        <v>36520519.998333298</v>
      </c>
      <c r="EK264" s="74">
        <v>36520519.998333298</v>
      </c>
      <c r="EL264" s="74">
        <v>36520519.998333298</v>
      </c>
      <c r="EM264" s="74">
        <v>36520519.998333298</v>
      </c>
      <c r="EN264" s="74">
        <v>36520519.998333298</v>
      </c>
      <c r="EO264" s="74">
        <v>36520519.998333298</v>
      </c>
      <c r="EP264" s="74">
        <v>36520519.998333298</v>
      </c>
      <c r="EQ264" s="74">
        <v>36520519.998333298</v>
      </c>
      <c r="ER264" s="74">
        <v>36520519.998333298</v>
      </c>
      <c r="ES264" s="74">
        <v>36520519.998333298</v>
      </c>
      <c r="ET264" s="106">
        <v>36581480.009166703</v>
      </c>
      <c r="EU264" s="106">
        <v>36581480.009166703</v>
      </c>
      <c r="EV264" s="106">
        <v>36581480.009166703</v>
      </c>
      <c r="EW264" s="106">
        <v>36581480.009166703</v>
      </c>
      <c r="EX264" s="106">
        <v>36581480.009166703</v>
      </c>
      <c r="EY264" s="106">
        <v>36581480.009166703</v>
      </c>
      <c r="EZ264" s="106">
        <v>36581480.009166703</v>
      </c>
      <c r="FA264" s="106">
        <v>36581480.009166703</v>
      </c>
      <c r="FB264" s="106">
        <v>42330489.099166699</v>
      </c>
      <c r="FC264" s="106">
        <v>42330489.099166699</v>
      </c>
      <c r="FD264" s="106">
        <v>42330489.099166699</v>
      </c>
      <c r="FE264" s="106">
        <v>42330489.099166699</v>
      </c>
      <c r="FF264" s="106">
        <v>39362332.101666696</v>
      </c>
      <c r="FG264" s="106">
        <v>39125646.701666698</v>
      </c>
      <c r="FH264" s="106">
        <v>39113380.221666701</v>
      </c>
      <c r="FI264" s="106">
        <v>39105431.161666699</v>
      </c>
      <c r="FJ264" s="106">
        <v>39107573.981666699</v>
      </c>
      <c r="FK264" s="106">
        <v>41935580.181666702</v>
      </c>
      <c r="FL264" s="106">
        <v>39107470.111666702</v>
      </c>
      <c r="FM264" s="106">
        <v>39093383.891666703</v>
      </c>
      <c r="FN264" s="106">
        <v>39030288.911666699</v>
      </c>
      <c r="FO264" s="106">
        <v>39107584.9416667</v>
      </c>
      <c r="FP264" s="106">
        <v>39107395.9416667</v>
      </c>
      <c r="FQ264" s="106">
        <v>38858179.001666702</v>
      </c>
      <c r="FR264" s="106">
        <v>40884882.280000001</v>
      </c>
      <c r="FS264" s="106">
        <v>41362850.270000003</v>
      </c>
      <c r="FT264" s="106">
        <v>41444412.079999998</v>
      </c>
      <c r="FU264" s="106">
        <v>41745440.189999998</v>
      </c>
      <c r="FV264" s="106">
        <v>40757623.899999999</v>
      </c>
      <c r="FW264" s="106">
        <v>41753797.367142797</v>
      </c>
      <c r="FX264" s="106">
        <v>41753797.367142797</v>
      </c>
      <c r="FY264" s="106">
        <v>41753797.367142797</v>
      </c>
      <c r="FZ264" s="106">
        <v>41753797.367142797</v>
      </c>
      <c r="GA264" s="106">
        <v>41753797.367142797</v>
      </c>
      <c r="GB264" s="106">
        <v>41753797.367142797</v>
      </c>
      <c r="GC264" s="106">
        <v>41753797.367142797</v>
      </c>
      <c r="GE264" s="101">
        <f>SUM(FR264:GC264)</f>
        <v>498471790.29000002</v>
      </c>
    </row>
    <row r="265" spans="1:187">
      <c r="D265" s="59" t="str">
        <f t="shared" si="47"/>
        <v>4111p</v>
      </c>
      <c r="E265" s="60" t="s">
        <v>376</v>
      </c>
      <c r="F265" s="67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9"/>
      <c r="R265" s="67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9"/>
      <c r="AD265" s="67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9"/>
      <c r="AP265" s="67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9"/>
      <c r="BB265" s="67"/>
      <c r="BC265" s="68"/>
      <c r="BD265" s="68"/>
      <c r="BE265" s="68"/>
      <c r="BF265" s="68"/>
      <c r="BG265" s="68"/>
      <c r="BH265" s="68"/>
      <c r="BI265" s="68"/>
      <c r="BJ265" s="68"/>
      <c r="BK265" s="68"/>
      <c r="BL265" s="68"/>
      <c r="BM265" s="69"/>
      <c r="BN265" s="67"/>
      <c r="BO265" s="68"/>
      <c r="BP265" s="68"/>
      <c r="BQ265" s="68"/>
      <c r="BR265" s="68"/>
      <c r="BS265" s="68"/>
      <c r="BT265" s="68"/>
      <c r="BU265" s="68"/>
      <c r="BV265" s="68"/>
      <c r="BW265" s="68"/>
      <c r="BX265" s="68"/>
      <c r="BY265" s="69"/>
      <c r="BZ265" s="67"/>
      <c r="CA265" s="68"/>
      <c r="CB265" s="68"/>
      <c r="CC265" s="68"/>
      <c r="CD265" s="68"/>
      <c r="CE265" s="68"/>
      <c r="CF265" s="68"/>
      <c r="CG265" s="68"/>
      <c r="CH265" s="68"/>
      <c r="CI265" s="68"/>
      <c r="CJ265" s="68"/>
      <c r="CK265" s="68"/>
      <c r="CL265" s="67">
        <v>18458213.403333299</v>
      </c>
      <c r="CM265" s="68">
        <v>18458213.403333299</v>
      </c>
      <c r="CN265" s="68">
        <v>18458213.403333299</v>
      </c>
      <c r="CO265" s="68">
        <v>18458213.403333299</v>
      </c>
      <c r="CP265" s="68">
        <v>18458213.403333299</v>
      </c>
      <c r="CQ265" s="68">
        <v>18458213.403333299</v>
      </c>
      <c r="CR265" s="68">
        <v>18458213.403333299</v>
      </c>
      <c r="CS265" s="68">
        <v>18458213.403333299</v>
      </c>
      <c r="CT265" s="68">
        <v>18458213.403333299</v>
      </c>
      <c r="CU265" s="68">
        <v>18458213.403333299</v>
      </c>
      <c r="CV265" s="68">
        <v>18458213.403333299</v>
      </c>
      <c r="CW265" s="69">
        <v>18458213.403333299</v>
      </c>
      <c r="CX265" s="107">
        <v>18867562.298333298</v>
      </c>
      <c r="CY265" s="108">
        <v>18867562.298333298</v>
      </c>
      <c r="CZ265" s="108">
        <v>18867562.298333298</v>
      </c>
      <c r="DA265" s="108">
        <v>18867562.298333298</v>
      </c>
      <c r="DB265" s="108">
        <v>18867562.298333298</v>
      </c>
      <c r="DC265" s="108">
        <v>18867562.298333298</v>
      </c>
      <c r="DD265" s="108">
        <v>18867562.298333298</v>
      </c>
      <c r="DE265" s="108">
        <v>18867562.298333298</v>
      </c>
      <c r="DF265" s="108">
        <v>18867562.298333298</v>
      </c>
      <c r="DG265" s="108">
        <v>18867562.298333298</v>
      </c>
      <c r="DH265" s="108">
        <v>18867562.298333298</v>
      </c>
      <c r="DI265" s="109">
        <v>18867562.298333298</v>
      </c>
      <c r="DJ265" s="67">
        <v>18559870.852499999</v>
      </c>
      <c r="DK265" s="68">
        <v>18559870.852499999</v>
      </c>
      <c r="DL265" s="68">
        <v>18559870.852499999</v>
      </c>
      <c r="DM265" s="68">
        <v>18559870.852499999</v>
      </c>
      <c r="DN265" s="68">
        <v>18559870.852499999</v>
      </c>
      <c r="DO265" s="68">
        <v>18559870.852499999</v>
      </c>
      <c r="DP265" s="68">
        <v>18559870.852499999</v>
      </c>
      <c r="DQ265" s="68">
        <v>18559870.852499999</v>
      </c>
      <c r="DR265" s="68">
        <v>18559870.852499999</v>
      </c>
      <c r="DS265" s="68">
        <v>18559870.852499999</v>
      </c>
      <c r="DT265" s="68">
        <v>18559870.852499999</v>
      </c>
      <c r="DU265" s="69">
        <v>18559870.852499999</v>
      </c>
      <c r="DV265" s="83"/>
      <c r="DW265" s="83"/>
      <c r="DX265" s="83"/>
      <c r="DY265" s="83"/>
      <c r="DZ265" s="83"/>
      <c r="EA265" s="83"/>
      <c r="EB265" s="83"/>
      <c r="EC265" s="83"/>
      <c r="ED265" s="83"/>
      <c r="EE265" s="83"/>
      <c r="EF265" s="83"/>
      <c r="EG265" s="83"/>
      <c r="EH265" s="83"/>
      <c r="EI265" s="61"/>
      <c r="EJ265" s="61"/>
      <c r="EK265" s="61"/>
      <c r="EL265" s="61"/>
      <c r="EM265" s="61"/>
      <c r="EN265" s="61"/>
      <c r="EO265" s="61"/>
      <c r="EP265" s="61"/>
      <c r="EQ265" s="61"/>
      <c r="ER265" s="61"/>
      <c r="ES265" s="61"/>
      <c r="FR265" s="63"/>
      <c r="FS265" s="63"/>
      <c r="FT265" s="63"/>
      <c r="FU265" s="63"/>
      <c r="FV265" s="63"/>
      <c r="FW265" s="63"/>
      <c r="FX265" s="63"/>
      <c r="FY265" s="63"/>
      <c r="FZ265" s="63"/>
      <c r="GA265" s="63"/>
      <c r="GB265" s="63"/>
      <c r="GC265" s="63"/>
      <c r="GD265" s="63"/>
      <c r="GE265" s="102"/>
    </row>
    <row r="266" spans="1:187">
      <c r="D266" s="59" t="str">
        <f t="shared" si="47"/>
        <v>4112p</v>
      </c>
      <c r="E266" s="60" t="s">
        <v>377</v>
      </c>
      <c r="F266" s="67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9"/>
      <c r="R266" s="67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9"/>
      <c r="AD266" s="67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9"/>
      <c r="AP266" s="67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9"/>
      <c r="BB266" s="67"/>
      <c r="BC266" s="68"/>
      <c r="BD266" s="68"/>
      <c r="BE266" s="68"/>
      <c r="BF266" s="68"/>
      <c r="BG266" s="68"/>
      <c r="BH266" s="68"/>
      <c r="BI266" s="68"/>
      <c r="BJ266" s="68"/>
      <c r="BK266" s="68"/>
      <c r="BL266" s="68"/>
      <c r="BM266" s="69"/>
      <c r="BN266" s="67"/>
      <c r="BO266" s="68"/>
      <c r="BP266" s="68"/>
      <c r="BQ266" s="68"/>
      <c r="BR266" s="68"/>
      <c r="BS266" s="68"/>
      <c r="BT266" s="68"/>
      <c r="BU266" s="68"/>
      <c r="BV266" s="68"/>
      <c r="BW266" s="68"/>
      <c r="BX266" s="68"/>
      <c r="BY266" s="69"/>
      <c r="BZ266" s="67"/>
      <c r="CA266" s="68"/>
      <c r="CB266" s="68"/>
      <c r="CC266" s="68"/>
      <c r="CD266" s="68"/>
      <c r="CE266" s="68"/>
      <c r="CF266" s="68"/>
      <c r="CG266" s="68"/>
      <c r="CH266" s="68"/>
      <c r="CI266" s="68"/>
      <c r="CJ266" s="68"/>
      <c r="CK266" s="68"/>
      <c r="CL266" s="67">
        <v>2493788.2441666699</v>
      </c>
      <c r="CM266" s="68">
        <v>2493788.2441666699</v>
      </c>
      <c r="CN266" s="68">
        <v>2493788.2441666699</v>
      </c>
      <c r="CO266" s="68">
        <v>2493788.2441666699</v>
      </c>
      <c r="CP266" s="68">
        <v>2493788.2441666699</v>
      </c>
      <c r="CQ266" s="68">
        <v>2493788.2441666699</v>
      </c>
      <c r="CR266" s="68">
        <v>2493788.2441666699</v>
      </c>
      <c r="CS266" s="68">
        <v>2493788.2441666699</v>
      </c>
      <c r="CT266" s="68">
        <v>2493788.2441666699</v>
      </c>
      <c r="CU266" s="68">
        <v>2493788.2441666699</v>
      </c>
      <c r="CV266" s="68">
        <v>2493788.2441666699</v>
      </c>
      <c r="CW266" s="69">
        <v>2493788.2441666699</v>
      </c>
      <c r="CX266" s="107">
        <v>2712342.7066666698</v>
      </c>
      <c r="CY266" s="108">
        <v>2712342.7066666698</v>
      </c>
      <c r="CZ266" s="108">
        <v>2712342.7066666698</v>
      </c>
      <c r="DA266" s="108">
        <v>2712342.7066666698</v>
      </c>
      <c r="DB266" s="108">
        <v>2712342.7066666698</v>
      </c>
      <c r="DC266" s="108">
        <v>2712342.7066666698</v>
      </c>
      <c r="DD266" s="108">
        <v>2712342.7066666698</v>
      </c>
      <c r="DE266" s="108">
        <v>2712342.7066666698</v>
      </c>
      <c r="DF266" s="108">
        <v>2712342.7066666698</v>
      </c>
      <c r="DG266" s="108">
        <v>2712342.7066666698</v>
      </c>
      <c r="DH266" s="108">
        <v>2712342.7066666698</v>
      </c>
      <c r="DI266" s="109">
        <v>2712342.7066666698</v>
      </c>
      <c r="DJ266" s="67">
        <v>2731089.59</v>
      </c>
      <c r="DK266" s="68">
        <v>2731089.59</v>
      </c>
      <c r="DL266" s="68">
        <v>2731089.59</v>
      </c>
      <c r="DM266" s="68">
        <v>2731089.59</v>
      </c>
      <c r="DN266" s="68">
        <v>2731089.59</v>
      </c>
      <c r="DO266" s="68">
        <v>2731089.59</v>
      </c>
      <c r="DP266" s="68">
        <v>2731089.59</v>
      </c>
      <c r="DQ266" s="68">
        <v>2731089.59</v>
      </c>
      <c r="DR266" s="68">
        <v>2731089.59</v>
      </c>
      <c r="DS266" s="68">
        <v>2731089.59</v>
      </c>
      <c r="DT266" s="68">
        <v>2731089.59</v>
      </c>
      <c r="DU266" s="69">
        <v>2731089.59</v>
      </c>
      <c r="DV266" s="83"/>
      <c r="DW266" s="83"/>
      <c r="DX266" s="83"/>
      <c r="DY266" s="83"/>
      <c r="DZ266" s="83"/>
      <c r="EA266" s="83"/>
      <c r="EB266" s="83"/>
      <c r="EC266" s="83"/>
      <c r="ED266" s="83"/>
      <c r="EE266" s="83"/>
      <c r="EF266" s="83"/>
      <c r="EG266" s="83"/>
      <c r="EH266" s="83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FR266" s="63"/>
      <c r="FS266" s="63"/>
      <c r="FT266" s="63"/>
      <c r="FU266" s="63"/>
      <c r="FV266" s="63"/>
      <c r="FW266" s="63"/>
      <c r="FX266" s="63"/>
      <c r="FY266" s="63"/>
      <c r="FZ266" s="63"/>
      <c r="GA266" s="63"/>
      <c r="GB266" s="63"/>
      <c r="GC266" s="63"/>
      <c r="GD266" s="63"/>
      <c r="GE266" s="102"/>
    </row>
    <row r="267" spans="1:187">
      <c r="D267" s="59" t="str">
        <f t="shared" si="47"/>
        <v>4113p</v>
      </c>
      <c r="E267" s="60" t="s">
        <v>378</v>
      </c>
      <c r="F267" s="67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9"/>
      <c r="R267" s="67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9"/>
      <c r="AD267" s="67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9"/>
      <c r="AP267" s="67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9"/>
      <c r="BB267" s="67"/>
      <c r="BC267" s="68"/>
      <c r="BD267" s="68"/>
      <c r="BE267" s="68"/>
      <c r="BF267" s="68"/>
      <c r="BG267" s="68"/>
      <c r="BH267" s="68"/>
      <c r="BI267" s="68"/>
      <c r="BJ267" s="68"/>
      <c r="BK267" s="68"/>
      <c r="BL267" s="68"/>
      <c r="BM267" s="69"/>
      <c r="BN267" s="67"/>
      <c r="BO267" s="68"/>
      <c r="BP267" s="68"/>
      <c r="BQ267" s="68"/>
      <c r="BR267" s="68"/>
      <c r="BS267" s="68"/>
      <c r="BT267" s="68"/>
      <c r="BU267" s="68"/>
      <c r="BV267" s="68"/>
      <c r="BW267" s="68"/>
      <c r="BX267" s="68"/>
      <c r="BY267" s="69"/>
      <c r="BZ267" s="67"/>
      <c r="CA267" s="68"/>
      <c r="CB267" s="68"/>
      <c r="CC267" s="68"/>
      <c r="CD267" s="68"/>
      <c r="CE267" s="68"/>
      <c r="CF267" s="68"/>
      <c r="CG267" s="68"/>
      <c r="CH267" s="68"/>
      <c r="CI267" s="68"/>
      <c r="CJ267" s="68"/>
      <c r="CK267" s="68"/>
      <c r="CL267" s="67">
        <v>6333349.3816666696</v>
      </c>
      <c r="CM267" s="68">
        <v>6333349.3816666696</v>
      </c>
      <c r="CN267" s="68">
        <v>6333349.3816666696</v>
      </c>
      <c r="CO267" s="68">
        <v>6333349.3816666696</v>
      </c>
      <c r="CP267" s="68">
        <v>6333349.3816666696</v>
      </c>
      <c r="CQ267" s="68">
        <v>6333349.3816666696</v>
      </c>
      <c r="CR267" s="68">
        <v>6333349.3816666696</v>
      </c>
      <c r="CS267" s="68">
        <v>6333349.3816666696</v>
      </c>
      <c r="CT267" s="68">
        <v>6333349.3816666696</v>
      </c>
      <c r="CU267" s="68">
        <v>6333349.3816666696</v>
      </c>
      <c r="CV267" s="68">
        <v>6333349.3816666696</v>
      </c>
      <c r="CW267" s="69">
        <v>6333349.3816666696</v>
      </c>
      <c r="CX267" s="107">
        <v>6757582.0116666602</v>
      </c>
      <c r="CY267" s="108">
        <v>6757582.0116666602</v>
      </c>
      <c r="CZ267" s="108">
        <v>6757582.0116666602</v>
      </c>
      <c r="DA267" s="108">
        <v>6757582.0116666602</v>
      </c>
      <c r="DB267" s="108">
        <v>6757582.0116666602</v>
      </c>
      <c r="DC267" s="108">
        <v>6757582.0116666602</v>
      </c>
      <c r="DD267" s="108">
        <v>6757582.0116666602</v>
      </c>
      <c r="DE267" s="108">
        <v>6757582.0116666602</v>
      </c>
      <c r="DF267" s="108">
        <v>6757582.0116666602</v>
      </c>
      <c r="DG267" s="108">
        <v>6757582.0116666602</v>
      </c>
      <c r="DH267" s="108">
        <v>6757582.0116666602</v>
      </c>
      <c r="DI267" s="109">
        <v>6757582.0116666602</v>
      </c>
      <c r="DJ267" s="67">
        <v>6606213.9524999997</v>
      </c>
      <c r="DK267" s="68">
        <v>6606213.9524999997</v>
      </c>
      <c r="DL267" s="68">
        <v>6606213.9524999997</v>
      </c>
      <c r="DM267" s="68">
        <v>6606213.9524999997</v>
      </c>
      <c r="DN267" s="68">
        <v>6606213.9524999997</v>
      </c>
      <c r="DO267" s="68">
        <v>6606213.9524999997</v>
      </c>
      <c r="DP267" s="68">
        <v>6606213.9524999997</v>
      </c>
      <c r="DQ267" s="68">
        <v>6606213.9524999997</v>
      </c>
      <c r="DR267" s="68">
        <v>6606213.9524999997</v>
      </c>
      <c r="DS267" s="68">
        <v>6606213.9524999997</v>
      </c>
      <c r="DT267" s="68">
        <v>6606213.9524999997</v>
      </c>
      <c r="DU267" s="69">
        <v>6606213.9524999997</v>
      </c>
      <c r="DV267" s="83"/>
      <c r="DW267" s="83"/>
      <c r="DX267" s="83"/>
      <c r="DY267" s="83"/>
      <c r="DZ267" s="83"/>
      <c r="EA267" s="83"/>
      <c r="EB267" s="83"/>
      <c r="EC267" s="83"/>
      <c r="ED267" s="83"/>
      <c r="EE267" s="83"/>
      <c r="EF267" s="83"/>
      <c r="EG267" s="83"/>
      <c r="EH267" s="83"/>
      <c r="EI267" s="61"/>
      <c r="EJ267" s="61"/>
      <c r="EK267" s="61"/>
      <c r="EL267" s="61"/>
      <c r="EM267" s="61"/>
      <c r="EN267" s="61"/>
      <c r="EO267" s="61"/>
      <c r="EP267" s="61"/>
      <c r="EQ267" s="61"/>
      <c r="ER267" s="61"/>
      <c r="ES267" s="61"/>
      <c r="FR267" s="63"/>
      <c r="FS267" s="63"/>
      <c r="FT267" s="63"/>
      <c r="FU267" s="63"/>
      <c r="FV267" s="63"/>
      <c r="FW267" s="63"/>
      <c r="FX267" s="63"/>
      <c r="FY267" s="63"/>
      <c r="FZ267" s="63"/>
      <c r="GA267" s="63"/>
      <c r="GB267" s="63"/>
      <c r="GC267" s="63"/>
      <c r="GD267" s="63"/>
      <c r="GE267" s="102"/>
    </row>
    <row r="268" spans="1:187">
      <c r="D268" s="59" t="str">
        <f t="shared" si="47"/>
        <v>4114p</v>
      </c>
      <c r="E268" s="60" t="s">
        <v>379</v>
      </c>
      <c r="F268" s="67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9"/>
      <c r="R268" s="67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9"/>
      <c r="AD268" s="67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9"/>
      <c r="AP268" s="67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9"/>
      <c r="BB268" s="67"/>
      <c r="BC268" s="68"/>
      <c r="BD268" s="68"/>
      <c r="BE268" s="68"/>
      <c r="BF268" s="68"/>
      <c r="BG268" s="68"/>
      <c r="BH268" s="68"/>
      <c r="BI268" s="68"/>
      <c r="BJ268" s="68"/>
      <c r="BK268" s="68"/>
      <c r="BL268" s="68"/>
      <c r="BM268" s="69"/>
      <c r="BN268" s="67"/>
      <c r="BO268" s="68"/>
      <c r="BP268" s="68"/>
      <c r="BQ268" s="68"/>
      <c r="BR268" s="68"/>
      <c r="BS268" s="68"/>
      <c r="BT268" s="68"/>
      <c r="BU268" s="68"/>
      <c r="BV268" s="68"/>
      <c r="BW268" s="68"/>
      <c r="BX268" s="68"/>
      <c r="BY268" s="69"/>
      <c r="BZ268" s="67"/>
      <c r="CA268" s="68"/>
      <c r="CB268" s="68"/>
      <c r="CC268" s="68"/>
      <c r="CD268" s="68"/>
      <c r="CE268" s="68"/>
      <c r="CF268" s="68"/>
      <c r="CG268" s="68"/>
      <c r="CH268" s="68"/>
      <c r="CI268" s="68"/>
      <c r="CJ268" s="68"/>
      <c r="CK268" s="68"/>
      <c r="CL268" s="67">
        <v>3366474.3091666698</v>
      </c>
      <c r="CM268" s="68">
        <v>3366474.3091666698</v>
      </c>
      <c r="CN268" s="68">
        <v>3366474.3091666698</v>
      </c>
      <c r="CO268" s="68">
        <v>3366474.3091666698</v>
      </c>
      <c r="CP268" s="68">
        <v>3366474.3091666698</v>
      </c>
      <c r="CQ268" s="68">
        <v>3366474.3091666698</v>
      </c>
      <c r="CR268" s="68">
        <v>3366474.3091666698</v>
      </c>
      <c r="CS268" s="68">
        <v>3366474.3091666698</v>
      </c>
      <c r="CT268" s="68">
        <v>3366474.3091666698</v>
      </c>
      <c r="CU268" s="68">
        <v>3366474.3091666698</v>
      </c>
      <c r="CV268" s="68">
        <v>3366474.3091666698</v>
      </c>
      <c r="CW268" s="69">
        <v>3366474.3091666698</v>
      </c>
      <c r="CX268" s="107">
        <v>3473848.1883333302</v>
      </c>
      <c r="CY268" s="108">
        <v>3473848.1883333302</v>
      </c>
      <c r="CZ268" s="108">
        <v>3473848.1883333302</v>
      </c>
      <c r="DA268" s="108">
        <v>3473848.1883333302</v>
      </c>
      <c r="DB268" s="108">
        <v>3473848.1883333302</v>
      </c>
      <c r="DC268" s="108">
        <v>3473848.1883333302</v>
      </c>
      <c r="DD268" s="108">
        <v>3473848.1883333302</v>
      </c>
      <c r="DE268" s="108">
        <v>3473848.1883333302</v>
      </c>
      <c r="DF268" s="108">
        <v>3473848.1883333302</v>
      </c>
      <c r="DG268" s="108">
        <v>3473848.1883333302</v>
      </c>
      <c r="DH268" s="108">
        <v>3473848.1883333302</v>
      </c>
      <c r="DI268" s="109">
        <v>3473848.1883333302</v>
      </c>
      <c r="DJ268" s="67">
        <v>3331068.59416667</v>
      </c>
      <c r="DK268" s="68">
        <v>3331068.59416667</v>
      </c>
      <c r="DL268" s="68">
        <v>3331068.59416667</v>
      </c>
      <c r="DM268" s="68">
        <v>3331068.59416667</v>
      </c>
      <c r="DN268" s="68">
        <v>3331068.59416667</v>
      </c>
      <c r="DO268" s="68">
        <v>3331068.59416667</v>
      </c>
      <c r="DP268" s="68">
        <v>3331068.59416667</v>
      </c>
      <c r="DQ268" s="68">
        <v>3331068.59416667</v>
      </c>
      <c r="DR268" s="68">
        <v>3331068.59416667</v>
      </c>
      <c r="DS268" s="68">
        <v>3331068.59416667</v>
      </c>
      <c r="DT268" s="68">
        <v>3331068.59416667</v>
      </c>
      <c r="DU268" s="69">
        <v>3331068.59416667</v>
      </c>
      <c r="DV268" s="83"/>
      <c r="DW268" s="83"/>
      <c r="DX268" s="83"/>
      <c r="DY268" s="83"/>
      <c r="DZ268" s="83"/>
      <c r="EA268" s="83"/>
      <c r="EB268" s="83"/>
      <c r="EC268" s="83"/>
      <c r="ED268" s="83"/>
      <c r="EE268" s="83"/>
      <c r="EF268" s="83"/>
      <c r="EG268" s="83"/>
      <c r="EH268" s="83"/>
      <c r="EI268" s="61"/>
      <c r="EJ268" s="61"/>
      <c r="EK268" s="61"/>
      <c r="EL268" s="61"/>
      <c r="EM268" s="61"/>
      <c r="EN268" s="61"/>
      <c r="EO268" s="61"/>
      <c r="EP268" s="61"/>
      <c r="EQ268" s="61"/>
      <c r="ER268" s="61"/>
      <c r="ES268" s="61"/>
      <c r="FR268" s="63"/>
      <c r="FS268" s="63"/>
      <c r="FT268" s="63"/>
      <c r="FU268" s="63"/>
      <c r="FV268" s="63"/>
      <c r="FW268" s="63"/>
      <c r="FX268" s="63"/>
      <c r="FY268" s="63"/>
      <c r="FZ268" s="63"/>
      <c r="GA268" s="63"/>
      <c r="GB268" s="63"/>
      <c r="GC268" s="63"/>
      <c r="GD268" s="63"/>
      <c r="GE268" s="102"/>
    </row>
    <row r="269" spans="1:187">
      <c r="D269" s="59" t="str">
        <f t="shared" si="47"/>
        <v>4115p</v>
      </c>
      <c r="E269" s="60" t="s">
        <v>380</v>
      </c>
      <c r="F269" s="67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9"/>
      <c r="R269" s="67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9"/>
      <c r="AD269" s="67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9"/>
      <c r="AP269" s="67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9"/>
      <c r="BB269" s="67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9"/>
      <c r="BN269" s="67"/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9"/>
      <c r="BZ269" s="67"/>
      <c r="CA269" s="68"/>
      <c r="CB269" s="68"/>
      <c r="CC269" s="68"/>
      <c r="CD269" s="68"/>
      <c r="CE269" s="68"/>
      <c r="CF269" s="68"/>
      <c r="CG269" s="68"/>
      <c r="CH269" s="68"/>
      <c r="CI269" s="68"/>
      <c r="CJ269" s="68"/>
      <c r="CK269" s="68"/>
      <c r="CL269" s="67">
        <v>358892.3075</v>
      </c>
      <c r="CM269" s="68">
        <v>358892.3075</v>
      </c>
      <c r="CN269" s="68">
        <v>358892.3075</v>
      </c>
      <c r="CO269" s="68">
        <v>358892.3075</v>
      </c>
      <c r="CP269" s="68">
        <v>358892.3075</v>
      </c>
      <c r="CQ269" s="68">
        <v>358892.3075</v>
      </c>
      <c r="CR269" s="68">
        <v>358892.3075</v>
      </c>
      <c r="CS269" s="68">
        <v>358892.3075</v>
      </c>
      <c r="CT269" s="68">
        <v>358892.3075</v>
      </c>
      <c r="CU269" s="68">
        <v>358892.3075</v>
      </c>
      <c r="CV269" s="68">
        <v>358892.3075</v>
      </c>
      <c r="CW269" s="69">
        <v>358892.3075</v>
      </c>
      <c r="CX269" s="107">
        <v>383972.438333333</v>
      </c>
      <c r="CY269" s="108">
        <v>383972.438333333</v>
      </c>
      <c r="CZ269" s="108">
        <v>383972.438333333</v>
      </c>
      <c r="DA269" s="108">
        <v>383972.438333333</v>
      </c>
      <c r="DB269" s="108">
        <v>383972.438333333</v>
      </c>
      <c r="DC269" s="108">
        <v>383972.438333333</v>
      </c>
      <c r="DD269" s="108">
        <v>383972.438333333</v>
      </c>
      <c r="DE269" s="108">
        <v>383972.438333333</v>
      </c>
      <c r="DF269" s="108">
        <v>383972.438333333</v>
      </c>
      <c r="DG269" s="108">
        <v>383972.438333333</v>
      </c>
      <c r="DH269" s="108">
        <v>383972.438333333</v>
      </c>
      <c r="DI269" s="109">
        <v>383972.438333333</v>
      </c>
      <c r="DJ269" s="67">
        <v>385390.07166666701</v>
      </c>
      <c r="DK269" s="68">
        <v>385390.07166666701</v>
      </c>
      <c r="DL269" s="68">
        <v>385390.07166666701</v>
      </c>
      <c r="DM269" s="68">
        <v>385390.07166666701</v>
      </c>
      <c r="DN269" s="68">
        <v>385390.07166666701</v>
      </c>
      <c r="DO269" s="68">
        <v>385390.07166666701</v>
      </c>
      <c r="DP269" s="68">
        <v>385390.07166666701</v>
      </c>
      <c r="DQ269" s="68">
        <v>385390.07166666701</v>
      </c>
      <c r="DR269" s="68">
        <v>385390.07166666701</v>
      </c>
      <c r="DS269" s="68">
        <v>385390.07166666701</v>
      </c>
      <c r="DT269" s="68">
        <v>385390.07166666701</v>
      </c>
      <c r="DU269" s="69">
        <v>385390.07166666701</v>
      </c>
      <c r="DV269" s="83"/>
      <c r="DW269" s="83"/>
      <c r="DX269" s="83"/>
      <c r="DY269" s="83"/>
      <c r="DZ269" s="83"/>
      <c r="EA269" s="83"/>
      <c r="EB269" s="83"/>
      <c r="EC269" s="83"/>
      <c r="ED269" s="83"/>
      <c r="EE269" s="83"/>
      <c r="EF269" s="83"/>
      <c r="EG269" s="83"/>
      <c r="EH269" s="83"/>
      <c r="EI269" s="61"/>
      <c r="EJ269" s="61"/>
      <c r="EK269" s="61"/>
      <c r="EL269" s="61"/>
      <c r="EM269" s="61"/>
      <c r="EN269" s="61"/>
      <c r="EO269" s="61"/>
      <c r="EP269" s="61"/>
      <c r="EQ269" s="61"/>
      <c r="ER269" s="61"/>
      <c r="ES269" s="61"/>
      <c r="FR269" s="63"/>
      <c r="FS269" s="63"/>
      <c r="FT269" s="63"/>
      <c r="FU269" s="63"/>
      <c r="FV269" s="63"/>
      <c r="FW269" s="63"/>
      <c r="FX269" s="63"/>
      <c r="FY269" s="63"/>
      <c r="FZ269" s="63"/>
      <c r="GA269" s="63"/>
      <c r="GB269" s="63"/>
      <c r="GC269" s="63"/>
      <c r="GD269" s="63"/>
      <c r="GE269" s="102"/>
    </row>
    <row r="270" spans="1:187" s="2" customFormat="1">
      <c r="A270" s="71"/>
      <c r="B270" s="71"/>
      <c r="C270" s="71">
        <v>412</v>
      </c>
      <c r="D270" s="71" t="str">
        <f t="shared" si="47"/>
        <v>412p</v>
      </c>
      <c r="E270" s="72" t="s">
        <v>148</v>
      </c>
      <c r="F270" s="73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5"/>
      <c r="R270" s="73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5"/>
      <c r="AD270" s="73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5"/>
      <c r="AP270" s="73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5"/>
      <c r="BB270" s="73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5"/>
      <c r="BN270" s="73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5"/>
      <c r="BZ270" s="73"/>
      <c r="CA270" s="74"/>
      <c r="CB270" s="74"/>
      <c r="CC270" s="74"/>
      <c r="CD270" s="74"/>
      <c r="CE270" s="74"/>
      <c r="CF270" s="74"/>
      <c r="CG270" s="74"/>
      <c r="CH270" s="74"/>
      <c r="CI270" s="74"/>
      <c r="CJ270" s="74"/>
      <c r="CK270" s="74"/>
      <c r="CL270" s="73">
        <f t="shared" ref="CL270:CX270" si="58">+SUM(CL271:CL277)</f>
        <v>901608.53416666703</v>
      </c>
      <c r="CM270" s="74">
        <f t="shared" si="58"/>
        <v>901608.53416666703</v>
      </c>
      <c r="CN270" s="74">
        <f t="shared" si="58"/>
        <v>901608.53416666703</v>
      </c>
      <c r="CO270" s="74">
        <f t="shared" si="58"/>
        <v>901608.53416666703</v>
      </c>
      <c r="CP270" s="74">
        <f t="shared" si="58"/>
        <v>901608.53416666703</v>
      </c>
      <c r="CQ270" s="74">
        <f t="shared" si="58"/>
        <v>901608.53416666703</v>
      </c>
      <c r="CR270" s="74">
        <f t="shared" si="58"/>
        <v>901608.53416666703</v>
      </c>
      <c r="CS270" s="74">
        <f t="shared" si="58"/>
        <v>901608.53416666703</v>
      </c>
      <c r="CT270" s="74">
        <f t="shared" si="58"/>
        <v>901608.53416666703</v>
      </c>
      <c r="CU270" s="74">
        <f t="shared" si="58"/>
        <v>901608.53416666703</v>
      </c>
      <c r="CV270" s="74">
        <f t="shared" si="58"/>
        <v>901608.53416666703</v>
      </c>
      <c r="CW270" s="75">
        <f t="shared" si="58"/>
        <v>901608.53416666703</v>
      </c>
      <c r="CX270" s="110">
        <f t="shared" si="58"/>
        <v>956513.66333333298</v>
      </c>
      <c r="CY270" s="111">
        <f t="shared" ref="CY270:DJ270" si="59">+SUM(CY271:CY277)</f>
        <v>956513.66333333298</v>
      </c>
      <c r="CZ270" s="111">
        <f t="shared" si="59"/>
        <v>956513.66333333298</v>
      </c>
      <c r="DA270" s="111">
        <f t="shared" si="59"/>
        <v>956513.66333333298</v>
      </c>
      <c r="DB270" s="111">
        <f t="shared" si="59"/>
        <v>956513.66333333298</v>
      </c>
      <c r="DC270" s="111">
        <f t="shared" si="59"/>
        <v>956513.66333333298</v>
      </c>
      <c r="DD270" s="111">
        <f t="shared" si="59"/>
        <v>956513.66333333298</v>
      </c>
      <c r="DE270" s="111">
        <f t="shared" si="59"/>
        <v>956513.66333333298</v>
      </c>
      <c r="DF270" s="111">
        <f t="shared" si="59"/>
        <v>956513.66333333298</v>
      </c>
      <c r="DG270" s="111">
        <f t="shared" si="59"/>
        <v>956513.66333333298</v>
      </c>
      <c r="DH270" s="111">
        <f t="shared" si="59"/>
        <v>956513.66333333298</v>
      </c>
      <c r="DI270" s="112">
        <f t="shared" si="59"/>
        <v>956513.66333333298</v>
      </c>
      <c r="DJ270" s="73">
        <f t="shared" si="59"/>
        <v>968300.41833333299</v>
      </c>
      <c r="DK270" s="74">
        <f t="shared" ref="DK270:DU270" si="60">+SUM(DK271:DK277)</f>
        <v>968300.41833333299</v>
      </c>
      <c r="DL270" s="74">
        <f t="shared" si="60"/>
        <v>968300.41833333299</v>
      </c>
      <c r="DM270" s="74">
        <f t="shared" si="60"/>
        <v>968300.41833333299</v>
      </c>
      <c r="DN270" s="74">
        <f t="shared" si="60"/>
        <v>968300.41833333299</v>
      </c>
      <c r="DO270" s="74">
        <f t="shared" si="60"/>
        <v>968300.41833333299</v>
      </c>
      <c r="DP270" s="74">
        <f t="shared" si="60"/>
        <v>968300.41833333299</v>
      </c>
      <c r="DQ270" s="74">
        <f t="shared" si="60"/>
        <v>968300.41833333299</v>
      </c>
      <c r="DR270" s="74">
        <f t="shared" si="60"/>
        <v>968300.41833333299</v>
      </c>
      <c r="DS270" s="74">
        <f t="shared" si="60"/>
        <v>968300.41833333299</v>
      </c>
      <c r="DT270" s="74">
        <f t="shared" si="60"/>
        <v>968300.41833333299</v>
      </c>
      <c r="DU270" s="75">
        <f t="shared" si="60"/>
        <v>968300.41833333299</v>
      </c>
      <c r="DV270" s="97">
        <v>832657.85499999998</v>
      </c>
      <c r="DW270" s="97">
        <v>832657.85499999998</v>
      </c>
      <c r="DX270" s="97">
        <v>832657.85499999998</v>
      </c>
      <c r="DY270" s="97">
        <v>832657.85499999998</v>
      </c>
      <c r="DZ270" s="97">
        <v>832657.85499999998</v>
      </c>
      <c r="EA270" s="97">
        <v>832657.85499999998</v>
      </c>
      <c r="EB270" s="97">
        <v>832657.85499999998</v>
      </c>
      <c r="EC270" s="97">
        <v>832657.85499999998</v>
      </c>
      <c r="ED270" s="97">
        <v>832657.85499999998</v>
      </c>
      <c r="EE270" s="97">
        <v>832657.85499999998</v>
      </c>
      <c r="EF270" s="97">
        <v>832657.85499999998</v>
      </c>
      <c r="EG270" s="97">
        <v>832657.85499999998</v>
      </c>
      <c r="EH270" s="97">
        <v>849012.24750000006</v>
      </c>
      <c r="EI270" s="97">
        <v>849012.24750000006</v>
      </c>
      <c r="EJ270" s="97">
        <v>849012.24750000006</v>
      </c>
      <c r="EK270" s="97">
        <v>849012.24750000006</v>
      </c>
      <c r="EL270" s="97">
        <v>849012.24750000006</v>
      </c>
      <c r="EM270" s="97">
        <v>849012.24750000006</v>
      </c>
      <c r="EN270" s="97">
        <v>849012.24750000006</v>
      </c>
      <c r="EO270" s="97">
        <v>849012.24750000006</v>
      </c>
      <c r="EP270" s="97">
        <v>849012.24750000006</v>
      </c>
      <c r="EQ270" s="97">
        <v>849012.24750000006</v>
      </c>
      <c r="ER270" s="97">
        <v>849012.24750000006</v>
      </c>
      <c r="ES270" s="74">
        <v>849012.24750000006</v>
      </c>
      <c r="ET270" s="106">
        <v>1045765.84833333</v>
      </c>
      <c r="EU270" s="106">
        <v>1045765.84833333</v>
      </c>
      <c r="EV270" s="106">
        <v>1045765.84833333</v>
      </c>
      <c r="EW270" s="106">
        <v>1064654.7372222201</v>
      </c>
      <c r="EX270" s="106">
        <v>1064654.7372222201</v>
      </c>
      <c r="EY270" s="106">
        <v>1064654.7372222201</v>
      </c>
      <c r="EZ270" s="106">
        <v>1064654.7372222201</v>
      </c>
      <c r="FA270" s="106">
        <v>1064654.7372222201</v>
      </c>
      <c r="FB270" s="106">
        <v>1064654.7372222201</v>
      </c>
      <c r="FC270" s="106">
        <v>1064654.7372222201</v>
      </c>
      <c r="FD270" s="106">
        <v>1064654.7372222201</v>
      </c>
      <c r="FE270" s="106">
        <v>1608087.7372222201</v>
      </c>
      <c r="FF270" s="106">
        <v>1281057.9508333299</v>
      </c>
      <c r="FG270" s="106">
        <v>1323983.3608333301</v>
      </c>
      <c r="FH270" s="106">
        <v>1260740.28083333</v>
      </c>
      <c r="FI270" s="106">
        <v>1247473.6108333301</v>
      </c>
      <c r="FJ270" s="106">
        <v>1248015.29083333</v>
      </c>
      <c r="FK270" s="106">
        <v>1249948.9408333299</v>
      </c>
      <c r="FL270" s="106">
        <v>1249158.6208333301</v>
      </c>
      <c r="FM270" s="106">
        <v>1249158.6208333301</v>
      </c>
      <c r="FN270" s="106">
        <v>1249658.6108333301</v>
      </c>
      <c r="FO270" s="106">
        <v>1239658.6108333301</v>
      </c>
      <c r="FP270" s="106">
        <v>1238097.24083333</v>
      </c>
      <c r="FQ270" s="106">
        <v>1240174.31083333</v>
      </c>
      <c r="FR270" s="106">
        <v>476603.42</v>
      </c>
      <c r="FS270" s="106">
        <v>1082169.6499999999</v>
      </c>
      <c r="FT270" s="106">
        <v>1109472.33</v>
      </c>
      <c r="FU270" s="106">
        <v>652598.81999999995</v>
      </c>
      <c r="FV270" s="106">
        <v>376000.24</v>
      </c>
      <c r="FW270" s="106">
        <v>1605574.7457142901</v>
      </c>
      <c r="FX270" s="106">
        <v>1605574.7457142901</v>
      </c>
      <c r="FY270" s="106">
        <v>1605574.7457142901</v>
      </c>
      <c r="FZ270" s="106">
        <v>1605574.7457142901</v>
      </c>
      <c r="GA270" s="106">
        <v>1605574.7457142901</v>
      </c>
      <c r="GB270" s="106">
        <v>1605574.7457142901</v>
      </c>
      <c r="GC270" s="106">
        <v>1605590.0757142899</v>
      </c>
      <c r="GE270" s="101">
        <f>SUM(FR270:GC270)</f>
        <v>14935883.01</v>
      </c>
    </row>
    <row r="271" spans="1:187">
      <c r="D271" s="59" t="str">
        <f t="shared" si="47"/>
        <v>4121p</v>
      </c>
      <c r="E271" s="60" t="s">
        <v>381</v>
      </c>
      <c r="F271" s="67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9"/>
      <c r="R271" s="67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9"/>
      <c r="AD271" s="67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9"/>
      <c r="AP271" s="67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9"/>
      <c r="BB271" s="67"/>
      <c r="BC271" s="68"/>
      <c r="BD271" s="68"/>
      <c r="BE271" s="68"/>
      <c r="BF271" s="68"/>
      <c r="BG271" s="68"/>
      <c r="BH271" s="68"/>
      <c r="BI271" s="68"/>
      <c r="BJ271" s="68"/>
      <c r="BK271" s="68"/>
      <c r="BL271" s="68"/>
      <c r="BM271" s="69"/>
      <c r="BN271" s="67"/>
      <c r="BO271" s="68"/>
      <c r="BP271" s="68"/>
      <c r="BQ271" s="68"/>
      <c r="BR271" s="68"/>
      <c r="BS271" s="68"/>
      <c r="BT271" s="68"/>
      <c r="BU271" s="68"/>
      <c r="BV271" s="68"/>
      <c r="BW271" s="68"/>
      <c r="BX271" s="68"/>
      <c r="BY271" s="69"/>
      <c r="BZ271" s="67"/>
      <c r="CA271" s="68"/>
      <c r="CB271" s="68"/>
      <c r="CC271" s="68"/>
      <c r="CD271" s="68"/>
      <c r="CE271" s="68"/>
      <c r="CF271" s="68"/>
      <c r="CG271" s="68"/>
      <c r="CH271" s="68"/>
      <c r="CI271" s="68"/>
      <c r="CJ271" s="68"/>
      <c r="CK271" s="68"/>
      <c r="CL271" s="67">
        <v>0</v>
      </c>
      <c r="CM271" s="68">
        <v>0</v>
      </c>
      <c r="CN271" s="68">
        <v>0</v>
      </c>
      <c r="CO271" s="68">
        <v>0</v>
      </c>
      <c r="CP271" s="68">
        <v>0</v>
      </c>
      <c r="CQ271" s="68">
        <v>0</v>
      </c>
      <c r="CR271" s="68">
        <v>0</v>
      </c>
      <c r="CS271" s="68">
        <v>0</v>
      </c>
      <c r="CT271" s="68">
        <v>0</v>
      </c>
      <c r="CU271" s="68">
        <v>0</v>
      </c>
      <c r="CV271" s="68">
        <v>0</v>
      </c>
      <c r="CW271" s="69">
        <v>0</v>
      </c>
      <c r="CX271" s="107">
        <v>0</v>
      </c>
      <c r="CY271" s="108">
        <v>0</v>
      </c>
      <c r="CZ271" s="108">
        <v>0</v>
      </c>
      <c r="DA271" s="108">
        <v>0</v>
      </c>
      <c r="DB271" s="108">
        <v>0</v>
      </c>
      <c r="DC271" s="108">
        <v>0</v>
      </c>
      <c r="DD271" s="108">
        <v>0</v>
      </c>
      <c r="DE271" s="108">
        <v>0</v>
      </c>
      <c r="DF271" s="108">
        <v>0</v>
      </c>
      <c r="DG271" s="108">
        <v>0</v>
      </c>
      <c r="DH271" s="108">
        <v>0</v>
      </c>
      <c r="DI271" s="109">
        <v>0</v>
      </c>
      <c r="DJ271" s="67">
        <v>0</v>
      </c>
      <c r="DK271" s="68">
        <v>0</v>
      </c>
      <c r="DL271" s="68">
        <v>0</v>
      </c>
      <c r="DM271" s="68">
        <v>0</v>
      </c>
      <c r="DN271" s="68">
        <v>0</v>
      </c>
      <c r="DO271" s="68">
        <v>0</v>
      </c>
      <c r="DP271" s="68">
        <v>0</v>
      </c>
      <c r="DQ271" s="68">
        <v>0</v>
      </c>
      <c r="DR271" s="68">
        <v>0</v>
      </c>
      <c r="DS271" s="68">
        <v>0</v>
      </c>
      <c r="DT271" s="68">
        <v>0</v>
      </c>
      <c r="DU271" s="69">
        <v>0</v>
      </c>
      <c r="DV271" s="83"/>
      <c r="DW271" s="83"/>
      <c r="DX271" s="83"/>
      <c r="DY271" s="83"/>
      <c r="DZ271" s="83"/>
      <c r="EA271" s="83"/>
      <c r="EB271" s="83"/>
      <c r="EC271" s="83"/>
      <c r="ED271" s="83"/>
      <c r="EE271" s="83"/>
      <c r="EF271" s="83"/>
      <c r="EG271" s="83"/>
      <c r="EH271" s="83"/>
      <c r="EI271" s="61"/>
      <c r="EJ271" s="61"/>
      <c r="EK271" s="61"/>
      <c r="EL271" s="61"/>
      <c r="EM271" s="61"/>
      <c r="EN271" s="61"/>
      <c r="EO271" s="61"/>
      <c r="EP271" s="61"/>
      <c r="EQ271" s="61"/>
      <c r="ER271" s="61"/>
      <c r="ES271" s="61"/>
      <c r="FR271" s="63"/>
      <c r="FS271" s="63"/>
      <c r="FT271" s="63"/>
      <c r="FU271" s="63"/>
      <c r="FV271" s="63"/>
      <c r="FW271" s="63"/>
      <c r="FX271" s="63"/>
      <c r="FY271" s="63"/>
      <c r="FZ271" s="63"/>
      <c r="GA271" s="63"/>
      <c r="GB271" s="63"/>
      <c r="GC271" s="63"/>
      <c r="GE271" s="102"/>
    </row>
    <row r="272" spans="1:187" ht="30">
      <c r="D272" s="59" t="str">
        <f t="shared" si="47"/>
        <v>4122p</v>
      </c>
      <c r="E272" s="60" t="s">
        <v>382</v>
      </c>
      <c r="F272" s="67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9"/>
      <c r="R272" s="67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9"/>
      <c r="AD272" s="67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9"/>
      <c r="AP272" s="67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9"/>
      <c r="BB272" s="67"/>
      <c r="BC272" s="68"/>
      <c r="BD272" s="68"/>
      <c r="BE272" s="68"/>
      <c r="BF272" s="68"/>
      <c r="BG272" s="68"/>
      <c r="BH272" s="68"/>
      <c r="BI272" s="68"/>
      <c r="BJ272" s="68"/>
      <c r="BK272" s="68"/>
      <c r="BL272" s="68"/>
      <c r="BM272" s="69"/>
      <c r="BN272" s="67"/>
      <c r="BO272" s="68"/>
      <c r="BP272" s="68"/>
      <c r="BQ272" s="68"/>
      <c r="BR272" s="68"/>
      <c r="BS272" s="68"/>
      <c r="BT272" s="68"/>
      <c r="BU272" s="68"/>
      <c r="BV272" s="68"/>
      <c r="BW272" s="68"/>
      <c r="BX272" s="68"/>
      <c r="BY272" s="69"/>
      <c r="BZ272" s="67"/>
      <c r="CA272" s="68"/>
      <c r="CB272" s="68"/>
      <c r="CC272" s="68"/>
      <c r="CD272" s="68"/>
      <c r="CE272" s="68"/>
      <c r="CF272" s="68"/>
      <c r="CG272" s="68"/>
      <c r="CH272" s="68"/>
      <c r="CI272" s="68"/>
      <c r="CJ272" s="68"/>
      <c r="CK272" s="68"/>
      <c r="CL272" s="67">
        <v>128521.15</v>
      </c>
      <c r="CM272" s="68">
        <v>128521.15</v>
      </c>
      <c r="CN272" s="68">
        <v>128521.15</v>
      </c>
      <c r="CO272" s="68">
        <v>128521.15</v>
      </c>
      <c r="CP272" s="68">
        <v>128521.15</v>
      </c>
      <c r="CQ272" s="68">
        <v>128521.15</v>
      </c>
      <c r="CR272" s="68">
        <v>128521.15</v>
      </c>
      <c r="CS272" s="68">
        <v>128521.15</v>
      </c>
      <c r="CT272" s="68">
        <v>128521.15</v>
      </c>
      <c r="CU272" s="68">
        <v>128521.15</v>
      </c>
      <c r="CV272" s="68">
        <v>128521.15</v>
      </c>
      <c r="CW272" s="69">
        <v>128521.15</v>
      </c>
      <c r="CX272" s="107">
        <v>176580.35833333299</v>
      </c>
      <c r="CY272" s="108">
        <v>176580.35833333299</v>
      </c>
      <c r="CZ272" s="108">
        <v>176580.35833333299</v>
      </c>
      <c r="DA272" s="108">
        <v>176580.35833333299</v>
      </c>
      <c r="DB272" s="108">
        <v>176580.35833333299</v>
      </c>
      <c r="DC272" s="108">
        <v>176580.35833333299</v>
      </c>
      <c r="DD272" s="108">
        <v>176580.35833333299</v>
      </c>
      <c r="DE272" s="108">
        <v>176580.35833333299</v>
      </c>
      <c r="DF272" s="108">
        <v>176580.35833333299</v>
      </c>
      <c r="DG272" s="108">
        <v>176580.35833333299</v>
      </c>
      <c r="DH272" s="108">
        <v>176580.35833333299</v>
      </c>
      <c r="DI272" s="109">
        <v>176580.35833333299</v>
      </c>
      <c r="DJ272" s="67">
        <v>182094.51583333299</v>
      </c>
      <c r="DK272" s="68">
        <v>182094.51583333299</v>
      </c>
      <c r="DL272" s="68">
        <v>182094.51583333299</v>
      </c>
      <c r="DM272" s="68">
        <v>182094.51583333299</v>
      </c>
      <c r="DN272" s="68">
        <v>182094.51583333299</v>
      </c>
      <c r="DO272" s="68">
        <v>182094.51583333299</v>
      </c>
      <c r="DP272" s="68">
        <v>182094.51583333299</v>
      </c>
      <c r="DQ272" s="68">
        <v>182094.51583333299</v>
      </c>
      <c r="DR272" s="68">
        <v>182094.51583333299</v>
      </c>
      <c r="DS272" s="68">
        <v>182094.51583333299</v>
      </c>
      <c r="DT272" s="68">
        <v>182094.51583333299</v>
      </c>
      <c r="DU272" s="69">
        <v>182094.51583333299</v>
      </c>
      <c r="DV272" s="83"/>
      <c r="DW272" s="83"/>
      <c r="DX272" s="83"/>
      <c r="DY272" s="83"/>
      <c r="DZ272" s="83"/>
      <c r="EA272" s="83"/>
      <c r="EB272" s="83"/>
      <c r="EC272" s="83"/>
      <c r="ED272" s="83"/>
      <c r="EE272" s="83"/>
      <c r="EF272" s="83"/>
      <c r="EG272" s="83"/>
      <c r="EH272" s="83"/>
      <c r="EI272" s="61"/>
      <c r="EJ272" s="61"/>
      <c r="EK272" s="61"/>
      <c r="EL272" s="61"/>
      <c r="EM272" s="61"/>
      <c r="EN272" s="61"/>
      <c r="EO272" s="61"/>
      <c r="EP272" s="61"/>
      <c r="EQ272" s="61"/>
      <c r="ER272" s="61"/>
      <c r="ES272" s="61"/>
      <c r="FR272" s="63"/>
      <c r="FS272" s="63"/>
      <c r="FT272" s="63"/>
      <c r="FU272" s="63"/>
      <c r="FV272" s="63"/>
      <c r="FW272" s="63"/>
      <c r="FX272" s="63"/>
      <c r="FY272" s="63"/>
      <c r="FZ272" s="63"/>
      <c r="GA272" s="63"/>
      <c r="GB272" s="63"/>
      <c r="GC272" s="63"/>
      <c r="GE272" s="102"/>
    </row>
    <row r="273" spans="1:187">
      <c r="D273" s="59" t="str">
        <f t="shared" si="47"/>
        <v>4123p</v>
      </c>
      <c r="E273" s="60" t="s">
        <v>383</v>
      </c>
      <c r="F273" s="67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9"/>
      <c r="R273" s="67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9"/>
      <c r="AD273" s="67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9"/>
      <c r="AP273" s="67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9"/>
      <c r="BB273" s="67"/>
      <c r="BC273" s="68"/>
      <c r="BD273" s="68"/>
      <c r="BE273" s="68"/>
      <c r="BF273" s="68"/>
      <c r="BG273" s="68"/>
      <c r="BH273" s="68"/>
      <c r="BI273" s="68"/>
      <c r="BJ273" s="68"/>
      <c r="BK273" s="68"/>
      <c r="BL273" s="68"/>
      <c r="BM273" s="69"/>
      <c r="BN273" s="67"/>
      <c r="BO273" s="68"/>
      <c r="BP273" s="68"/>
      <c r="BQ273" s="68"/>
      <c r="BR273" s="68"/>
      <c r="BS273" s="68"/>
      <c r="BT273" s="68"/>
      <c r="BU273" s="68"/>
      <c r="BV273" s="68"/>
      <c r="BW273" s="68"/>
      <c r="BX273" s="68"/>
      <c r="BY273" s="69"/>
      <c r="BZ273" s="67"/>
      <c r="CA273" s="68"/>
      <c r="CB273" s="68"/>
      <c r="CC273" s="68"/>
      <c r="CD273" s="68"/>
      <c r="CE273" s="68"/>
      <c r="CF273" s="68"/>
      <c r="CG273" s="68"/>
      <c r="CH273" s="68"/>
      <c r="CI273" s="68"/>
      <c r="CJ273" s="68"/>
      <c r="CK273" s="68"/>
      <c r="CL273" s="67">
        <v>6290.3316666666697</v>
      </c>
      <c r="CM273" s="68">
        <v>6290.3316666666697</v>
      </c>
      <c r="CN273" s="68">
        <v>6290.3316666666697</v>
      </c>
      <c r="CO273" s="68">
        <v>6290.3316666666697</v>
      </c>
      <c r="CP273" s="68">
        <v>6290.3316666666697</v>
      </c>
      <c r="CQ273" s="68">
        <v>6290.3316666666697</v>
      </c>
      <c r="CR273" s="68">
        <v>6290.3316666666697</v>
      </c>
      <c r="CS273" s="68">
        <v>6290.3316666666697</v>
      </c>
      <c r="CT273" s="68">
        <v>6290.3316666666697</v>
      </c>
      <c r="CU273" s="68">
        <v>6290.3316666666697</v>
      </c>
      <c r="CV273" s="68">
        <v>6290.3316666666697</v>
      </c>
      <c r="CW273" s="69">
        <v>6290.3316666666697</v>
      </c>
      <c r="CX273" s="107">
        <v>14691.803333333301</v>
      </c>
      <c r="CY273" s="108">
        <v>14691.803333333301</v>
      </c>
      <c r="CZ273" s="108">
        <v>14691.803333333301</v>
      </c>
      <c r="DA273" s="108">
        <v>14691.803333333301</v>
      </c>
      <c r="DB273" s="108">
        <v>14691.803333333301</v>
      </c>
      <c r="DC273" s="108">
        <v>14691.803333333301</v>
      </c>
      <c r="DD273" s="108">
        <v>14691.803333333301</v>
      </c>
      <c r="DE273" s="108">
        <v>14691.803333333301</v>
      </c>
      <c r="DF273" s="108">
        <v>14691.803333333301</v>
      </c>
      <c r="DG273" s="108">
        <v>14691.803333333301</v>
      </c>
      <c r="DH273" s="108">
        <v>14691.803333333301</v>
      </c>
      <c r="DI273" s="109">
        <v>14691.803333333301</v>
      </c>
      <c r="DJ273" s="67">
        <v>17427.0058333333</v>
      </c>
      <c r="DK273" s="68">
        <v>17427.0058333333</v>
      </c>
      <c r="DL273" s="68">
        <v>17427.0058333333</v>
      </c>
      <c r="DM273" s="68">
        <v>17427.0058333333</v>
      </c>
      <c r="DN273" s="68">
        <v>17427.0058333333</v>
      </c>
      <c r="DO273" s="68">
        <v>17427.0058333333</v>
      </c>
      <c r="DP273" s="68">
        <v>17427.0058333333</v>
      </c>
      <c r="DQ273" s="68">
        <v>17427.0058333333</v>
      </c>
      <c r="DR273" s="68">
        <v>17427.0058333333</v>
      </c>
      <c r="DS273" s="68">
        <v>17427.0058333333</v>
      </c>
      <c r="DT273" s="68">
        <v>17427.0058333333</v>
      </c>
      <c r="DU273" s="69">
        <v>17427.0058333333</v>
      </c>
      <c r="DV273" s="83"/>
      <c r="DW273" s="83"/>
      <c r="DX273" s="83"/>
      <c r="DY273" s="83"/>
      <c r="DZ273" s="83"/>
      <c r="EA273" s="83"/>
      <c r="EB273" s="83"/>
      <c r="EC273" s="83"/>
      <c r="ED273" s="83"/>
      <c r="EE273" s="83"/>
      <c r="EF273" s="83"/>
      <c r="EG273" s="83"/>
      <c r="EH273" s="83"/>
      <c r="EI273" s="61"/>
      <c r="EJ273" s="61"/>
      <c r="EK273" s="61"/>
      <c r="EL273" s="61"/>
      <c r="EM273" s="61"/>
      <c r="EN273" s="61"/>
      <c r="EO273" s="61"/>
      <c r="EP273" s="61"/>
      <c r="EQ273" s="61"/>
      <c r="ER273" s="61"/>
      <c r="ES273" s="61"/>
      <c r="FR273" s="63"/>
      <c r="FS273" s="63"/>
      <c r="FT273" s="63"/>
      <c r="FU273" s="63"/>
      <c r="FV273" s="63"/>
      <c r="FW273" s="63"/>
      <c r="FX273" s="63"/>
      <c r="FY273" s="63"/>
      <c r="FZ273" s="63"/>
      <c r="GA273" s="63"/>
      <c r="GB273" s="63"/>
      <c r="GC273" s="63"/>
      <c r="GE273" s="102"/>
    </row>
    <row r="274" spans="1:187">
      <c r="D274" s="59" t="str">
        <f t="shared" si="47"/>
        <v>4124p</v>
      </c>
      <c r="E274" s="60" t="s">
        <v>384</v>
      </c>
      <c r="F274" s="67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9"/>
      <c r="R274" s="67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9"/>
      <c r="AD274" s="67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9"/>
      <c r="AP274" s="67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9"/>
      <c r="BB274" s="67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9"/>
      <c r="BN274" s="67"/>
      <c r="BO274" s="68"/>
      <c r="BP274" s="68"/>
      <c r="BQ274" s="68"/>
      <c r="BR274" s="68"/>
      <c r="BS274" s="68"/>
      <c r="BT274" s="68"/>
      <c r="BU274" s="68"/>
      <c r="BV274" s="68"/>
      <c r="BW274" s="68"/>
      <c r="BX274" s="68"/>
      <c r="BY274" s="69"/>
      <c r="BZ274" s="67"/>
      <c r="CA274" s="68"/>
      <c r="CB274" s="68"/>
      <c r="CC274" s="68"/>
      <c r="CD274" s="68"/>
      <c r="CE274" s="68"/>
      <c r="CF274" s="68"/>
      <c r="CG274" s="68"/>
      <c r="CH274" s="68"/>
      <c r="CI274" s="68"/>
      <c r="CJ274" s="68"/>
      <c r="CK274" s="68"/>
      <c r="CL274" s="67">
        <v>8115</v>
      </c>
      <c r="CM274" s="68">
        <v>8115</v>
      </c>
      <c r="CN274" s="68">
        <v>8115</v>
      </c>
      <c r="CO274" s="68">
        <v>8115</v>
      </c>
      <c r="CP274" s="68">
        <v>8115</v>
      </c>
      <c r="CQ274" s="68">
        <v>8115</v>
      </c>
      <c r="CR274" s="68">
        <v>8115</v>
      </c>
      <c r="CS274" s="68">
        <v>8115</v>
      </c>
      <c r="CT274" s="68">
        <v>8115</v>
      </c>
      <c r="CU274" s="68">
        <v>8115</v>
      </c>
      <c r="CV274" s="68">
        <v>8115</v>
      </c>
      <c r="CW274" s="69">
        <v>8115</v>
      </c>
      <c r="CX274" s="107">
        <v>8063.25</v>
      </c>
      <c r="CY274" s="108">
        <v>8063.25</v>
      </c>
      <c r="CZ274" s="108">
        <v>8063.25</v>
      </c>
      <c r="DA274" s="108">
        <v>8063.25</v>
      </c>
      <c r="DB274" s="108">
        <v>8063.25</v>
      </c>
      <c r="DC274" s="108">
        <v>8063.25</v>
      </c>
      <c r="DD274" s="108">
        <v>8063.25</v>
      </c>
      <c r="DE274" s="108">
        <v>8063.25</v>
      </c>
      <c r="DF274" s="108">
        <v>8063.25</v>
      </c>
      <c r="DG274" s="108">
        <v>8063.25</v>
      </c>
      <c r="DH274" s="108">
        <v>8063.25</v>
      </c>
      <c r="DI274" s="109">
        <v>8063.25</v>
      </c>
      <c r="DJ274" s="67">
        <v>10753.916666666701</v>
      </c>
      <c r="DK274" s="68">
        <v>10753.916666666701</v>
      </c>
      <c r="DL274" s="68">
        <v>10753.916666666701</v>
      </c>
      <c r="DM274" s="68">
        <v>10753.916666666701</v>
      </c>
      <c r="DN274" s="68">
        <v>10753.916666666701</v>
      </c>
      <c r="DO274" s="68">
        <v>10753.916666666701</v>
      </c>
      <c r="DP274" s="68">
        <v>10753.916666666701</v>
      </c>
      <c r="DQ274" s="68">
        <v>10753.916666666701</v>
      </c>
      <c r="DR274" s="68">
        <v>10753.916666666701</v>
      </c>
      <c r="DS274" s="68">
        <v>10753.916666666701</v>
      </c>
      <c r="DT274" s="68">
        <v>10753.916666666701</v>
      </c>
      <c r="DU274" s="69">
        <v>10753.916666666701</v>
      </c>
      <c r="DV274" s="83"/>
      <c r="DW274" s="83"/>
      <c r="DX274" s="83"/>
      <c r="DY274" s="83"/>
      <c r="DZ274" s="83"/>
      <c r="EA274" s="83"/>
      <c r="EB274" s="83"/>
      <c r="EC274" s="83"/>
      <c r="ED274" s="83"/>
      <c r="EE274" s="83"/>
      <c r="EF274" s="83"/>
      <c r="EG274" s="83"/>
      <c r="EH274" s="83"/>
      <c r="EI274" s="61"/>
      <c r="EJ274" s="61"/>
      <c r="EK274" s="61"/>
      <c r="EL274" s="61"/>
      <c r="EM274" s="61"/>
      <c r="EN274" s="61"/>
      <c r="EO274" s="61"/>
      <c r="EP274" s="61"/>
      <c r="EQ274" s="61"/>
      <c r="ER274" s="61"/>
      <c r="ES274" s="61"/>
      <c r="FR274" s="63"/>
      <c r="FS274" s="63"/>
      <c r="FT274" s="63"/>
      <c r="FU274" s="63"/>
      <c r="FV274" s="63"/>
      <c r="FW274" s="63"/>
      <c r="FX274" s="63"/>
      <c r="FY274" s="63"/>
      <c r="FZ274" s="63"/>
      <c r="GA274" s="63"/>
      <c r="GB274" s="63"/>
      <c r="GC274" s="63"/>
      <c r="GE274" s="102"/>
    </row>
    <row r="275" spans="1:187">
      <c r="D275" s="59" t="str">
        <f t="shared" si="47"/>
        <v>4125p</v>
      </c>
      <c r="E275" s="60" t="s">
        <v>385</v>
      </c>
      <c r="F275" s="67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9"/>
      <c r="R275" s="67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9"/>
      <c r="AD275" s="67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9"/>
      <c r="AP275" s="67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9"/>
      <c r="BB275" s="67"/>
      <c r="BC275" s="68"/>
      <c r="BD275" s="68"/>
      <c r="BE275" s="68"/>
      <c r="BF275" s="68"/>
      <c r="BG275" s="68"/>
      <c r="BH275" s="68"/>
      <c r="BI275" s="68"/>
      <c r="BJ275" s="68"/>
      <c r="BK275" s="68"/>
      <c r="BL275" s="68"/>
      <c r="BM275" s="69"/>
      <c r="BN275" s="67"/>
      <c r="BO275" s="68"/>
      <c r="BP275" s="68"/>
      <c r="BQ275" s="68"/>
      <c r="BR275" s="68"/>
      <c r="BS275" s="68"/>
      <c r="BT275" s="68"/>
      <c r="BU275" s="68"/>
      <c r="BV275" s="68"/>
      <c r="BW275" s="68"/>
      <c r="BX275" s="68"/>
      <c r="BY275" s="69"/>
      <c r="BZ275" s="67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7">
        <v>31286.8183333333</v>
      </c>
      <c r="CM275" s="68">
        <v>31286.8183333333</v>
      </c>
      <c r="CN275" s="68">
        <v>31286.8183333333</v>
      </c>
      <c r="CO275" s="68">
        <v>31286.8183333333</v>
      </c>
      <c r="CP275" s="68">
        <v>31286.8183333333</v>
      </c>
      <c r="CQ275" s="68">
        <v>31286.8183333333</v>
      </c>
      <c r="CR275" s="68">
        <v>31286.8183333333</v>
      </c>
      <c r="CS275" s="68">
        <v>31286.8183333333</v>
      </c>
      <c r="CT275" s="68">
        <v>31286.8183333333</v>
      </c>
      <c r="CU275" s="68">
        <v>31286.8183333333</v>
      </c>
      <c r="CV275" s="68">
        <v>31286.8183333333</v>
      </c>
      <c r="CW275" s="69">
        <v>31286.8183333333</v>
      </c>
      <c r="CX275" s="107">
        <v>50250.643333333297</v>
      </c>
      <c r="CY275" s="108">
        <v>50250.643333333297</v>
      </c>
      <c r="CZ275" s="108">
        <v>50250.643333333297</v>
      </c>
      <c r="DA275" s="108">
        <v>50250.643333333297</v>
      </c>
      <c r="DB275" s="108">
        <v>50250.643333333297</v>
      </c>
      <c r="DC275" s="108">
        <v>50250.643333333297</v>
      </c>
      <c r="DD275" s="108">
        <v>50250.643333333297</v>
      </c>
      <c r="DE275" s="108">
        <v>50250.643333333297</v>
      </c>
      <c r="DF275" s="108">
        <v>50250.643333333297</v>
      </c>
      <c r="DG275" s="108">
        <v>50250.643333333297</v>
      </c>
      <c r="DH275" s="108">
        <v>50250.643333333297</v>
      </c>
      <c r="DI275" s="109">
        <v>50250.643333333297</v>
      </c>
      <c r="DJ275" s="67">
        <v>48826.666666666701</v>
      </c>
      <c r="DK275" s="68">
        <v>48826.666666666701</v>
      </c>
      <c r="DL275" s="68">
        <v>48826.666666666701</v>
      </c>
      <c r="DM275" s="68">
        <v>48826.666666666701</v>
      </c>
      <c r="DN275" s="68">
        <v>48826.666666666701</v>
      </c>
      <c r="DO275" s="68">
        <v>48826.666666666701</v>
      </c>
      <c r="DP275" s="68">
        <v>48826.666666666701</v>
      </c>
      <c r="DQ275" s="68">
        <v>48826.666666666701</v>
      </c>
      <c r="DR275" s="68">
        <v>48826.666666666701</v>
      </c>
      <c r="DS275" s="68">
        <v>48826.666666666701</v>
      </c>
      <c r="DT275" s="68">
        <v>48826.666666666701</v>
      </c>
      <c r="DU275" s="69">
        <v>48826.666666666701</v>
      </c>
      <c r="DV275" s="83"/>
      <c r="DW275" s="83"/>
      <c r="DX275" s="83"/>
      <c r="DY275" s="83"/>
      <c r="DZ275" s="83"/>
      <c r="EA275" s="83"/>
      <c r="EB275" s="83"/>
      <c r="EC275" s="83"/>
      <c r="ED275" s="83"/>
      <c r="EE275" s="83"/>
      <c r="EF275" s="83"/>
      <c r="EG275" s="83"/>
      <c r="EH275" s="83"/>
      <c r="EI275" s="61"/>
      <c r="EJ275" s="61"/>
      <c r="EK275" s="61"/>
      <c r="EL275" s="61"/>
      <c r="EM275" s="61"/>
      <c r="EN275" s="61"/>
      <c r="EO275" s="61"/>
      <c r="EP275" s="61"/>
      <c r="EQ275" s="61"/>
      <c r="ER275" s="61"/>
      <c r="ES275" s="61"/>
      <c r="FR275" s="63"/>
      <c r="FS275" s="63"/>
      <c r="FT275" s="63"/>
      <c r="FU275" s="63"/>
      <c r="FV275" s="63"/>
      <c r="FW275" s="63"/>
      <c r="FX275" s="63"/>
      <c r="FY275" s="63"/>
      <c r="FZ275" s="63"/>
      <c r="GA275" s="63"/>
      <c r="GB275" s="63"/>
      <c r="GC275" s="63"/>
      <c r="GE275" s="102"/>
    </row>
    <row r="276" spans="1:187" ht="30">
      <c r="D276" s="59" t="str">
        <f t="shared" si="47"/>
        <v>4126p</v>
      </c>
      <c r="E276" s="60" t="s">
        <v>386</v>
      </c>
      <c r="F276" s="67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9"/>
      <c r="R276" s="67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9"/>
      <c r="AD276" s="67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9"/>
      <c r="AP276" s="67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9"/>
      <c r="BB276" s="67"/>
      <c r="BC276" s="68"/>
      <c r="BD276" s="68"/>
      <c r="BE276" s="68"/>
      <c r="BF276" s="68"/>
      <c r="BG276" s="68"/>
      <c r="BH276" s="68"/>
      <c r="BI276" s="68"/>
      <c r="BJ276" s="68"/>
      <c r="BK276" s="68"/>
      <c r="BL276" s="68"/>
      <c r="BM276" s="69"/>
      <c r="BN276" s="67"/>
      <c r="BO276" s="68"/>
      <c r="BP276" s="68"/>
      <c r="BQ276" s="68"/>
      <c r="BR276" s="68"/>
      <c r="BS276" s="68"/>
      <c r="BT276" s="68"/>
      <c r="BU276" s="68"/>
      <c r="BV276" s="68"/>
      <c r="BW276" s="68"/>
      <c r="BX276" s="68"/>
      <c r="BY276" s="69"/>
      <c r="BZ276" s="67"/>
      <c r="CA276" s="68"/>
      <c r="CB276" s="68"/>
      <c r="CC276" s="68"/>
      <c r="CD276" s="68"/>
      <c r="CE276" s="68"/>
      <c r="CF276" s="68"/>
      <c r="CG276" s="68"/>
      <c r="CH276" s="68"/>
      <c r="CI276" s="68"/>
      <c r="CJ276" s="68"/>
      <c r="CK276" s="68"/>
      <c r="CL276" s="67">
        <v>30000</v>
      </c>
      <c r="CM276" s="68">
        <v>30000</v>
      </c>
      <c r="CN276" s="68">
        <v>30000</v>
      </c>
      <c r="CO276" s="68">
        <v>30000</v>
      </c>
      <c r="CP276" s="68">
        <v>30000</v>
      </c>
      <c r="CQ276" s="68">
        <v>30000</v>
      </c>
      <c r="CR276" s="68">
        <v>30000</v>
      </c>
      <c r="CS276" s="68">
        <v>30000</v>
      </c>
      <c r="CT276" s="68">
        <v>30000</v>
      </c>
      <c r="CU276" s="68">
        <v>30000</v>
      </c>
      <c r="CV276" s="68">
        <v>30000</v>
      </c>
      <c r="CW276" s="69">
        <v>30000</v>
      </c>
      <c r="CX276" s="107">
        <v>33333.333333333299</v>
      </c>
      <c r="CY276" s="108">
        <v>33333.333333333299</v>
      </c>
      <c r="CZ276" s="108">
        <v>33333.333333333299</v>
      </c>
      <c r="DA276" s="108">
        <v>33333.333333333299</v>
      </c>
      <c r="DB276" s="108">
        <v>33333.333333333299</v>
      </c>
      <c r="DC276" s="108">
        <v>33333.333333333299</v>
      </c>
      <c r="DD276" s="108">
        <v>33333.333333333299</v>
      </c>
      <c r="DE276" s="108">
        <v>33333.333333333299</v>
      </c>
      <c r="DF276" s="108">
        <v>33333.333333333299</v>
      </c>
      <c r="DG276" s="108">
        <v>33333.333333333299</v>
      </c>
      <c r="DH276" s="108">
        <v>33333.333333333299</v>
      </c>
      <c r="DI276" s="109">
        <v>33333.333333333299</v>
      </c>
      <c r="DJ276" s="67">
        <v>33333.333333333299</v>
      </c>
      <c r="DK276" s="68">
        <v>33333.333333333299</v>
      </c>
      <c r="DL276" s="68">
        <v>33333.333333333299</v>
      </c>
      <c r="DM276" s="68">
        <v>33333.333333333299</v>
      </c>
      <c r="DN276" s="68">
        <v>33333.333333333299</v>
      </c>
      <c r="DO276" s="68">
        <v>33333.333333333299</v>
      </c>
      <c r="DP276" s="68">
        <v>33333.333333333299</v>
      </c>
      <c r="DQ276" s="68">
        <v>33333.333333333299</v>
      </c>
      <c r="DR276" s="68">
        <v>33333.333333333299</v>
      </c>
      <c r="DS276" s="68">
        <v>33333.333333333299</v>
      </c>
      <c r="DT276" s="68">
        <v>33333.333333333299</v>
      </c>
      <c r="DU276" s="69">
        <v>33333.333333333299</v>
      </c>
      <c r="DV276" s="83"/>
      <c r="DW276" s="83"/>
      <c r="DX276" s="83"/>
      <c r="DY276" s="83"/>
      <c r="DZ276" s="83"/>
      <c r="EA276" s="83"/>
      <c r="EB276" s="83"/>
      <c r="EC276" s="83"/>
      <c r="ED276" s="83"/>
      <c r="EE276" s="83"/>
      <c r="EF276" s="83"/>
      <c r="EG276" s="83"/>
      <c r="EH276" s="83"/>
      <c r="EI276" s="61"/>
      <c r="EJ276" s="61"/>
      <c r="EK276" s="61"/>
      <c r="EL276" s="61"/>
      <c r="EM276" s="61"/>
      <c r="EN276" s="61"/>
      <c r="EO276" s="61"/>
      <c r="EP276" s="61"/>
      <c r="EQ276" s="61"/>
      <c r="ER276" s="61"/>
      <c r="ES276" s="61"/>
      <c r="GE276" s="102"/>
    </row>
    <row r="277" spans="1:187">
      <c r="D277" s="59" t="str">
        <f t="shared" si="47"/>
        <v>4127p</v>
      </c>
      <c r="E277" s="60" t="s">
        <v>365</v>
      </c>
      <c r="F277" s="67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9"/>
      <c r="R277" s="67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9"/>
      <c r="AD277" s="67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9"/>
      <c r="AP277" s="67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9"/>
      <c r="BB277" s="67"/>
      <c r="BC277" s="68"/>
      <c r="BD277" s="68"/>
      <c r="BE277" s="68"/>
      <c r="BF277" s="68"/>
      <c r="BG277" s="68"/>
      <c r="BH277" s="68"/>
      <c r="BI277" s="68"/>
      <c r="BJ277" s="68"/>
      <c r="BK277" s="68"/>
      <c r="BL277" s="68"/>
      <c r="BM277" s="69"/>
      <c r="BN277" s="67"/>
      <c r="BO277" s="68"/>
      <c r="BP277" s="68"/>
      <c r="BQ277" s="68"/>
      <c r="BR277" s="68"/>
      <c r="BS277" s="68"/>
      <c r="BT277" s="68"/>
      <c r="BU277" s="68"/>
      <c r="BV277" s="68"/>
      <c r="BW277" s="68"/>
      <c r="BX277" s="68"/>
      <c r="BY277" s="69"/>
      <c r="BZ277" s="67"/>
      <c r="CA277" s="68"/>
      <c r="CB277" s="68"/>
      <c r="CC277" s="68"/>
      <c r="CD277" s="68"/>
      <c r="CE277" s="68"/>
      <c r="CF277" s="68"/>
      <c r="CG277" s="68"/>
      <c r="CH277" s="68"/>
      <c r="CI277" s="68"/>
      <c r="CJ277" s="68"/>
      <c r="CK277" s="68"/>
      <c r="CL277" s="67">
        <v>697395.23416666698</v>
      </c>
      <c r="CM277" s="68">
        <v>697395.23416666698</v>
      </c>
      <c r="CN277" s="68">
        <v>697395.23416666698</v>
      </c>
      <c r="CO277" s="68">
        <v>697395.23416666698</v>
      </c>
      <c r="CP277" s="68">
        <v>697395.23416666698</v>
      </c>
      <c r="CQ277" s="68">
        <v>697395.23416666698</v>
      </c>
      <c r="CR277" s="68">
        <v>697395.23416666698</v>
      </c>
      <c r="CS277" s="68">
        <v>697395.23416666698</v>
      </c>
      <c r="CT277" s="68">
        <v>697395.23416666698</v>
      </c>
      <c r="CU277" s="68">
        <v>697395.23416666698</v>
      </c>
      <c r="CV277" s="68">
        <v>697395.23416666698</v>
      </c>
      <c r="CW277" s="69">
        <v>697395.23416666698</v>
      </c>
      <c r="CX277" s="107">
        <v>673594.27500000002</v>
      </c>
      <c r="CY277" s="108">
        <v>673594.27500000002</v>
      </c>
      <c r="CZ277" s="108">
        <v>673594.27500000002</v>
      </c>
      <c r="DA277" s="108">
        <v>673594.27500000002</v>
      </c>
      <c r="DB277" s="108">
        <v>673594.27500000002</v>
      </c>
      <c r="DC277" s="108">
        <v>673594.27500000002</v>
      </c>
      <c r="DD277" s="108">
        <v>673594.27500000002</v>
      </c>
      <c r="DE277" s="108">
        <v>673594.27500000002</v>
      </c>
      <c r="DF277" s="108">
        <v>673594.27500000002</v>
      </c>
      <c r="DG277" s="108">
        <v>673594.27500000002</v>
      </c>
      <c r="DH277" s="108">
        <v>673594.27500000002</v>
      </c>
      <c r="DI277" s="109">
        <v>673594.27500000002</v>
      </c>
      <c r="DJ277" s="67">
        <v>675864.98</v>
      </c>
      <c r="DK277" s="68">
        <v>675864.98</v>
      </c>
      <c r="DL277" s="68">
        <v>675864.98</v>
      </c>
      <c r="DM277" s="68">
        <v>675864.98</v>
      </c>
      <c r="DN277" s="68">
        <v>675864.98</v>
      </c>
      <c r="DO277" s="68">
        <v>675864.98</v>
      </c>
      <c r="DP277" s="68">
        <v>675864.98</v>
      </c>
      <c r="DQ277" s="68">
        <v>675864.98</v>
      </c>
      <c r="DR277" s="68">
        <v>675864.98</v>
      </c>
      <c r="DS277" s="68">
        <v>675864.98</v>
      </c>
      <c r="DT277" s="68">
        <v>675864.98</v>
      </c>
      <c r="DU277" s="69">
        <v>675864.98</v>
      </c>
      <c r="DV277" s="83"/>
      <c r="DW277" s="83"/>
      <c r="DX277" s="83"/>
      <c r="DY277" s="83"/>
      <c r="DZ277" s="83"/>
      <c r="EA277" s="83"/>
      <c r="EB277" s="83"/>
      <c r="EC277" s="83"/>
      <c r="ED277" s="83"/>
      <c r="EE277" s="83"/>
      <c r="EF277" s="83"/>
      <c r="EG277" s="83"/>
      <c r="EH277" s="83"/>
      <c r="EI277" s="61"/>
      <c r="EJ277" s="61"/>
      <c r="EK277" s="61"/>
      <c r="EL277" s="61"/>
      <c r="EM277" s="61"/>
      <c r="EN277" s="61"/>
      <c r="EO277" s="61"/>
      <c r="EP277" s="61"/>
      <c r="EQ277" s="61"/>
      <c r="ER277" s="61"/>
      <c r="ES277" s="61"/>
      <c r="FR277" s="63"/>
      <c r="FS277" s="63"/>
      <c r="FT277" s="63"/>
      <c r="FU277" s="63"/>
      <c r="FV277" s="63"/>
      <c r="FW277" s="63"/>
      <c r="FX277" s="63"/>
      <c r="FY277" s="63"/>
      <c r="FZ277" s="63"/>
      <c r="GA277" s="63"/>
      <c r="GB277" s="63"/>
      <c r="GC277" s="63"/>
      <c r="GE277" s="102"/>
    </row>
    <row r="278" spans="1:187" s="2" customFormat="1">
      <c r="A278" s="71"/>
      <c r="B278" s="71"/>
      <c r="C278" s="71">
        <v>413</v>
      </c>
      <c r="D278" s="71" t="str">
        <f t="shared" si="47"/>
        <v>413p</v>
      </c>
      <c r="E278" s="72" t="s">
        <v>149</v>
      </c>
      <c r="F278" s="73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5"/>
      <c r="R278" s="73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5"/>
      <c r="AD278" s="73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5"/>
      <c r="AP278" s="73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5"/>
      <c r="BB278" s="73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5"/>
      <c r="BN278" s="73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5"/>
      <c r="BZ278" s="73"/>
      <c r="CA278" s="74"/>
      <c r="CB278" s="74"/>
      <c r="CC278" s="74"/>
      <c r="CD278" s="74"/>
      <c r="CE278" s="74"/>
      <c r="CF278" s="74"/>
      <c r="CG278" s="74"/>
      <c r="CH278" s="74"/>
      <c r="CI278" s="74"/>
      <c r="CJ278" s="74"/>
      <c r="CK278" s="74"/>
      <c r="CL278" s="73">
        <f t="shared" ref="CL278:CX278" si="61">+SUM(CL279:CL284)</f>
        <v>2109966.5125000002</v>
      </c>
      <c r="CM278" s="74">
        <f t="shared" si="61"/>
        <v>2109966.5125000002</v>
      </c>
      <c r="CN278" s="74">
        <f t="shared" si="61"/>
        <v>2109966.5125000002</v>
      </c>
      <c r="CO278" s="74">
        <f t="shared" si="61"/>
        <v>2109966.5125000002</v>
      </c>
      <c r="CP278" s="74">
        <f t="shared" si="61"/>
        <v>2109966.5125000002</v>
      </c>
      <c r="CQ278" s="74">
        <f t="shared" si="61"/>
        <v>2109966.5125000002</v>
      </c>
      <c r="CR278" s="74">
        <f t="shared" si="61"/>
        <v>2109966.5125000002</v>
      </c>
      <c r="CS278" s="74">
        <f t="shared" si="61"/>
        <v>2109966.5125000002</v>
      </c>
      <c r="CT278" s="74">
        <f t="shared" si="61"/>
        <v>2109966.5125000002</v>
      </c>
      <c r="CU278" s="74">
        <f t="shared" si="61"/>
        <v>2109966.5125000002</v>
      </c>
      <c r="CV278" s="74">
        <f t="shared" si="61"/>
        <v>2109966.5125000002</v>
      </c>
      <c r="CW278" s="75">
        <f t="shared" si="61"/>
        <v>2109966.5125000002</v>
      </c>
      <c r="CX278" s="110">
        <f t="shared" si="61"/>
        <v>2567060.82607716</v>
      </c>
      <c r="CY278" s="111">
        <f t="shared" ref="CY278:DJ278" si="62">+SUM(CY279:CY284)</f>
        <v>2567060.82607716</v>
      </c>
      <c r="CZ278" s="111">
        <f t="shared" si="62"/>
        <v>2567060.82607716</v>
      </c>
      <c r="DA278" s="111">
        <f t="shared" si="62"/>
        <v>2567060.82607716</v>
      </c>
      <c r="DB278" s="111">
        <f t="shared" si="62"/>
        <v>2567060.82607716</v>
      </c>
      <c r="DC278" s="111">
        <f t="shared" si="62"/>
        <v>2567060.82607716</v>
      </c>
      <c r="DD278" s="111">
        <f t="shared" si="62"/>
        <v>2567060.82607716</v>
      </c>
      <c r="DE278" s="111">
        <f t="shared" si="62"/>
        <v>2567060.82607716</v>
      </c>
      <c r="DF278" s="111">
        <f t="shared" si="62"/>
        <v>2567060.82607716</v>
      </c>
      <c r="DG278" s="111">
        <f t="shared" si="62"/>
        <v>2567060.82607716</v>
      </c>
      <c r="DH278" s="111">
        <f t="shared" si="62"/>
        <v>2567060.82607716</v>
      </c>
      <c r="DI278" s="112">
        <f t="shared" si="62"/>
        <v>2567060.82607716</v>
      </c>
      <c r="DJ278" s="73">
        <f t="shared" si="62"/>
        <v>2450506.84</v>
      </c>
      <c r="DK278" s="74">
        <f t="shared" ref="DK278:DU278" si="63">+SUM(DK279:DK284)</f>
        <v>2450506.84</v>
      </c>
      <c r="DL278" s="74">
        <f t="shared" si="63"/>
        <v>2450506.84</v>
      </c>
      <c r="DM278" s="74">
        <f t="shared" si="63"/>
        <v>2450506.84</v>
      </c>
      <c r="DN278" s="74">
        <f t="shared" si="63"/>
        <v>2450506.84</v>
      </c>
      <c r="DO278" s="74">
        <f t="shared" si="63"/>
        <v>2450506.84</v>
      </c>
      <c r="DP278" s="74">
        <f t="shared" si="63"/>
        <v>2450506.84</v>
      </c>
      <c r="DQ278" s="74">
        <f t="shared" si="63"/>
        <v>2450506.84</v>
      </c>
      <c r="DR278" s="74">
        <f t="shared" si="63"/>
        <v>2450506.84</v>
      </c>
      <c r="DS278" s="74">
        <f t="shared" si="63"/>
        <v>2450506.84</v>
      </c>
      <c r="DT278" s="74">
        <f t="shared" si="63"/>
        <v>2450506.84</v>
      </c>
      <c r="DU278" s="75">
        <f t="shared" si="63"/>
        <v>2450506.84</v>
      </c>
      <c r="DV278" s="97">
        <v>2552421.98916667</v>
      </c>
      <c r="DW278" s="97">
        <v>2552421.98916667</v>
      </c>
      <c r="DX278" s="97">
        <v>2552421.98916667</v>
      </c>
      <c r="DY278" s="97">
        <v>2552421.98916667</v>
      </c>
      <c r="DZ278" s="97">
        <v>2552421.98916667</v>
      </c>
      <c r="EA278" s="97">
        <v>2552421.98916667</v>
      </c>
      <c r="EB278" s="97">
        <v>2552421.98916667</v>
      </c>
      <c r="EC278" s="97">
        <v>2552421.98916667</v>
      </c>
      <c r="ED278" s="97">
        <v>2552421.98916667</v>
      </c>
      <c r="EE278" s="97">
        <v>2552421.98916667</v>
      </c>
      <c r="EF278" s="97">
        <v>2552421.98916667</v>
      </c>
      <c r="EG278" s="97">
        <v>2552421.98916667</v>
      </c>
      <c r="EH278" s="97">
        <v>1973140.86</v>
      </c>
      <c r="EI278" s="97">
        <v>1973140.86</v>
      </c>
      <c r="EJ278" s="97">
        <v>1973140.86</v>
      </c>
      <c r="EK278" s="97">
        <v>1973140.86</v>
      </c>
      <c r="EL278" s="97">
        <v>1973140.86</v>
      </c>
      <c r="EM278" s="97">
        <v>1973140.86</v>
      </c>
      <c r="EN278" s="97">
        <v>2959711.29</v>
      </c>
      <c r="EO278" s="97">
        <v>2959711.29</v>
      </c>
      <c r="EP278" s="97">
        <v>2959711.29</v>
      </c>
      <c r="EQ278" s="97">
        <v>2959711.29</v>
      </c>
      <c r="ER278" s="97">
        <v>2959711.29</v>
      </c>
      <c r="ES278" s="97">
        <v>2959711.29</v>
      </c>
      <c r="ET278" s="106">
        <v>2429373.3213333301</v>
      </c>
      <c r="EU278" s="106">
        <v>2429373.3213333301</v>
      </c>
      <c r="EV278" s="106">
        <v>2429373.3213333301</v>
      </c>
      <c r="EW278" s="106">
        <v>2429373.3213333301</v>
      </c>
      <c r="EX278" s="106">
        <v>2429373.3213333301</v>
      </c>
      <c r="EY278" s="106">
        <v>2429373.3213333301</v>
      </c>
      <c r="EZ278" s="106">
        <v>3644059.9819999998</v>
      </c>
      <c r="FA278" s="106">
        <v>3644059.9819999998</v>
      </c>
      <c r="FB278" s="106">
        <v>4454463.4019999998</v>
      </c>
      <c r="FC278" s="106">
        <v>4454463.4019999998</v>
      </c>
      <c r="FD278" s="106">
        <v>4454463.4019999998</v>
      </c>
      <c r="FE278" s="106">
        <v>4454463.4019999998</v>
      </c>
      <c r="FF278" s="106">
        <v>3067786.4358333298</v>
      </c>
      <c r="FG278" s="106">
        <v>3019826.0658333302</v>
      </c>
      <c r="FH278" s="106">
        <v>3058309.88583333</v>
      </c>
      <c r="FI278" s="106">
        <v>3046755.8058333299</v>
      </c>
      <c r="FJ278" s="106">
        <v>3057105.8058333299</v>
      </c>
      <c r="FK278" s="106">
        <v>3056755.8058333299</v>
      </c>
      <c r="FL278" s="106">
        <v>3059180.8058333299</v>
      </c>
      <c r="FM278" s="106">
        <v>3059180.8058333299</v>
      </c>
      <c r="FN278" s="106">
        <v>3059040.8058333299</v>
      </c>
      <c r="FO278" s="106">
        <v>3063161.8058333299</v>
      </c>
      <c r="FP278" s="106">
        <v>3060771.8058333299</v>
      </c>
      <c r="FQ278" s="106">
        <v>3044951.8258333299</v>
      </c>
      <c r="FR278" s="106">
        <v>845574.4</v>
      </c>
      <c r="FS278" s="106">
        <v>4271561.3099999996</v>
      </c>
      <c r="FT278" s="106">
        <v>2456800.5</v>
      </c>
      <c r="FU278" s="106">
        <v>3001224.56</v>
      </c>
      <c r="FV278" s="106">
        <v>1835726.56</v>
      </c>
      <c r="FW278" s="106">
        <v>3331584.2171428599</v>
      </c>
      <c r="FX278" s="106">
        <v>3331584.2171428599</v>
      </c>
      <c r="FY278" s="106">
        <v>2665267.3737142901</v>
      </c>
      <c r="FZ278" s="106">
        <v>3331584.2171428599</v>
      </c>
      <c r="GA278" s="106">
        <v>3331584.2171428599</v>
      </c>
      <c r="GB278" s="106">
        <v>3331584.2171428599</v>
      </c>
      <c r="GC278" s="106">
        <v>3997910.8964734701</v>
      </c>
      <c r="GE278" s="101">
        <f>SUM(FR278:GC278)</f>
        <v>35731986.685901999</v>
      </c>
    </row>
    <row r="279" spans="1:187">
      <c r="D279" s="59" t="str">
        <f t="shared" si="47"/>
        <v>4131p</v>
      </c>
      <c r="E279" s="60" t="s">
        <v>387</v>
      </c>
      <c r="F279" s="67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9"/>
      <c r="R279" s="67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9"/>
      <c r="AD279" s="67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9"/>
      <c r="AP279" s="67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9"/>
      <c r="BB279" s="67"/>
      <c r="BC279" s="68"/>
      <c r="BD279" s="68"/>
      <c r="BE279" s="68"/>
      <c r="BF279" s="68"/>
      <c r="BG279" s="68"/>
      <c r="BH279" s="68"/>
      <c r="BI279" s="68"/>
      <c r="BJ279" s="68"/>
      <c r="BK279" s="68"/>
      <c r="BL279" s="68"/>
      <c r="BM279" s="69"/>
      <c r="BN279" s="67"/>
      <c r="BO279" s="68"/>
      <c r="BP279" s="68"/>
      <c r="BQ279" s="68"/>
      <c r="BR279" s="68"/>
      <c r="BS279" s="68"/>
      <c r="BT279" s="68"/>
      <c r="BU279" s="68"/>
      <c r="BV279" s="68"/>
      <c r="BW279" s="68"/>
      <c r="BX279" s="68"/>
      <c r="BY279" s="69"/>
      <c r="BZ279" s="67"/>
      <c r="CA279" s="68"/>
      <c r="CB279" s="68"/>
      <c r="CC279" s="68"/>
      <c r="CD279" s="68"/>
      <c r="CE279" s="68"/>
      <c r="CF279" s="68"/>
      <c r="CG279" s="68"/>
      <c r="CH279" s="68"/>
      <c r="CI279" s="68"/>
      <c r="CJ279" s="68"/>
      <c r="CK279" s="68"/>
      <c r="CL279" s="67">
        <v>524982.86083333299</v>
      </c>
      <c r="CM279" s="68">
        <v>524982.86083333299</v>
      </c>
      <c r="CN279" s="68">
        <v>524982.86083333299</v>
      </c>
      <c r="CO279" s="68">
        <v>524982.86083333299</v>
      </c>
      <c r="CP279" s="68">
        <v>524982.86083333299</v>
      </c>
      <c r="CQ279" s="68">
        <v>524982.86083333299</v>
      </c>
      <c r="CR279" s="68">
        <v>524982.86083333299</v>
      </c>
      <c r="CS279" s="68">
        <v>524982.86083333299</v>
      </c>
      <c r="CT279" s="68">
        <v>524982.86083333299</v>
      </c>
      <c r="CU279" s="68">
        <v>524982.86083333299</v>
      </c>
      <c r="CV279" s="68">
        <v>524982.86083333299</v>
      </c>
      <c r="CW279" s="69">
        <v>524982.86083333299</v>
      </c>
      <c r="CX279" s="107">
        <v>509745.79880761</v>
      </c>
      <c r="CY279" s="108">
        <v>509745.79880761</v>
      </c>
      <c r="CZ279" s="108">
        <v>509745.79880761</v>
      </c>
      <c r="DA279" s="108">
        <v>509745.79880761</v>
      </c>
      <c r="DB279" s="108">
        <v>509745.79880761</v>
      </c>
      <c r="DC279" s="108">
        <v>509745.79880761</v>
      </c>
      <c r="DD279" s="108">
        <v>509745.79880761</v>
      </c>
      <c r="DE279" s="108">
        <v>509745.79880761</v>
      </c>
      <c r="DF279" s="108">
        <v>509745.79880761</v>
      </c>
      <c r="DG279" s="108">
        <v>509745.79880761</v>
      </c>
      <c r="DH279" s="108">
        <v>509745.79880761</v>
      </c>
      <c r="DI279" s="109">
        <v>509745.79880761</v>
      </c>
      <c r="DJ279" s="67">
        <v>563652.23916666699</v>
      </c>
      <c r="DK279" s="68">
        <v>563652.23916666699</v>
      </c>
      <c r="DL279" s="68">
        <v>563652.23916666699</v>
      </c>
      <c r="DM279" s="68">
        <v>563652.23916666699</v>
      </c>
      <c r="DN279" s="68">
        <v>563652.23916666699</v>
      </c>
      <c r="DO279" s="68">
        <v>563652.23916666699</v>
      </c>
      <c r="DP279" s="68">
        <v>563652.23916666699</v>
      </c>
      <c r="DQ279" s="68">
        <v>563652.23916666699</v>
      </c>
      <c r="DR279" s="68">
        <v>563652.23916666699</v>
      </c>
      <c r="DS279" s="68">
        <v>563652.23916666699</v>
      </c>
      <c r="DT279" s="68">
        <v>563652.23916666699</v>
      </c>
      <c r="DU279" s="69">
        <v>563652.23916666699</v>
      </c>
      <c r="DV279" s="83"/>
      <c r="DW279" s="83"/>
      <c r="DX279" s="83"/>
      <c r="DY279" s="83"/>
      <c r="DZ279" s="83"/>
      <c r="EA279" s="83"/>
      <c r="EB279" s="83"/>
      <c r="EC279" s="83"/>
      <c r="ED279" s="83"/>
      <c r="EE279" s="83"/>
      <c r="EF279" s="83"/>
      <c r="EG279" s="83"/>
      <c r="EH279" s="83"/>
      <c r="EI279" s="61"/>
      <c r="EJ279" s="61"/>
      <c r="EK279" s="61"/>
      <c r="EL279" s="61"/>
      <c r="EM279" s="61"/>
      <c r="EN279" s="61"/>
      <c r="EO279" s="61"/>
      <c r="EP279" s="61"/>
      <c r="EQ279" s="61"/>
      <c r="ER279" s="61"/>
      <c r="ES279" s="61"/>
      <c r="FR279" s="63"/>
      <c r="FS279" s="63"/>
      <c r="FT279" s="63"/>
      <c r="FU279" s="63"/>
      <c r="FV279" s="63"/>
      <c r="FW279" s="63"/>
      <c r="FX279" s="63"/>
      <c r="FY279" s="63"/>
      <c r="FZ279" s="63"/>
      <c r="GA279" s="63"/>
      <c r="GB279" s="63"/>
      <c r="GC279" s="63"/>
      <c r="GE279" s="102"/>
    </row>
    <row r="280" spans="1:187">
      <c r="D280" s="59" t="str">
        <f t="shared" si="47"/>
        <v>4132p</v>
      </c>
      <c r="E280" s="60" t="s">
        <v>388</v>
      </c>
      <c r="F280" s="67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9"/>
      <c r="R280" s="67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9"/>
      <c r="AD280" s="67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9"/>
      <c r="AP280" s="67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9"/>
      <c r="BB280" s="67"/>
      <c r="BC280" s="68"/>
      <c r="BD280" s="68"/>
      <c r="BE280" s="68"/>
      <c r="BF280" s="68"/>
      <c r="BG280" s="68"/>
      <c r="BH280" s="68"/>
      <c r="BI280" s="68"/>
      <c r="BJ280" s="68"/>
      <c r="BK280" s="68"/>
      <c r="BL280" s="68"/>
      <c r="BM280" s="69"/>
      <c r="BN280" s="67"/>
      <c r="BO280" s="68"/>
      <c r="BP280" s="68"/>
      <c r="BQ280" s="68"/>
      <c r="BR280" s="68"/>
      <c r="BS280" s="68"/>
      <c r="BT280" s="68"/>
      <c r="BU280" s="68"/>
      <c r="BV280" s="68"/>
      <c r="BW280" s="68"/>
      <c r="BX280" s="68"/>
      <c r="BY280" s="69"/>
      <c r="BZ280" s="67"/>
      <c r="CA280" s="68"/>
      <c r="CB280" s="68"/>
      <c r="CC280" s="68"/>
      <c r="CD280" s="68"/>
      <c r="CE280" s="68"/>
      <c r="CF280" s="68"/>
      <c r="CG280" s="68"/>
      <c r="CH280" s="68"/>
      <c r="CI280" s="68"/>
      <c r="CJ280" s="68"/>
      <c r="CK280" s="68"/>
      <c r="CL280" s="67">
        <v>57550.642500000002</v>
      </c>
      <c r="CM280" s="68">
        <v>57550.642500000002</v>
      </c>
      <c r="CN280" s="68">
        <v>57550.642500000002</v>
      </c>
      <c r="CO280" s="68">
        <v>57550.642500000002</v>
      </c>
      <c r="CP280" s="68">
        <v>57550.642500000002</v>
      </c>
      <c r="CQ280" s="68">
        <v>57550.642500000002</v>
      </c>
      <c r="CR280" s="68">
        <v>57550.642500000002</v>
      </c>
      <c r="CS280" s="68">
        <v>57550.642500000002</v>
      </c>
      <c r="CT280" s="68">
        <v>57550.642500000002</v>
      </c>
      <c r="CU280" s="68">
        <v>57550.642500000002</v>
      </c>
      <c r="CV280" s="68">
        <v>57550.642500000002</v>
      </c>
      <c r="CW280" s="69">
        <v>57550.642500000002</v>
      </c>
      <c r="CX280" s="107">
        <v>68000.435934037101</v>
      </c>
      <c r="CY280" s="108">
        <v>68000.435934037101</v>
      </c>
      <c r="CZ280" s="108">
        <v>68000.435934037101</v>
      </c>
      <c r="DA280" s="108">
        <v>68000.435934037101</v>
      </c>
      <c r="DB280" s="108">
        <v>68000.435934037101</v>
      </c>
      <c r="DC280" s="108">
        <v>68000.435934037101</v>
      </c>
      <c r="DD280" s="108">
        <v>68000.435934037101</v>
      </c>
      <c r="DE280" s="108">
        <v>68000.435934037101</v>
      </c>
      <c r="DF280" s="108">
        <v>68000.435934037101</v>
      </c>
      <c r="DG280" s="108">
        <v>68000.435934037101</v>
      </c>
      <c r="DH280" s="108">
        <v>68000.435934037101</v>
      </c>
      <c r="DI280" s="109">
        <v>68000.435934037101</v>
      </c>
      <c r="DJ280" s="67">
        <v>82363.179166666698</v>
      </c>
      <c r="DK280" s="68">
        <v>82363.179166666698</v>
      </c>
      <c r="DL280" s="68">
        <v>82363.179166666698</v>
      </c>
      <c r="DM280" s="68">
        <v>82363.179166666698</v>
      </c>
      <c r="DN280" s="68">
        <v>82363.179166666698</v>
      </c>
      <c r="DO280" s="68">
        <v>82363.179166666698</v>
      </c>
      <c r="DP280" s="68">
        <v>82363.179166666698</v>
      </c>
      <c r="DQ280" s="68">
        <v>82363.179166666698</v>
      </c>
      <c r="DR280" s="68">
        <v>82363.179166666698</v>
      </c>
      <c r="DS280" s="68">
        <v>82363.179166666698</v>
      </c>
      <c r="DT280" s="68">
        <v>82363.179166666698</v>
      </c>
      <c r="DU280" s="69">
        <v>82363.179166666698</v>
      </c>
      <c r="DV280" s="83"/>
      <c r="DW280" s="83"/>
      <c r="DX280" s="83"/>
      <c r="DY280" s="83"/>
      <c r="DZ280" s="83"/>
      <c r="EA280" s="83"/>
      <c r="EB280" s="83"/>
      <c r="EC280" s="83"/>
      <c r="ED280" s="83"/>
      <c r="EE280" s="83"/>
      <c r="EF280" s="83"/>
      <c r="EG280" s="83"/>
      <c r="EH280" s="83"/>
      <c r="EI280" s="61"/>
      <c r="EJ280" s="61"/>
      <c r="EK280" s="61"/>
      <c r="EL280" s="61"/>
      <c r="EM280" s="61"/>
      <c r="EN280" s="61"/>
      <c r="EO280" s="61"/>
      <c r="EP280" s="61"/>
      <c r="EQ280" s="61"/>
      <c r="ER280" s="61"/>
      <c r="ES280" s="61"/>
      <c r="FR280" s="63"/>
      <c r="FS280" s="63"/>
      <c r="FT280" s="63"/>
      <c r="FU280" s="63"/>
      <c r="FV280" s="63"/>
      <c r="FW280" s="63"/>
      <c r="FX280" s="63"/>
      <c r="FY280" s="63"/>
      <c r="FZ280" s="63"/>
      <c r="GA280" s="63"/>
      <c r="GB280" s="63"/>
      <c r="GC280" s="63"/>
      <c r="GE280" s="102"/>
    </row>
    <row r="281" spans="1:187">
      <c r="D281" s="59" t="str">
        <f t="shared" si="47"/>
        <v>4133p</v>
      </c>
      <c r="E281" s="60" t="s">
        <v>389</v>
      </c>
      <c r="F281" s="67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9"/>
      <c r="R281" s="67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9"/>
      <c r="AD281" s="67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9"/>
      <c r="AP281" s="67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9"/>
      <c r="BB281" s="67"/>
      <c r="BC281" s="68"/>
      <c r="BD281" s="68"/>
      <c r="BE281" s="68"/>
      <c r="BF281" s="68"/>
      <c r="BG281" s="68"/>
      <c r="BH281" s="68"/>
      <c r="BI281" s="68"/>
      <c r="BJ281" s="68"/>
      <c r="BK281" s="68"/>
      <c r="BL281" s="68"/>
      <c r="BM281" s="69"/>
      <c r="BN281" s="67"/>
      <c r="BO281" s="68"/>
      <c r="BP281" s="68"/>
      <c r="BQ281" s="68"/>
      <c r="BR281" s="68"/>
      <c r="BS281" s="68"/>
      <c r="BT281" s="68"/>
      <c r="BU281" s="68"/>
      <c r="BV281" s="68"/>
      <c r="BW281" s="68"/>
      <c r="BX281" s="68"/>
      <c r="BY281" s="69"/>
      <c r="BZ281" s="67"/>
      <c r="CA281" s="68"/>
      <c r="CB281" s="68"/>
      <c r="CC281" s="68"/>
      <c r="CD281" s="68"/>
      <c r="CE281" s="68"/>
      <c r="CF281" s="68"/>
      <c r="CG281" s="68"/>
      <c r="CH281" s="68"/>
      <c r="CI281" s="68"/>
      <c r="CJ281" s="68"/>
      <c r="CK281" s="68"/>
      <c r="CL281" s="67">
        <v>388482.88500000001</v>
      </c>
      <c r="CM281" s="68">
        <v>388482.88500000001</v>
      </c>
      <c r="CN281" s="68">
        <v>388482.88500000001</v>
      </c>
      <c r="CO281" s="68">
        <v>388482.88500000001</v>
      </c>
      <c r="CP281" s="68">
        <v>388482.88500000001</v>
      </c>
      <c r="CQ281" s="68">
        <v>388482.88500000001</v>
      </c>
      <c r="CR281" s="68">
        <v>388482.88500000001</v>
      </c>
      <c r="CS281" s="68">
        <v>388482.88500000001</v>
      </c>
      <c r="CT281" s="68">
        <v>388482.88500000001</v>
      </c>
      <c r="CU281" s="68">
        <v>388482.88500000001</v>
      </c>
      <c r="CV281" s="68">
        <v>388482.88500000001</v>
      </c>
      <c r="CW281" s="69">
        <v>388482.88500000001</v>
      </c>
      <c r="CX281" s="107">
        <v>504921.06750279799</v>
      </c>
      <c r="CY281" s="108">
        <v>504921.06750279799</v>
      </c>
      <c r="CZ281" s="108">
        <v>504921.06750279799</v>
      </c>
      <c r="DA281" s="108">
        <v>504921.06750279799</v>
      </c>
      <c r="DB281" s="108">
        <v>504921.06750279799</v>
      </c>
      <c r="DC281" s="108">
        <v>504921.06750279799</v>
      </c>
      <c r="DD281" s="108">
        <v>504921.06750279799</v>
      </c>
      <c r="DE281" s="108">
        <v>504921.06750279799</v>
      </c>
      <c r="DF281" s="108">
        <v>504921.06750279799</v>
      </c>
      <c r="DG281" s="108">
        <v>504921.06750279799</v>
      </c>
      <c r="DH281" s="108">
        <v>504921.06750279799</v>
      </c>
      <c r="DI281" s="109">
        <v>504921.06750279799</v>
      </c>
      <c r="DJ281" s="67">
        <v>428059.09333333297</v>
      </c>
      <c r="DK281" s="68">
        <v>428059.09333333297</v>
      </c>
      <c r="DL281" s="68">
        <v>428059.09333333297</v>
      </c>
      <c r="DM281" s="68">
        <v>428059.09333333297</v>
      </c>
      <c r="DN281" s="68">
        <v>428059.09333333297</v>
      </c>
      <c r="DO281" s="68">
        <v>428059.09333333297</v>
      </c>
      <c r="DP281" s="68">
        <v>428059.09333333297</v>
      </c>
      <c r="DQ281" s="68">
        <v>428059.09333333297</v>
      </c>
      <c r="DR281" s="68">
        <v>428059.09333333297</v>
      </c>
      <c r="DS281" s="68">
        <v>428059.09333333297</v>
      </c>
      <c r="DT281" s="68">
        <v>428059.09333333297</v>
      </c>
      <c r="DU281" s="69">
        <v>428059.09333333297</v>
      </c>
      <c r="DV281" s="83"/>
      <c r="DW281" s="83"/>
      <c r="DX281" s="83"/>
      <c r="DY281" s="83"/>
      <c r="DZ281" s="83"/>
      <c r="EA281" s="83"/>
      <c r="EB281" s="83"/>
      <c r="EC281" s="83"/>
      <c r="ED281" s="83"/>
      <c r="EE281" s="83"/>
      <c r="EF281" s="83"/>
      <c r="EG281" s="83"/>
      <c r="EH281" s="83"/>
      <c r="EI281" s="61"/>
      <c r="EJ281" s="61"/>
      <c r="EK281" s="61"/>
      <c r="EL281" s="61"/>
      <c r="EM281" s="61"/>
      <c r="EN281" s="61"/>
      <c r="EO281" s="61"/>
      <c r="EP281" s="61"/>
      <c r="EQ281" s="61"/>
      <c r="ER281" s="61"/>
      <c r="ES281" s="61"/>
      <c r="FR281" s="63"/>
      <c r="FS281" s="63"/>
      <c r="FT281" s="63"/>
      <c r="FU281" s="63"/>
      <c r="FV281" s="63"/>
      <c r="FW281" s="63"/>
      <c r="FX281" s="63"/>
      <c r="FY281" s="63"/>
      <c r="FZ281" s="63"/>
      <c r="GA281" s="63"/>
      <c r="GB281" s="63"/>
      <c r="GC281" s="63"/>
      <c r="GE281" s="102"/>
    </row>
    <row r="282" spans="1:187">
      <c r="D282" s="59" t="str">
        <f t="shared" si="47"/>
        <v>4134p</v>
      </c>
      <c r="E282" s="60" t="s">
        <v>390</v>
      </c>
      <c r="F282" s="67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9"/>
      <c r="R282" s="67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9"/>
      <c r="AD282" s="67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9"/>
      <c r="AP282" s="67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9"/>
      <c r="BB282" s="67"/>
      <c r="BC282" s="68"/>
      <c r="BD282" s="68"/>
      <c r="BE282" s="68"/>
      <c r="BF282" s="68"/>
      <c r="BG282" s="68"/>
      <c r="BH282" s="68"/>
      <c r="BI282" s="68"/>
      <c r="BJ282" s="68"/>
      <c r="BK282" s="68"/>
      <c r="BL282" s="68"/>
      <c r="BM282" s="69"/>
      <c r="BN282" s="67"/>
      <c r="BO282" s="68"/>
      <c r="BP282" s="68"/>
      <c r="BQ282" s="68"/>
      <c r="BR282" s="68"/>
      <c r="BS282" s="68"/>
      <c r="BT282" s="68"/>
      <c r="BU282" s="68"/>
      <c r="BV282" s="68"/>
      <c r="BW282" s="68"/>
      <c r="BX282" s="68"/>
      <c r="BY282" s="69"/>
      <c r="BZ282" s="67"/>
      <c r="CA282" s="68"/>
      <c r="CB282" s="68"/>
      <c r="CC282" s="68"/>
      <c r="CD282" s="68"/>
      <c r="CE282" s="68"/>
      <c r="CF282" s="68"/>
      <c r="CG282" s="68"/>
      <c r="CH282" s="68"/>
      <c r="CI282" s="68"/>
      <c r="CJ282" s="68"/>
      <c r="CK282" s="68"/>
      <c r="CL282" s="67">
        <v>500217.03249999997</v>
      </c>
      <c r="CM282" s="68">
        <v>500217.03249999997</v>
      </c>
      <c r="CN282" s="68">
        <v>500217.03249999997</v>
      </c>
      <c r="CO282" s="68">
        <v>500217.03249999997</v>
      </c>
      <c r="CP282" s="68">
        <v>500217.03249999997</v>
      </c>
      <c r="CQ282" s="68">
        <v>500217.03249999997</v>
      </c>
      <c r="CR282" s="68">
        <v>500217.03249999997</v>
      </c>
      <c r="CS282" s="68">
        <v>500217.03249999997</v>
      </c>
      <c r="CT282" s="68">
        <v>500217.03249999997</v>
      </c>
      <c r="CU282" s="68">
        <v>500217.03249999997</v>
      </c>
      <c r="CV282" s="68">
        <v>500217.03249999997</v>
      </c>
      <c r="CW282" s="69">
        <v>500217.03249999997</v>
      </c>
      <c r="CX282" s="107">
        <v>570061.04204176902</v>
      </c>
      <c r="CY282" s="108">
        <v>570061.04204176902</v>
      </c>
      <c r="CZ282" s="108">
        <v>570061.04204176902</v>
      </c>
      <c r="DA282" s="108">
        <v>570061.04204176902</v>
      </c>
      <c r="DB282" s="108">
        <v>570061.04204176902</v>
      </c>
      <c r="DC282" s="108">
        <v>570061.04204176902</v>
      </c>
      <c r="DD282" s="108">
        <v>570061.04204176902</v>
      </c>
      <c r="DE282" s="108">
        <v>570061.04204176902</v>
      </c>
      <c r="DF282" s="108">
        <v>570061.04204176902</v>
      </c>
      <c r="DG282" s="108">
        <v>570061.04204176902</v>
      </c>
      <c r="DH282" s="108">
        <v>570061.04204176902</v>
      </c>
      <c r="DI282" s="109">
        <v>570061.04204176902</v>
      </c>
      <c r="DJ282" s="67">
        <v>589989.77749999997</v>
      </c>
      <c r="DK282" s="68">
        <v>589989.77749999997</v>
      </c>
      <c r="DL282" s="68">
        <v>589989.77749999997</v>
      </c>
      <c r="DM282" s="68">
        <v>589989.77749999997</v>
      </c>
      <c r="DN282" s="68">
        <v>589989.77749999997</v>
      </c>
      <c r="DO282" s="68">
        <v>589989.77749999997</v>
      </c>
      <c r="DP282" s="68">
        <v>589989.77749999997</v>
      </c>
      <c r="DQ282" s="68">
        <v>589989.77749999997</v>
      </c>
      <c r="DR282" s="68">
        <v>589989.77749999997</v>
      </c>
      <c r="DS282" s="68">
        <v>589989.77749999997</v>
      </c>
      <c r="DT282" s="68">
        <v>589989.77749999997</v>
      </c>
      <c r="DU282" s="69">
        <v>589989.77749999997</v>
      </c>
      <c r="DV282" s="83"/>
      <c r="DW282" s="83"/>
      <c r="DX282" s="83"/>
      <c r="DY282" s="83"/>
      <c r="DZ282" s="83"/>
      <c r="EA282" s="83"/>
      <c r="EB282" s="83"/>
      <c r="EC282" s="83"/>
      <c r="ED282" s="83"/>
      <c r="EE282" s="83"/>
      <c r="EF282" s="83"/>
      <c r="EG282" s="83"/>
      <c r="EH282" s="83"/>
      <c r="EI282" s="61"/>
      <c r="EJ282" s="61"/>
      <c r="EK282" s="61"/>
      <c r="EL282" s="61"/>
      <c r="EM282" s="61"/>
      <c r="EN282" s="61"/>
      <c r="EO282" s="61"/>
      <c r="EP282" s="61"/>
      <c r="EQ282" s="61"/>
      <c r="ER282" s="61"/>
      <c r="ES282" s="61"/>
      <c r="FR282" s="63"/>
      <c r="FS282" s="63"/>
      <c r="FT282" s="63"/>
      <c r="FU282" s="63"/>
      <c r="FV282" s="63"/>
      <c r="FW282" s="63"/>
      <c r="FX282" s="63"/>
      <c r="FY282" s="63"/>
      <c r="FZ282" s="63"/>
      <c r="GA282" s="63"/>
      <c r="GB282" s="63"/>
      <c r="GC282" s="63"/>
      <c r="GE282" s="102"/>
    </row>
    <row r="283" spans="1:187">
      <c r="D283" s="59" t="str">
        <f t="shared" si="47"/>
        <v>4135p</v>
      </c>
      <c r="E283" s="60" t="s">
        <v>391</v>
      </c>
      <c r="F283" s="67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9"/>
      <c r="R283" s="67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9"/>
      <c r="AD283" s="67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9"/>
      <c r="AP283" s="67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9"/>
      <c r="BB283" s="67"/>
      <c r="BC283" s="68"/>
      <c r="BD283" s="68"/>
      <c r="BE283" s="68"/>
      <c r="BF283" s="68"/>
      <c r="BG283" s="68"/>
      <c r="BH283" s="68"/>
      <c r="BI283" s="68"/>
      <c r="BJ283" s="68"/>
      <c r="BK283" s="68"/>
      <c r="BL283" s="68"/>
      <c r="BM283" s="69"/>
      <c r="BN283" s="67"/>
      <c r="BO283" s="68"/>
      <c r="BP283" s="68"/>
      <c r="BQ283" s="68"/>
      <c r="BR283" s="68"/>
      <c r="BS283" s="68"/>
      <c r="BT283" s="68"/>
      <c r="BU283" s="68"/>
      <c r="BV283" s="68"/>
      <c r="BW283" s="68"/>
      <c r="BX283" s="68"/>
      <c r="BY283" s="69"/>
      <c r="BZ283" s="67"/>
      <c r="CA283" s="68"/>
      <c r="CB283" s="68"/>
      <c r="CC283" s="68"/>
      <c r="CD283" s="68"/>
      <c r="CE283" s="68"/>
      <c r="CF283" s="68"/>
      <c r="CG283" s="68"/>
      <c r="CH283" s="68"/>
      <c r="CI283" s="68"/>
      <c r="CJ283" s="68"/>
      <c r="CK283" s="68"/>
      <c r="CL283" s="67">
        <v>638733.09166666702</v>
      </c>
      <c r="CM283" s="68">
        <v>638733.09166666702</v>
      </c>
      <c r="CN283" s="68">
        <v>638733.09166666702</v>
      </c>
      <c r="CO283" s="68">
        <v>638733.09166666702</v>
      </c>
      <c r="CP283" s="68">
        <v>638733.09166666702</v>
      </c>
      <c r="CQ283" s="68">
        <v>638733.09166666702</v>
      </c>
      <c r="CR283" s="68">
        <v>638733.09166666702</v>
      </c>
      <c r="CS283" s="68">
        <v>638733.09166666702</v>
      </c>
      <c r="CT283" s="68">
        <v>638733.09166666702</v>
      </c>
      <c r="CU283" s="68">
        <v>638733.09166666702</v>
      </c>
      <c r="CV283" s="68">
        <v>638733.09166666702</v>
      </c>
      <c r="CW283" s="69">
        <v>638733.09166666702</v>
      </c>
      <c r="CX283" s="107">
        <v>894502.49057674501</v>
      </c>
      <c r="CY283" s="108">
        <v>894502.49057674501</v>
      </c>
      <c r="CZ283" s="108">
        <v>894502.49057674501</v>
      </c>
      <c r="DA283" s="108">
        <v>894502.49057674501</v>
      </c>
      <c r="DB283" s="108">
        <v>894502.49057674501</v>
      </c>
      <c r="DC283" s="108">
        <v>894502.49057674501</v>
      </c>
      <c r="DD283" s="108">
        <v>894502.49057674501</v>
      </c>
      <c r="DE283" s="108">
        <v>894502.49057674501</v>
      </c>
      <c r="DF283" s="108">
        <v>894502.49057674501</v>
      </c>
      <c r="DG283" s="108">
        <v>894502.49057674501</v>
      </c>
      <c r="DH283" s="108">
        <v>894502.49057674501</v>
      </c>
      <c r="DI283" s="109">
        <v>894502.49057674501</v>
      </c>
      <c r="DJ283" s="67">
        <v>755325.88416666701</v>
      </c>
      <c r="DK283" s="68">
        <v>755325.88416666701</v>
      </c>
      <c r="DL283" s="68">
        <v>755325.88416666701</v>
      </c>
      <c r="DM283" s="68">
        <v>755325.88416666701</v>
      </c>
      <c r="DN283" s="68">
        <v>755325.88416666701</v>
      </c>
      <c r="DO283" s="68">
        <v>755325.88416666701</v>
      </c>
      <c r="DP283" s="68">
        <v>755325.88416666701</v>
      </c>
      <c r="DQ283" s="68">
        <v>755325.88416666701</v>
      </c>
      <c r="DR283" s="68">
        <v>755325.88416666701</v>
      </c>
      <c r="DS283" s="68">
        <v>755325.88416666701</v>
      </c>
      <c r="DT283" s="68">
        <v>755325.88416666701</v>
      </c>
      <c r="DU283" s="69">
        <v>755325.88416666701</v>
      </c>
      <c r="DV283" s="83"/>
      <c r="DW283" s="83"/>
      <c r="DX283" s="83"/>
      <c r="DY283" s="83"/>
      <c r="DZ283" s="83"/>
      <c r="EA283" s="83"/>
      <c r="EB283" s="83"/>
      <c r="EC283" s="83"/>
      <c r="ED283" s="83"/>
      <c r="EE283" s="83"/>
      <c r="EF283" s="83"/>
      <c r="EG283" s="83"/>
      <c r="EH283" s="83"/>
      <c r="EI283" s="61"/>
      <c r="EJ283" s="61"/>
      <c r="EK283" s="61"/>
      <c r="EL283" s="61"/>
      <c r="EM283" s="61"/>
      <c r="EN283" s="61"/>
      <c r="EO283" s="61"/>
      <c r="EP283" s="61"/>
      <c r="EQ283" s="61"/>
      <c r="ER283" s="61"/>
      <c r="ES283" s="61"/>
      <c r="FR283" s="63"/>
      <c r="FS283" s="63"/>
      <c r="FT283" s="63"/>
      <c r="FU283" s="63"/>
      <c r="FV283" s="63"/>
      <c r="FW283" s="63"/>
      <c r="FX283" s="63"/>
      <c r="FY283" s="63"/>
      <c r="FZ283" s="63"/>
      <c r="GA283" s="63"/>
      <c r="GB283" s="63"/>
      <c r="GC283" s="63"/>
      <c r="GE283" s="102"/>
    </row>
    <row r="284" spans="1:187">
      <c r="D284" s="59" t="str">
        <f t="shared" si="47"/>
        <v>4139p</v>
      </c>
      <c r="E284" s="60" t="s">
        <v>392</v>
      </c>
      <c r="F284" s="67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9"/>
      <c r="R284" s="67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9"/>
      <c r="AD284" s="67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9"/>
      <c r="AP284" s="67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9"/>
      <c r="BB284" s="67"/>
      <c r="BC284" s="68"/>
      <c r="BD284" s="68"/>
      <c r="BE284" s="68"/>
      <c r="BF284" s="68"/>
      <c r="BG284" s="68"/>
      <c r="BH284" s="68"/>
      <c r="BI284" s="68"/>
      <c r="BJ284" s="68"/>
      <c r="BK284" s="68"/>
      <c r="BL284" s="68"/>
      <c r="BM284" s="69"/>
      <c r="BN284" s="67"/>
      <c r="BO284" s="68"/>
      <c r="BP284" s="68"/>
      <c r="BQ284" s="68"/>
      <c r="BR284" s="68"/>
      <c r="BS284" s="68"/>
      <c r="BT284" s="68"/>
      <c r="BU284" s="68"/>
      <c r="BV284" s="68"/>
      <c r="BW284" s="68"/>
      <c r="BX284" s="68"/>
      <c r="BY284" s="69"/>
      <c r="BZ284" s="67"/>
      <c r="CA284" s="68"/>
      <c r="CB284" s="68"/>
      <c r="CC284" s="68"/>
      <c r="CD284" s="68"/>
      <c r="CE284" s="68"/>
      <c r="CF284" s="68"/>
      <c r="CG284" s="68"/>
      <c r="CH284" s="68"/>
      <c r="CI284" s="68"/>
      <c r="CJ284" s="68"/>
      <c r="CK284" s="68"/>
      <c r="CL284" s="67"/>
      <c r="CM284" s="68"/>
      <c r="CN284" s="68"/>
      <c r="CO284" s="68"/>
      <c r="CP284" s="68"/>
      <c r="CQ284" s="68"/>
      <c r="CR284" s="68"/>
      <c r="CS284" s="68"/>
      <c r="CT284" s="68"/>
      <c r="CU284" s="68"/>
      <c r="CV284" s="68"/>
      <c r="CW284" s="69"/>
      <c r="CX284" s="107">
        <v>19829.9912141971</v>
      </c>
      <c r="CY284" s="108">
        <v>19829.9912141971</v>
      </c>
      <c r="CZ284" s="108">
        <v>19829.9912141971</v>
      </c>
      <c r="DA284" s="108">
        <v>19829.9912141971</v>
      </c>
      <c r="DB284" s="108">
        <v>19829.9912141971</v>
      </c>
      <c r="DC284" s="108">
        <v>19829.9912141971</v>
      </c>
      <c r="DD284" s="108">
        <v>19829.9912141971</v>
      </c>
      <c r="DE284" s="108">
        <v>19829.9912141971</v>
      </c>
      <c r="DF284" s="108">
        <v>19829.9912141971</v>
      </c>
      <c r="DG284" s="108">
        <v>19829.9912141971</v>
      </c>
      <c r="DH284" s="108">
        <v>19829.9912141971</v>
      </c>
      <c r="DI284" s="109">
        <v>19829.9912141971</v>
      </c>
      <c r="DJ284" s="67">
        <v>31116.666666666701</v>
      </c>
      <c r="DK284" s="68">
        <v>31116.666666666701</v>
      </c>
      <c r="DL284" s="68">
        <v>31116.666666666701</v>
      </c>
      <c r="DM284" s="68">
        <v>31116.666666666701</v>
      </c>
      <c r="DN284" s="68">
        <v>31116.666666666701</v>
      </c>
      <c r="DO284" s="68">
        <v>31116.666666666701</v>
      </c>
      <c r="DP284" s="68">
        <v>31116.666666666701</v>
      </c>
      <c r="DQ284" s="68">
        <v>31116.666666666701</v>
      </c>
      <c r="DR284" s="68">
        <v>31116.666666666701</v>
      </c>
      <c r="DS284" s="68">
        <v>31116.666666666701</v>
      </c>
      <c r="DT284" s="68">
        <v>31116.666666666701</v>
      </c>
      <c r="DU284" s="69">
        <v>31116.666666666701</v>
      </c>
      <c r="DV284" s="83"/>
      <c r="DW284" s="83"/>
      <c r="DX284" s="83"/>
      <c r="DY284" s="83"/>
      <c r="DZ284" s="83"/>
      <c r="EA284" s="83"/>
      <c r="EB284" s="83"/>
      <c r="EC284" s="83"/>
      <c r="ED284" s="83"/>
      <c r="EE284" s="83"/>
      <c r="EF284" s="83"/>
      <c r="EG284" s="83"/>
      <c r="EH284" s="83"/>
      <c r="EI284" s="61"/>
      <c r="EJ284" s="61"/>
      <c r="EK284" s="61"/>
      <c r="EL284" s="61"/>
      <c r="EM284" s="61"/>
      <c r="EN284" s="61"/>
      <c r="EO284" s="61"/>
      <c r="EP284" s="61"/>
      <c r="EQ284" s="61"/>
      <c r="ER284" s="61"/>
      <c r="ES284" s="61"/>
      <c r="FR284" s="63"/>
      <c r="FS284" s="63"/>
      <c r="FT284" s="63"/>
      <c r="FU284" s="63"/>
      <c r="FV284" s="63"/>
      <c r="FW284" s="63"/>
      <c r="FX284" s="63"/>
      <c r="FY284" s="63"/>
      <c r="FZ284" s="63"/>
      <c r="GA284" s="63"/>
      <c r="GB284" s="63"/>
      <c r="GC284" s="63"/>
      <c r="GE284" s="102"/>
    </row>
    <row r="285" spans="1:187" s="2" customFormat="1">
      <c r="A285" s="71"/>
      <c r="B285" s="71"/>
      <c r="C285" s="71">
        <v>414</v>
      </c>
      <c r="D285" s="71" t="str">
        <f t="shared" si="47"/>
        <v>414p</v>
      </c>
      <c r="E285" s="72" t="s">
        <v>150</v>
      </c>
      <c r="F285" s="73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5"/>
      <c r="R285" s="73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5"/>
      <c r="AD285" s="73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5"/>
      <c r="AP285" s="73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5"/>
      <c r="BB285" s="73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5"/>
      <c r="BN285" s="73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5"/>
      <c r="BZ285" s="73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L285" s="73">
        <f t="shared" ref="CL285:CX285" si="64">+SUM(CL286:CL294)</f>
        <v>3636728.03</v>
      </c>
      <c r="CM285" s="74">
        <f t="shared" si="64"/>
        <v>3636728.03</v>
      </c>
      <c r="CN285" s="74">
        <f t="shared" si="64"/>
        <v>3636728.03</v>
      </c>
      <c r="CO285" s="74">
        <f t="shared" si="64"/>
        <v>3636728.03</v>
      </c>
      <c r="CP285" s="74">
        <f t="shared" si="64"/>
        <v>3636728.03</v>
      </c>
      <c r="CQ285" s="74">
        <f t="shared" si="64"/>
        <v>3636728.03</v>
      </c>
      <c r="CR285" s="74">
        <f t="shared" si="64"/>
        <v>3636728.03</v>
      </c>
      <c r="CS285" s="74">
        <f t="shared" si="64"/>
        <v>3636728.03</v>
      </c>
      <c r="CT285" s="74">
        <f t="shared" si="64"/>
        <v>3636728.03</v>
      </c>
      <c r="CU285" s="74">
        <f t="shared" si="64"/>
        <v>3636728.03</v>
      </c>
      <c r="CV285" s="74">
        <f t="shared" si="64"/>
        <v>3636728.03</v>
      </c>
      <c r="CW285" s="75">
        <f t="shared" si="64"/>
        <v>3636728.03</v>
      </c>
      <c r="CX285" s="110">
        <f t="shared" si="64"/>
        <v>3555210.7859614599</v>
      </c>
      <c r="CY285" s="111">
        <f t="shared" ref="CY285:DJ285" si="65">+SUM(CY286:CY294)</f>
        <v>3555210.7859614599</v>
      </c>
      <c r="CZ285" s="111">
        <f t="shared" si="65"/>
        <v>3555210.7859614599</v>
      </c>
      <c r="DA285" s="111">
        <f t="shared" si="65"/>
        <v>3555210.7859614599</v>
      </c>
      <c r="DB285" s="111">
        <f t="shared" si="65"/>
        <v>3555210.7859614599</v>
      </c>
      <c r="DC285" s="111">
        <f t="shared" si="65"/>
        <v>3555210.7859614599</v>
      </c>
      <c r="DD285" s="111">
        <f t="shared" si="65"/>
        <v>3555210.7859614599</v>
      </c>
      <c r="DE285" s="111">
        <f t="shared" si="65"/>
        <v>3555210.7859614599</v>
      </c>
      <c r="DF285" s="111">
        <f t="shared" si="65"/>
        <v>3555210.7859614599</v>
      </c>
      <c r="DG285" s="111">
        <f t="shared" si="65"/>
        <v>3555210.7859614599</v>
      </c>
      <c r="DH285" s="111">
        <f t="shared" si="65"/>
        <v>3555210.7859614599</v>
      </c>
      <c r="DI285" s="112">
        <f t="shared" si="65"/>
        <v>3555210.7859614599</v>
      </c>
      <c r="DJ285" s="73">
        <f t="shared" si="65"/>
        <v>3460881.1266666702</v>
      </c>
      <c r="DK285" s="74">
        <f t="shared" ref="DK285:DU285" si="66">+SUM(DK286:DK294)</f>
        <v>3460881.1266666702</v>
      </c>
      <c r="DL285" s="74">
        <f t="shared" si="66"/>
        <v>3460881.1266666702</v>
      </c>
      <c r="DM285" s="74">
        <f t="shared" si="66"/>
        <v>3460881.1266666702</v>
      </c>
      <c r="DN285" s="74">
        <f t="shared" si="66"/>
        <v>3460881.1266666702</v>
      </c>
      <c r="DO285" s="74">
        <f t="shared" si="66"/>
        <v>3460881.1266666702</v>
      </c>
      <c r="DP285" s="74">
        <f t="shared" si="66"/>
        <v>3460881.1266666702</v>
      </c>
      <c r="DQ285" s="74">
        <f t="shared" si="66"/>
        <v>3460881.1266666702</v>
      </c>
      <c r="DR285" s="74">
        <f t="shared" si="66"/>
        <v>3460881.1266666702</v>
      </c>
      <c r="DS285" s="74">
        <f t="shared" si="66"/>
        <v>3460881.1266666702</v>
      </c>
      <c r="DT285" s="74">
        <f t="shared" si="66"/>
        <v>3460881.1266666702</v>
      </c>
      <c r="DU285" s="75">
        <f t="shared" si="66"/>
        <v>3460881.1266666702</v>
      </c>
      <c r="DV285" s="97">
        <v>3780934.80333333</v>
      </c>
      <c r="DW285" s="97">
        <v>3780934.80333333</v>
      </c>
      <c r="DX285" s="97">
        <v>3780934.80333333</v>
      </c>
      <c r="DY285" s="97">
        <v>3780934.80333333</v>
      </c>
      <c r="DZ285" s="97">
        <v>3780934.80333333</v>
      </c>
      <c r="EA285" s="97">
        <v>3780934.80333333</v>
      </c>
      <c r="EB285" s="97">
        <v>3780934.80333333</v>
      </c>
      <c r="EC285" s="97">
        <v>3780934.80333333</v>
      </c>
      <c r="ED285" s="97">
        <v>3780934.80333333</v>
      </c>
      <c r="EE285" s="97">
        <v>3780934.80333333</v>
      </c>
      <c r="EF285" s="97">
        <v>3780934.80333333</v>
      </c>
      <c r="EG285" s="97">
        <v>3780934.80333333</v>
      </c>
      <c r="EH285" s="97">
        <v>3534983.4</v>
      </c>
      <c r="EI285" s="97">
        <v>3534983.4</v>
      </c>
      <c r="EJ285" s="97">
        <v>3534983.4</v>
      </c>
      <c r="EK285" s="97">
        <v>3534983.4</v>
      </c>
      <c r="EL285" s="97">
        <v>3534983.4</v>
      </c>
      <c r="EM285" s="97">
        <v>3534983.4</v>
      </c>
      <c r="EN285" s="97">
        <v>5302475.09</v>
      </c>
      <c r="EO285" s="97">
        <v>5302475.09</v>
      </c>
      <c r="EP285" s="97">
        <v>5302475.09</v>
      </c>
      <c r="EQ285" s="97">
        <v>5302475.09</v>
      </c>
      <c r="ER285" s="97">
        <v>5302475.09</v>
      </c>
      <c r="ES285" s="97">
        <v>5302475.09</v>
      </c>
      <c r="ET285" s="106">
        <v>3986420.5893333298</v>
      </c>
      <c r="EU285" s="106">
        <v>3986420.5893333298</v>
      </c>
      <c r="EV285" s="106">
        <v>3986420.5893333298</v>
      </c>
      <c r="EW285" s="106">
        <v>4097531.7004444399</v>
      </c>
      <c r="EX285" s="106">
        <v>4097531.7004444399</v>
      </c>
      <c r="EY285" s="106">
        <v>4097531.7004444399</v>
      </c>
      <c r="EZ285" s="106">
        <v>6090741.9951111097</v>
      </c>
      <c r="FA285" s="106">
        <v>6090741.9951111097</v>
      </c>
      <c r="FB285" s="106">
        <v>5577148.0201111203</v>
      </c>
      <c r="FC285" s="106">
        <v>5577148.0201111203</v>
      </c>
      <c r="FD285" s="106">
        <v>5577148.0201111203</v>
      </c>
      <c r="FE285" s="106">
        <v>5577148.0201111203</v>
      </c>
      <c r="FF285" s="106">
        <v>6120514.5875000004</v>
      </c>
      <c r="FG285" s="106">
        <v>5971668.0075000003</v>
      </c>
      <c r="FH285" s="106">
        <v>5177760.0175000001</v>
      </c>
      <c r="FI285" s="106">
        <v>5087042.1275000004</v>
      </c>
      <c r="FJ285" s="106">
        <v>5141875.5274999999</v>
      </c>
      <c r="FK285" s="106">
        <v>5197534.4974999996</v>
      </c>
      <c r="FL285" s="106">
        <v>5059087.2374999998</v>
      </c>
      <c r="FM285" s="106">
        <v>5071091.2374999998</v>
      </c>
      <c r="FN285" s="106">
        <v>5175886.7374999998</v>
      </c>
      <c r="FO285" s="106">
        <v>5062253.3274999997</v>
      </c>
      <c r="FP285" s="106">
        <v>5061881.6574999997</v>
      </c>
      <c r="FQ285" s="106">
        <v>5000451.0075000003</v>
      </c>
      <c r="FR285" s="106">
        <v>1526609.67</v>
      </c>
      <c r="FS285" s="106">
        <v>5800030.7699999996</v>
      </c>
      <c r="FT285" s="106">
        <v>6227024.2599999998</v>
      </c>
      <c r="FU285" s="106">
        <v>3735755.56</v>
      </c>
      <c r="FV285" s="106">
        <v>13077926.789999999</v>
      </c>
      <c r="FW285" s="106">
        <v>4490161.0014285697</v>
      </c>
      <c r="FX285" s="106">
        <v>4490161.0014285697</v>
      </c>
      <c r="FY285" s="106">
        <v>3592128.8011428602</v>
      </c>
      <c r="FZ285" s="106">
        <v>4490161.0014285697</v>
      </c>
      <c r="GA285" s="106">
        <v>4490161.0014285697</v>
      </c>
      <c r="GB285" s="106">
        <v>4490161.0014285697</v>
      </c>
      <c r="GC285" s="106">
        <v>5388158.5617142897</v>
      </c>
      <c r="GE285" s="101">
        <f>SUM(FR285:GC285)</f>
        <v>61798439.420000002</v>
      </c>
    </row>
    <row r="286" spans="1:187">
      <c r="D286" s="59" t="str">
        <f t="shared" si="47"/>
        <v>4141p</v>
      </c>
      <c r="E286" s="60" t="s">
        <v>393</v>
      </c>
      <c r="F286" s="67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9"/>
      <c r="R286" s="67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9"/>
      <c r="AD286" s="67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9"/>
      <c r="AP286" s="67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9"/>
      <c r="BB286" s="67"/>
      <c r="BC286" s="68"/>
      <c r="BD286" s="68"/>
      <c r="BE286" s="68"/>
      <c r="BF286" s="68"/>
      <c r="BG286" s="68"/>
      <c r="BH286" s="68"/>
      <c r="BI286" s="68"/>
      <c r="BJ286" s="68"/>
      <c r="BK286" s="68"/>
      <c r="BL286" s="68"/>
      <c r="BM286" s="69"/>
      <c r="BN286" s="67"/>
      <c r="BO286" s="68"/>
      <c r="BP286" s="68"/>
      <c r="BQ286" s="68"/>
      <c r="BR286" s="68"/>
      <c r="BS286" s="68"/>
      <c r="BT286" s="68"/>
      <c r="BU286" s="68"/>
      <c r="BV286" s="68"/>
      <c r="BW286" s="68"/>
      <c r="BX286" s="68"/>
      <c r="BY286" s="69"/>
      <c r="BZ286" s="67"/>
      <c r="CA286" s="68"/>
      <c r="CB286" s="68"/>
      <c r="CC286" s="68"/>
      <c r="CD286" s="68"/>
      <c r="CE286" s="68"/>
      <c r="CF286" s="68"/>
      <c r="CG286" s="68"/>
      <c r="CH286" s="68"/>
      <c r="CI286" s="68"/>
      <c r="CJ286" s="68"/>
      <c r="CK286" s="68"/>
      <c r="CL286" s="67">
        <v>403359.61416666699</v>
      </c>
      <c r="CM286" s="68">
        <v>403359.61416666699</v>
      </c>
      <c r="CN286" s="68">
        <v>403359.61416666699</v>
      </c>
      <c r="CO286" s="68">
        <v>403359.61416666699</v>
      </c>
      <c r="CP286" s="68">
        <v>403359.61416666699</v>
      </c>
      <c r="CQ286" s="68">
        <v>403359.61416666699</v>
      </c>
      <c r="CR286" s="68">
        <v>403359.61416666699</v>
      </c>
      <c r="CS286" s="68">
        <v>403359.61416666699</v>
      </c>
      <c r="CT286" s="68">
        <v>403359.61416666699</v>
      </c>
      <c r="CU286" s="68">
        <v>403359.61416666699</v>
      </c>
      <c r="CV286" s="68">
        <v>403359.61416666699</v>
      </c>
      <c r="CW286" s="69">
        <v>403359.61416666699</v>
      </c>
      <c r="CX286" s="107">
        <v>474900.64720598399</v>
      </c>
      <c r="CY286" s="108">
        <v>474900.64720598399</v>
      </c>
      <c r="CZ286" s="108">
        <v>474900.64720598399</v>
      </c>
      <c r="DA286" s="108">
        <v>474900.64720598399</v>
      </c>
      <c r="DB286" s="108">
        <v>474900.64720598399</v>
      </c>
      <c r="DC286" s="108">
        <v>474900.64720598399</v>
      </c>
      <c r="DD286" s="108">
        <v>474900.64720598399</v>
      </c>
      <c r="DE286" s="108">
        <v>474900.64720598399</v>
      </c>
      <c r="DF286" s="108">
        <v>474900.64720598399</v>
      </c>
      <c r="DG286" s="108">
        <v>474900.64720598399</v>
      </c>
      <c r="DH286" s="108">
        <v>474900.64720598399</v>
      </c>
      <c r="DI286" s="109">
        <v>474900.64720598399</v>
      </c>
      <c r="DJ286" s="67">
        <v>359062.23833333299</v>
      </c>
      <c r="DK286" s="68">
        <v>359062.23833333299</v>
      </c>
      <c r="DL286" s="68">
        <v>359062.23833333299</v>
      </c>
      <c r="DM286" s="68">
        <v>359062.23833333299</v>
      </c>
      <c r="DN286" s="68">
        <v>359062.23833333299</v>
      </c>
      <c r="DO286" s="68">
        <v>359062.23833333299</v>
      </c>
      <c r="DP286" s="68">
        <v>359062.23833333299</v>
      </c>
      <c r="DQ286" s="68">
        <v>359062.23833333299</v>
      </c>
      <c r="DR286" s="68">
        <v>359062.23833333299</v>
      </c>
      <c r="DS286" s="68">
        <v>359062.23833333299</v>
      </c>
      <c r="DT286" s="68">
        <v>359062.23833333299</v>
      </c>
      <c r="DU286" s="69">
        <v>359062.23833333299</v>
      </c>
      <c r="DV286" s="83"/>
      <c r="DW286" s="83"/>
      <c r="DX286" s="83"/>
      <c r="DY286" s="83"/>
      <c r="DZ286" s="83"/>
      <c r="EA286" s="83"/>
      <c r="EB286" s="83"/>
      <c r="EC286" s="83"/>
      <c r="ED286" s="83"/>
      <c r="EE286" s="83"/>
      <c r="EF286" s="83"/>
      <c r="EG286" s="83"/>
      <c r="EH286" s="83"/>
      <c r="EI286" s="61"/>
      <c r="EJ286" s="61"/>
      <c r="EK286" s="61"/>
      <c r="EL286" s="61"/>
      <c r="EM286" s="61"/>
      <c r="EN286" s="61"/>
      <c r="EO286" s="61"/>
      <c r="EP286" s="61"/>
      <c r="EQ286" s="61"/>
      <c r="ER286" s="61"/>
      <c r="ES286" s="61"/>
      <c r="FR286" s="63"/>
      <c r="FS286" s="63"/>
      <c r="FT286" s="63"/>
      <c r="FU286" s="63"/>
      <c r="FV286" s="63"/>
      <c r="FW286" s="63"/>
      <c r="FX286" s="63"/>
      <c r="FY286" s="63"/>
      <c r="FZ286" s="63"/>
      <c r="GA286" s="63"/>
      <c r="GB286" s="63"/>
      <c r="GC286" s="63"/>
      <c r="GE286" s="102"/>
    </row>
    <row r="287" spans="1:187">
      <c r="D287" s="59" t="str">
        <f t="shared" si="47"/>
        <v>4142p</v>
      </c>
      <c r="E287" s="60" t="s">
        <v>394</v>
      </c>
      <c r="F287" s="67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9"/>
      <c r="R287" s="67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9"/>
      <c r="AD287" s="67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9"/>
      <c r="AP287" s="67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9"/>
      <c r="BB287" s="67"/>
      <c r="BC287" s="68"/>
      <c r="BD287" s="68"/>
      <c r="BE287" s="68"/>
      <c r="BF287" s="68"/>
      <c r="BG287" s="68"/>
      <c r="BH287" s="68"/>
      <c r="BI287" s="68"/>
      <c r="BJ287" s="68"/>
      <c r="BK287" s="68"/>
      <c r="BL287" s="68"/>
      <c r="BM287" s="69"/>
      <c r="BN287" s="67"/>
      <c r="BO287" s="68"/>
      <c r="BP287" s="68"/>
      <c r="BQ287" s="68"/>
      <c r="BR287" s="68"/>
      <c r="BS287" s="68"/>
      <c r="BT287" s="68"/>
      <c r="BU287" s="68"/>
      <c r="BV287" s="68"/>
      <c r="BW287" s="68"/>
      <c r="BX287" s="68"/>
      <c r="BY287" s="69"/>
      <c r="BZ287" s="67"/>
      <c r="CA287" s="68"/>
      <c r="CB287" s="68"/>
      <c r="CC287" s="68"/>
      <c r="CD287" s="68"/>
      <c r="CE287" s="68"/>
      <c r="CF287" s="68"/>
      <c r="CG287" s="68"/>
      <c r="CH287" s="68"/>
      <c r="CI287" s="68"/>
      <c r="CJ287" s="68"/>
      <c r="CK287" s="68"/>
      <c r="CL287" s="67">
        <v>41926.574166666702</v>
      </c>
      <c r="CM287" s="68">
        <v>41926.574166666702</v>
      </c>
      <c r="CN287" s="68">
        <v>41926.574166666702</v>
      </c>
      <c r="CO287" s="68">
        <v>41926.574166666702</v>
      </c>
      <c r="CP287" s="68">
        <v>41926.574166666702</v>
      </c>
      <c r="CQ287" s="68">
        <v>41926.574166666702</v>
      </c>
      <c r="CR287" s="68">
        <v>41926.574166666702</v>
      </c>
      <c r="CS287" s="68">
        <v>41926.574166666702</v>
      </c>
      <c r="CT287" s="68">
        <v>41926.574166666702</v>
      </c>
      <c r="CU287" s="68">
        <v>41926.574166666702</v>
      </c>
      <c r="CV287" s="68">
        <v>41926.574166666702</v>
      </c>
      <c r="CW287" s="69">
        <v>41926.574166666702</v>
      </c>
      <c r="CX287" s="107">
        <v>36601.720003160699</v>
      </c>
      <c r="CY287" s="108">
        <v>36601.720003160699</v>
      </c>
      <c r="CZ287" s="108">
        <v>36601.720003160699</v>
      </c>
      <c r="DA287" s="108">
        <v>36601.720003160699</v>
      </c>
      <c r="DB287" s="108">
        <v>36601.720003160699</v>
      </c>
      <c r="DC287" s="108">
        <v>36601.720003160699</v>
      </c>
      <c r="DD287" s="108">
        <v>36601.720003160699</v>
      </c>
      <c r="DE287" s="108">
        <v>36601.720003160699</v>
      </c>
      <c r="DF287" s="108">
        <v>36601.720003160699</v>
      </c>
      <c r="DG287" s="108">
        <v>36601.720003160699</v>
      </c>
      <c r="DH287" s="108">
        <v>36601.720003160699</v>
      </c>
      <c r="DI287" s="109">
        <v>36601.720003160699</v>
      </c>
      <c r="DJ287" s="67">
        <v>34338.280833333301</v>
      </c>
      <c r="DK287" s="68">
        <v>34338.280833333301</v>
      </c>
      <c r="DL287" s="68">
        <v>34338.280833333301</v>
      </c>
      <c r="DM287" s="68">
        <v>34338.280833333301</v>
      </c>
      <c r="DN287" s="68">
        <v>34338.280833333301</v>
      </c>
      <c r="DO287" s="68">
        <v>34338.280833333301</v>
      </c>
      <c r="DP287" s="68">
        <v>34338.280833333301</v>
      </c>
      <c r="DQ287" s="68">
        <v>34338.280833333301</v>
      </c>
      <c r="DR287" s="68">
        <v>34338.280833333301</v>
      </c>
      <c r="DS287" s="68">
        <v>34338.280833333301</v>
      </c>
      <c r="DT287" s="68">
        <v>34338.280833333301</v>
      </c>
      <c r="DU287" s="69">
        <v>34338.280833333301</v>
      </c>
      <c r="DV287" s="83"/>
      <c r="DW287" s="83"/>
      <c r="DX287" s="83"/>
      <c r="DY287" s="83"/>
      <c r="DZ287" s="83"/>
      <c r="EA287" s="83"/>
      <c r="EB287" s="83"/>
      <c r="EC287" s="83"/>
      <c r="ED287" s="83"/>
      <c r="EE287" s="83"/>
      <c r="EF287" s="83"/>
      <c r="EG287" s="83"/>
      <c r="EH287" s="83"/>
      <c r="EI287" s="61"/>
      <c r="EJ287" s="61"/>
      <c r="EK287" s="61"/>
      <c r="EL287" s="61"/>
      <c r="EM287" s="61"/>
      <c r="EN287" s="61"/>
      <c r="EO287" s="61"/>
      <c r="EP287" s="61"/>
      <c r="EQ287" s="61"/>
      <c r="ER287" s="61"/>
      <c r="ES287" s="61"/>
      <c r="FR287" s="63"/>
      <c r="FS287" s="63"/>
      <c r="FT287" s="63"/>
      <c r="FU287" s="63"/>
      <c r="FV287" s="63"/>
      <c r="FW287" s="63"/>
      <c r="FX287" s="63"/>
      <c r="FY287" s="63"/>
      <c r="FZ287" s="63"/>
      <c r="GA287" s="63"/>
      <c r="GB287" s="63"/>
      <c r="GC287" s="63"/>
      <c r="GE287" s="102"/>
    </row>
    <row r="288" spans="1:187">
      <c r="D288" s="59" t="str">
        <f t="shared" si="47"/>
        <v>4143p</v>
      </c>
      <c r="E288" s="60" t="s">
        <v>395</v>
      </c>
      <c r="F288" s="67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9"/>
      <c r="R288" s="67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9"/>
      <c r="AD288" s="67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9"/>
      <c r="AP288" s="67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9"/>
      <c r="BB288" s="67"/>
      <c r="BC288" s="68"/>
      <c r="BD288" s="68"/>
      <c r="BE288" s="68"/>
      <c r="BF288" s="68"/>
      <c r="BG288" s="68"/>
      <c r="BH288" s="68"/>
      <c r="BI288" s="68"/>
      <c r="BJ288" s="68"/>
      <c r="BK288" s="68"/>
      <c r="BL288" s="68"/>
      <c r="BM288" s="69"/>
      <c r="BN288" s="67"/>
      <c r="BO288" s="68"/>
      <c r="BP288" s="68"/>
      <c r="BQ288" s="68"/>
      <c r="BR288" s="68"/>
      <c r="BS288" s="68"/>
      <c r="BT288" s="68"/>
      <c r="BU288" s="68"/>
      <c r="BV288" s="68"/>
      <c r="BW288" s="68"/>
      <c r="BX288" s="68"/>
      <c r="BY288" s="69"/>
      <c r="BZ288" s="67"/>
      <c r="CA288" s="68"/>
      <c r="CB288" s="68"/>
      <c r="CC288" s="68"/>
      <c r="CD288" s="68"/>
      <c r="CE288" s="68"/>
      <c r="CF288" s="68"/>
      <c r="CG288" s="68"/>
      <c r="CH288" s="68"/>
      <c r="CI288" s="68"/>
      <c r="CJ288" s="68"/>
      <c r="CK288" s="68"/>
      <c r="CL288" s="67">
        <v>520158.69</v>
      </c>
      <c r="CM288" s="68">
        <v>520158.69</v>
      </c>
      <c r="CN288" s="68">
        <v>520158.69</v>
      </c>
      <c r="CO288" s="68">
        <v>520158.69</v>
      </c>
      <c r="CP288" s="68">
        <v>520158.69</v>
      </c>
      <c r="CQ288" s="68">
        <v>520158.69</v>
      </c>
      <c r="CR288" s="68">
        <v>520158.69</v>
      </c>
      <c r="CS288" s="68">
        <v>520158.69</v>
      </c>
      <c r="CT288" s="68">
        <v>520158.69</v>
      </c>
      <c r="CU288" s="68">
        <v>520158.69</v>
      </c>
      <c r="CV288" s="68">
        <v>520158.69</v>
      </c>
      <c r="CW288" s="69">
        <v>520158.69</v>
      </c>
      <c r="CX288" s="107">
        <v>554477.60404232598</v>
      </c>
      <c r="CY288" s="108">
        <v>554477.60404232598</v>
      </c>
      <c r="CZ288" s="108">
        <v>554477.60404232598</v>
      </c>
      <c r="DA288" s="108">
        <v>554477.60404232598</v>
      </c>
      <c r="DB288" s="108">
        <v>554477.60404232598</v>
      </c>
      <c r="DC288" s="108">
        <v>554477.60404232598</v>
      </c>
      <c r="DD288" s="108">
        <v>554477.60404232598</v>
      </c>
      <c r="DE288" s="108">
        <v>554477.60404232598</v>
      </c>
      <c r="DF288" s="108">
        <v>554477.60404232598</v>
      </c>
      <c r="DG288" s="108">
        <v>554477.60404232598</v>
      </c>
      <c r="DH288" s="108">
        <v>554477.60404232598</v>
      </c>
      <c r="DI288" s="109">
        <v>554477.60404232598</v>
      </c>
      <c r="DJ288" s="67">
        <v>523482.64500000002</v>
      </c>
      <c r="DK288" s="68">
        <v>523482.64500000002</v>
      </c>
      <c r="DL288" s="68">
        <v>523482.64500000002</v>
      </c>
      <c r="DM288" s="68">
        <v>523482.64500000002</v>
      </c>
      <c r="DN288" s="68">
        <v>523482.64500000002</v>
      </c>
      <c r="DO288" s="68">
        <v>523482.64500000002</v>
      </c>
      <c r="DP288" s="68">
        <v>523482.64500000002</v>
      </c>
      <c r="DQ288" s="68">
        <v>523482.64500000002</v>
      </c>
      <c r="DR288" s="68">
        <v>523482.64500000002</v>
      </c>
      <c r="DS288" s="68">
        <v>523482.64500000002</v>
      </c>
      <c r="DT288" s="68">
        <v>523482.64500000002</v>
      </c>
      <c r="DU288" s="69">
        <v>523482.64500000002</v>
      </c>
      <c r="DV288" s="83"/>
      <c r="DW288" s="83"/>
      <c r="DX288" s="83"/>
      <c r="DY288" s="83"/>
      <c r="DZ288" s="83"/>
      <c r="EA288" s="83"/>
      <c r="EB288" s="83"/>
      <c r="EC288" s="83"/>
      <c r="ED288" s="83"/>
      <c r="EE288" s="83"/>
      <c r="EF288" s="83"/>
      <c r="EG288" s="83"/>
      <c r="EH288" s="83"/>
      <c r="EI288" s="61"/>
      <c r="EJ288" s="61"/>
      <c r="EK288" s="61"/>
      <c r="EL288" s="61"/>
      <c r="EM288" s="61"/>
      <c r="EN288" s="61"/>
      <c r="EO288" s="61"/>
      <c r="EP288" s="61"/>
      <c r="EQ288" s="61"/>
      <c r="ER288" s="61"/>
      <c r="ES288" s="61"/>
      <c r="FR288" s="63"/>
      <c r="FS288" s="63"/>
      <c r="FT288" s="63"/>
      <c r="FU288" s="63"/>
      <c r="FV288" s="63"/>
      <c r="FW288" s="63"/>
      <c r="FX288" s="63"/>
      <c r="FY288" s="63"/>
      <c r="FZ288" s="63"/>
      <c r="GA288" s="63"/>
      <c r="GB288" s="63"/>
      <c r="GC288" s="63"/>
      <c r="GE288" s="102"/>
    </row>
    <row r="289" spans="1:187" ht="30">
      <c r="D289" s="59" t="str">
        <f t="shared" si="47"/>
        <v>4144p</v>
      </c>
      <c r="E289" s="60" t="s">
        <v>396</v>
      </c>
      <c r="F289" s="67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9"/>
      <c r="R289" s="67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9"/>
      <c r="AD289" s="67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9"/>
      <c r="AP289" s="67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9"/>
      <c r="BB289" s="67"/>
      <c r="BC289" s="68"/>
      <c r="BD289" s="68"/>
      <c r="BE289" s="68"/>
      <c r="BF289" s="68"/>
      <c r="BG289" s="68"/>
      <c r="BH289" s="68"/>
      <c r="BI289" s="68"/>
      <c r="BJ289" s="68"/>
      <c r="BK289" s="68"/>
      <c r="BL289" s="68"/>
      <c r="BM289" s="69"/>
      <c r="BN289" s="67"/>
      <c r="BO289" s="68"/>
      <c r="BP289" s="68"/>
      <c r="BQ289" s="68"/>
      <c r="BR289" s="68"/>
      <c r="BS289" s="68"/>
      <c r="BT289" s="68"/>
      <c r="BU289" s="68"/>
      <c r="BV289" s="68"/>
      <c r="BW289" s="68"/>
      <c r="BX289" s="68"/>
      <c r="BY289" s="69"/>
      <c r="BZ289" s="67"/>
      <c r="CA289" s="68"/>
      <c r="CB289" s="68"/>
      <c r="CC289" s="68"/>
      <c r="CD289" s="68"/>
      <c r="CE289" s="68"/>
      <c r="CF289" s="68"/>
      <c r="CG289" s="68"/>
      <c r="CH289" s="68"/>
      <c r="CI289" s="68"/>
      <c r="CJ289" s="68"/>
      <c r="CK289" s="68"/>
      <c r="CL289" s="67">
        <v>245645.35500000001</v>
      </c>
      <c r="CM289" s="68">
        <v>245645.35500000001</v>
      </c>
      <c r="CN289" s="68">
        <v>245645.35500000001</v>
      </c>
      <c r="CO289" s="68">
        <v>245645.35500000001</v>
      </c>
      <c r="CP289" s="68">
        <v>245645.35500000001</v>
      </c>
      <c r="CQ289" s="68">
        <v>245645.35500000001</v>
      </c>
      <c r="CR289" s="68">
        <v>245645.35500000001</v>
      </c>
      <c r="CS289" s="68">
        <v>245645.35500000001</v>
      </c>
      <c r="CT289" s="68">
        <v>245645.35500000001</v>
      </c>
      <c r="CU289" s="68">
        <v>245645.35500000001</v>
      </c>
      <c r="CV289" s="68">
        <v>245645.35500000001</v>
      </c>
      <c r="CW289" s="69">
        <v>245645.35500000001</v>
      </c>
      <c r="CX289" s="107">
        <v>255268.47321223599</v>
      </c>
      <c r="CY289" s="108">
        <v>255268.47321223599</v>
      </c>
      <c r="CZ289" s="108">
        <v>255268.47321223599</v>
      </c>
      <c r="DA289" s="108">
        <v>255268.47321223599</v>
      </c>
      <c r="DB289" s="108">
        <v>255268.47321223599</v>
      </c>
      <c r="DC289" s="108">
        <v>255268.47321223599</v>
      </c>
      <c r="DD289" s="108">
        <v>255268.47321223599</v>
      </c>
      <c r="DE289" s="108">
        <v>255268.47321223599</v>
      </c>
      <c r="DF289" s="108">
        <v>255268.47321223599</v>
      </c>
      <c r="DG289" s="108">
        <v>255268.47321223599</v>
      </c>
      <c r="DH289" s="108">
        <v>255268.47321223599</v>
      </c>
      <c r="DI289" s="109">
        <v>255268.47321223599</v>
      </c>
      <c r="DJ289" s="67">
        <v>370596.14833333303</v>
      </c>
      <c r="DK289" s="68">
        <v>370596.14833333303</v>
      </c>
      <c r="DL289" s="68">
        <v>370596.14833333303</v>
      </c>
      <c r="DM289" s="68">
        <v>370596.14833333303</v>
      </c>
      <c r="DN289" s="68">
        <v>370596.14833333303</v>
      </c>
      <c r="DO289" s="68">
        <v>370596.14833333303</v>
      </c>
      <c r="DP289" s="68">
        <v>370596.14833333303</v>
      </c>
      <c r="DQ289" s="68">
        <v>370596.14833333303</v>
      </c>
      <c r="DR289" s="68">
        <v>370596.14833333303</v>
      </c>
      <c r="DS289" s="68">
        <v>370596.14833333303</v>
      </c>
      <c r="DT289" s="68">
        <v>370596.14833333303</v>
      </c>
      <c r="DU289" s="69">
        <v>370596.14833333303</v>
      </c>
      <c r="DV289" s="83"/>
      <c r="DW289" s="83"/>
      <c r="DX289" s="83"/>
      <c r="DY289" s="83"/>
      <c r="DZ289" s="83"/>
      <c r="EA289" s="83"/>
      <c r="EB289" s="83"/>
      <c r="EC289" s="83"/>
      <c r="ED289" s="83"/>
      <c r="EE289" s="83"/>
      <c r="EF289" s="83"/>
      <c r="EG289" s="83"/>
      <c r="EH289" s="83"/>
      <c r="EI289" s="61"/>
      <c r="EJ289" s="61"/>
      <c r="EK289" s="61"/>
      <c r="EL289" s="61"/>
      <c r="EM289" s="61"/>
      <c r="EN289" s="61"/>
      <c r="EO289" s="61"/>
      <c r="EP289" s="61"/>
      <c r="EQ289" s="61"/>
      <c r="ER289" s="61"/>
      <c r="ES289" s="61"/>
      <c r="FR289" s="63"/>
      <c r="FS289" s="63"/>
      <c r="FT289" s="63"/>
      <c r="FU289" s="63"/>
      <c r="FV289" s="63"/>
      <c r="FW289" s="63"/>
      <c r="FX289" s="63"/>
      <c r="FY289" s="63"/>
      <c r="FZ289" s="63"/>
      <c r="GA289" s="63"/>
      <c r="GB289" s="63"/>
      <c r="GC289" s="63"/>
      <c r="GE289" s="102"/>
    </row>
    <row r="290" spans="1:187">
      <c r="D290" s="59" t="str">
        <f t="shared" ref="D290:D321" si="67">+CONCATENATE(D81,"p")</f>
        <v>4145p</v>
      </c>
      <c r="E290" s="60" t="s">
        <v>397</v>
      </c>
      <c r="F290" s="67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9"/>
      <c r="R290" s="67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9"/>
      <c r="AD290" s="67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9"/>
      <c r="AP290" s="67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9"/>
      <c r="BB290" s="67"/>
      <c r="BC290" s="68"/>
      <c r="BD290" s="68"/>
      <c r="BE290" s="68"/>
      <c r="BF290" s="68"/>
      <c r="BG290" s="68"/>
      <c r="BH290" s="68"/>
      <c r="BI290" s="68"/>
      <c r="BJ290" s="68"/>
      <c r="BK290" s="68"/>
      <c r="BL290" s="68"/>
      <c r="BM290" s="69"/>
      <c r="BN290" s="67"/>
      <c r="BO290" s="68"/>
      <c r="BP290" s="68"/>
      <c r="BQ290" s="68"/>
      <c r="BR290" s="68"/>
      <c r="BS290" s="68"/>
      <c r="BT290" s="68"/>
      <c r="BU290" s="68"/>
      <c r="BV290" s="68"/>
      <c r="BW290" s="68"/>
      <c r="BX290" s="68"/>
      <c r="BY290" s="69"/>
      <c r="BZ290" s="67"/>
      <c r="CA290" s="68"/>
      <c r="CB290" s="68"/>
      <c r="CC290" s="68"/>
      <c r="CD290" s="68"/>
      <c r="CE290" s="68"/>
      <c r="CF290" s="68"/>
      <c r="CG290" s="68"/>
      <c r="CH290" s="68"/>
      <c r="CI290" s="68"/>
      <c r="CJ290" s="68"/>
      <c r="CK290" s="68"/>
      <c r="CL290" s="67">
        <v>91913.333333333299</v>
      </c>
      <c r="CM290" s="68">
        <v>91913.333333333299</v>
      </c>
      <c r="CN290" s="68">
        <v>91913.333333333299</v>
      </c>
      <c r="CO290" s="68">
        <v>91913.333333333299</v>
      </c>
      <c r="CP290" s="68">
        <v>91913.333333333299</v>
      </c>
      <c r="CQ290" s="68">
        <v>91913.333333333299</v>
      </c>
      <c r="CR290" s="68">
        <v>91913.333333333299</v>
      </c>
      <c r="CS290" s="68">
        <v>91913.333333333299</v>
      </c>
      <c r="CT290" s="68">
        <v>91913.333333333299</v>
      </c>
      <c r="CU290" s="68">
        <v>91913.333333333299</v>
      </c>
      <c r="CV290" s="68">
        <v>91913.333333333299</v>
      </c>
      <c r="CW290" s="69">
        <v>91913.333333333299</v>
      </c>
      <c r="CX290" s="107">
        <v>95320.115048602995</v>
      </c>
      <c r="CY290" s="108">
        <v>95320.115048602995</v>
      </c>
      <c r="CZ290" s="108">
        <v>95320.115048602995</v>
      </c>
      <c r="DA290" s="108">
        <v>95320.115048602995</v>
      </c>
      <c r="DB290" s="108">
        <v>95320.115048602995</v>
      </c>
      <c r="DC290" s="108">
        <v>95320.115048602995</v>
      </c>
      <c r="DD290" s="108">
        <v>95320.115048602995</v>
      </c>
      <c r="DE290" s="108">
        <v>95320.115048602995</v>
      </c>
      <c r="DF290" s="108">
        <v>95320.115048602995</v>
      </c>
      <c r="DG290" s="108">
        <v>95320.115048602995</v>
      </c>
      <c r="DH290" s="108">
        <v>95320.115048602995</v>
      </c>
      <c r="DI290" s="109">
        <v>95320.115048602995</v>
      </c>
      <c r="DJ290" s="67">
        <v>78915.125</v>
      </c>
      <c r="DK290" s="68">
        <v>78915.125</v>
      </c>
      <c r="DL290" s="68">
        <v>78915.125</v>
      </c>
      <c r="DM290" s="68">
        <v>78915.125</v>
      </c>
      <c r="DN290" s="68">
        <v>78915.125</v>
      </c>
      <c r="DO290" s="68">
        <v>78915.125</v>
      </c>
      <c r="DP290" s="68">
        <v>78915.125</v>
      </c>
      <c r="DQ290" s="68">
        <v>78915.125</v>
      </c>
      <c r="DR290" s="68">
        <v>78915.125</v>
      </c>
      <c r="DS290" s="68">
        <v>78915.125</v>
      </c>
      <c r="DT290" s="68">
        <v>78915.125</v>
      </c>
      <c r="DU290" s="69">
        <v>78915.125</v>
      </c>
      <c r="DV290" s="83"/>
      <c r="DW290" s="83"/>
      <c r="DX290" s="83"/>
      <c r="DY290" s="83"/>
      <c r="DZ290" s="83"/>
      <c r="EA290" s="83"/>
      <c r="EB290" s="83"/>
      <c r="EC290" s="83"/>
      <c r="ED290" s="83"/>
      <c r="EE290" s="83"/>
      <c r="EF290" s="83"/>
      <c r="EG290" s="83"/>
      <c r="EH290" s="83"/>
      <c r="EI290" s="61"/>
      <c r="EJ290" s="61"/>
      <c r="EK290" s="61"/>
      <c r="EL290" s="61"/>
      <c r="EM290" s="61"/>
      <c r="EN290" s="61"/>
      <c r="EO290" s="61"/>
      <c r="EP290" s="61"/>
      <c r="EQ290" s="61"/>
      <c r="ER290" s="61"/>
      <c r="ES290" s="61"/>
      <c r="FR290" s="63"/>
      <c r="FS290" s="63"/>
      <c r="FT290" s="63"/>
      <c r="FU290" s="63"/>
      <c r="FV290" s="63"/>
      <c r="FW290" s="63"/>
      <c r="FX290" s="63"/>
      <c r="FY290" s="63"/>
      <c r="FZ290" s="63"/>
      <c r="GA290" s="63"/>
      <c r="GB290" s="63"/>
      <c r="GC290" s="63"/>
      <c r="GE290" s="102"/>
    </row>
    <row r="291" spans="1:187" ht="30">
      <c r="D291" s="59" t="str">
        <f t="shared" si="67"/>
        <v>4146p</v>
      </c>
      <c r="E291" s="60" t="s">
        <v>398</v>
      </c>
      <c r="F291" s="67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9"/>
      <c r="R291" s="67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9"/>
      <c r="AD291" s="67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9"/>
      <c r="AP291" s="67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9"/>
      <c r="BB291" s="67"/>
      <c r="BC291" s="68"/>
      <c r="BD291" s="68"/>
      <c r="BE291" s="68"/>
      <c r="BF291" s="68"/>
      <c r="BG291" s="68"/>
      <c r="BH291" s="68"/>
      <c r="BI291" s="68"/>
      <c r="BJ291" s="68"/>
      <c r="BK291" s="68"/>
      <c r="BL291" s="68"/>
      <c r="BM291" s="69"/>
      <c r="BN291" s="67"/>
      <c r="BO291" s="68"/>
      <c r="BP291" s="68"/>
      <c r="BQ291" s="68"/>
      <c r="BR291" s="68"/>
      <c r="BS291" s="68"/>
      <c r="BT291" s="68"/>
      <c r="BU291" s="68"/>
      <c r="BV291" s="68"/>
      <c r="BW291" s="68"/>
      <c r="BX291" s="68"/>
      <c r="BY291" s="69"/>
      <c r="BZ291" s="67"/>
      <c r="CA291" s="68"/>
      <c r="CB291" s="68"/>
      <c r="CC291" s="68"/>
      <c r="CD291" s="68"/>
      <c r="CE291" s="68"/>
      <c r="CF291" s="68"/>
      <c r="CG291" s="68"/>
      <c r="CH291" s="68"/>
      <c r="CI291" s="68"/>
      <c r="CJ291" s="68"/>
      <c r="CK291" s="68"/>
      <c r="CL291" s="67">
        <v>129867.41666666701</v>
      </c>
      <c r="CM291" s="68">
        <v>129867.41666666701</v>
      </c>
      <c r="CN291" s="68">
        <v>129867.41666666701</v>
      </c>
      <c r="CO291" s="68">
        <v>129867.41666666701</v>
      </c>
      <c r="CP291" s="68">
        <v>129867.41666666701</v>
      </c>
      <c r="CQ291" s="68">
        <v>129867.41666666701</v>
      </c>
      <c r="CR291" s="68">
        <v>129867.41666666701</v>
      </c>
      <c r="CS291" s="68">
        <v>129867.41666666701</v>
      </c>
      <c r="CT291" s="68">
        <v>129867.41666666701</v>
      </c>
      <c r="CU291" s="68">
        <v>129867.41666666701</v>
      </c>
      <c r="CV291" s="68">
        <v>129867.41666666701</v>
      </c>
      <c r="CW291" s="69">
        <v>129867.41666666701</v>
      </c>
      <c r="CX291" s="107">
        <v>191362.34434435499</v>
      </c>
      <c r="CY291" s="108">
        <v>191362.34434435499</v>
      </c>
      <c r="CZ291" s="108">
        <v>191362.34434435499</v>
      </c>
      <c r="DA291" s="108">
        <v>191362.34434435499</v>
      </c>
      <c r="DB291" s="108">
        <v>191362.34434435499</v>
      </c>
      <c r="DC291" s="108">
        <v>191362.34434435499</v>
      </c>
      <c r="DD291" s="108">
        <v>191362.34434435499</v>
      </c>
      <c r="DE291" s="108">
        <v>191362.34434435499</v>
      </c>
      <c r="DF291" s="108">
        <v>191362.34434435499</v>
      </c>
      <c r="DG291" s="108">
        <v>191362.34434435499</v>
      </c>
      <c r="DH291" s="108">
        <v>191362.34434435499</v>
      </c>
      <c r="DI291" s="109">
        <v>191362.34434435499</v>
      </c>
      <c r="DJ291" s="67">
        <v>176326.52416666699</v>
      </c>
      <c r="DK291" s="68">
        <v>176326.52416666699</v>
      </c>
      <c r="DL291" s="68">
        <v>176326.52416666699</v>
      </c>
      <c r="DM291" s="68">
        <v>176326.52416666699</v>
      </c>
      <c r="DN291" s="68">
        <v>176326.52416666699</v>
      </c>
      <c r="DO291" s="68">
        <v>176326.52416666699</v>
      </c>
      <c r="DP291" s="68">
        <v>176326.52416666699</v>
      </c>
      <c r="DQ291" s="68">
        <v>176326.52416666699</v>
      </c>
      <c r="DR291" s="68">
        <v>176326.52416666699</v>
      </c>
      <c r="DS291" s="68">
        <v>176326.52416666699</v>
      </c>
      <c r="DT291" s="68">
        <v>176326.52416666699</v>
      </c>
      <c r="DU291" s="69">
        <v>176326.52416666699</v>
      </c>
      <c r="DV291" s="83"/>
      <c r="DW291" s="83"/>
      <c r="DX291" s="83"/>
      <c r="DY291" s="83"/>
      <c r="DZ291" s="83"/>
      <c r="EA291" s="83"/>
      <c r="EB291" s="83"/>
      <c r="EC291" s="83"/>
      <c r="ED291" s="83"/>
      <c r="EE291" s="83"/>
      <c r="EF291" s="83"/>
      <c r="EG291" s="83"/>
      <c r="EH291" s="83"/>
      <c r="EI291" s="61"/>
      <c r="EJ291" s="61"/>
      <c r="EK291" s="61"/>
      <c r="EL291" s="61"/>
      <c r="EM291" s="61"/>
      <c r="EN291" s="61"/>
      <c r="EO291" s="61"/>
      <c r="EP291" s="61"/>
      <c r="EQ291" s="61"/>
      <c r="ER291" s="61"/>
      <c r="ES291" s="61"/>
      <c r="FR291" s="63"/>
      <c r="FS291" s="63"/>
      <c r="FT291" s="63"/>
      <c r="FU291" s="63"/>
      <c r="FV291" s="63"/>
      <c r="FW291" s="63"/>
      <c r="FX291" s="63"/>
      <c r="FY291" s="63"/>
      <c r="FZ291" s="63"/>
      <c r="GA291" s="63"/>
      <c r="GB291" s="63"/>
      <c r="GC291" s="63"/>
      <c r="GE291" s="102"/>
    </row>
    <row r="292" spans="1:187" ht="30">
      <c r="D292" s="59" t="str">
        <f t="shared" si="67"/>
        <v>4147p</v>
      </c>
      <c r="E292" s="60" t="s">
        <v>399</v>
      </c>
      <c r="F292" s="67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9"/>
      <c r="R292" s="67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9"/>
      <c r="AD292" s="67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9"/>
      <c r="AP292" s="67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9"/>
      <c r="BB292" s="67"/>
      <c r="BC292" s="68"/>
      <c r="BD292" s="68"/>
      <c r="BE292" s="68"/>
      <c r="BF292" s="68"/>
      <c r="BG292" s="68"/>
      <c r="BH292" s="68"/>
      <c r="BI292" s="68"/>
      <c r="BJ292" s="68"/>
      <c r="BK292" s="68"/>
      <c r="BL292" s="68"/>
      <c r="BM292" s="69"/>
      <c r="BN292" s="67"/>
      <c r="BO292" s="68"/>
      <c r="BP292" s="68"/>
      <c r="BQ292" s="68"/>
      <c r="BR292" s="68"/>
      <c r="BS292" s="68"/>
      <c r="BT292" s="68"/>
      <c r="BU292" s="68"/>
      <c r="BV292" s="68"/>
      <c r="BW292" s="68"/>
      <c r="BX292" s="68"/>
      <c r="BY292" s="69"/>
      <c r="BZ292" s="67"/>
      <c r="CA292" s="68"/>
      <c r="CB292" s="68"/>
      <c r="CC292" s="68"/>
      <c r="CD292" s="68"/>
      <c r="CE292" s="68"/>
      <c r="CF292" s="68"/>
      <c r="CG292" s="68"/>
      <c r="CH292" s="68"/>
      <c r="CI292" s="68"/>
      <c r="CJ292" s="68"/>
      <c r="CK292" s="68"/>
      <c r="CL292" s="67">
        <v>1562893.1016666701</v>
      </c>
      <c r="CM292" s="68">
        <v>1562893.1016666701</v>
      </c>
      <c r="CN292" s="68">
        <v>1562893.1016666701</v>
      </c>
      <c r="CO292" s="68">
        <v>1562893.1016666701</v>
      </c>
      <c r="CP292" s="68">
        <v>1562893.1016666701</v>
      </c>
      <c r="CQ292" s="68">
        <v>1562893.1016666701</v>
      </c>
      <c r="CR292" s="68">
        <v>1562893.1016666701</v>
      </c>
      <c r="CS292" s="68">
        <v>1562893.1016666701</v>
      </c>
      <c r="CT292" s="68">
        <v>1562893.1016666701</v>
      </c>
      <c r="CU292" s="68">
        <v>1562893.1016666701</v>
      </c>
      <c r="CV292" s="68">
        <v>1562893.1016666701</v>
      </c>
      <c r="CW292" s="69">
        <v>1562893.1016666701</v>
      </c>
      <c r="CX292" s="107">
        <v>1378043.4232588899</v>
      </c>
      <c r="CY292" s="108">
        <v>1378043.4232588899</v>
      </c>
      <c r="CZ292" s="108">
        <v>1378043.4232588899</v>
      </c>
      <c r="DA292" s="108">
        <v>1378043.4232588899</v>
      </c>
      <c r="DB292" s="108">
        <v>1378043.4232588899</v>
      </c>
      <c r="DC292" s="108">
        <v>1378043.4232588899</v>
      </c>
      <c r="DD292" s="108">
        <v>1378043.4232588899</v>
      </c>
      <c r="DE292" s="108">
        <v>1378043.4232588899</v>
      </c>
      <c r="DF292" s="108">
        <v>1378043.4232588899</v>
      </c>
      <c r="DG292" s="108">
        <v>1378043.4232588899</v>
      </c>
      <c r="DH292" s="108">
        <v>1378043.4232588899</v>
      </c>
      <c r="DI292" s="109">
        <v>1378043.4232588899</v>
      </c>
      <c r="DJ292" s="67">
        <v>1255232.07166667</v>
      </c>
      <c r="DK292" s="68">
        <v>1255232.07166667</v>
      </c>
      <c r="DL292" s="68">
        <v>1255232.07166667</v>
      </c>
      <c r="DM292" s="68">
        <v>1255232.07166667</v>
      </c>
      <c r="DN292" s="68">
        <v>1255232.07166667</v>
      </c>
      <c r="DO292" s="68">
        <v>1255232.07166667</v>
      </c>
      <c r="DP292" s="68">
        <v>1255232.07166667</v>
      </c>
      <c r="DQ292" s="68">
        <v>1255232.07166667</v>
      </c>
      <c r="DR292" s="68">
        <v>1255232.07166667</v>
      </c>
      <c r="DS292" s="68">
        <v>1255232.07166667</v>
      </c>
      <c r="DT292" s="68">
        <v>1255232.07166667</v>
      </c>
      <c r="DU292" s="69">
        <v>1255232.07166667</v>
      </c>
      <c r="DV292" s="83"/>
      <c r="DW292" s="83"/>
      <c r="DX292" s="83"/>
      <c r="DY292" s="83"/>
      <c r="DZ292" s="83"/>
      <c r="EA292" s="83"/>
      <c r="EB292" s="83"/>
      <c r="EC292" s="83"/>
      <c r="ED292" s="83"/>
      <c r="EE292" s="83"/>
      <c r="EF292" s="83"/>
      <c r="EG292" s="83"/>
      <c r="EH292" s="83"/>
      <c r="EI292" s="61"/>
      <c r="EJ292" s="61"/>
      <c r="EK292" s="61"/>
      <c r="EL292" s="61"/>
      <c r="EM292" s="61"/>
      <c r="EN292" s="61"/>
      <c r="EO292" s="61"/>
      <c r="EP292" s="61"/>
      <c r="EQ292" s="61"/>
      <c r="ER292" s="61"/>
      <c r="ES292" s="61"/>
      <c r="FR292" s="63"/>
      <c r="FS292" s="63"/>
      <c r="FT292" s="63"/>
      <c r="FU292" s="63"/>
      <c r="FV292" s="63"/>
      <c r="FW292" s="63"/>
      <c r="FX292" s="63"/>
      <c r="FY292" s="63"/>
      <c r="FZ292" s="63"/>
      <c r="GA292" s="63"/>
      <c r="GB292" s="63"/>
      <c r="GC292" s="63"/>
      <c r="GE292" s="102"/>
    </row>
    <row r="293" spans="1:187">
      <c r="D293" s="59" t="str">
        <f t="shared" si="67"/>
        <v>4148p</v>
      </c>
      <c r="E293" s="60" t="s">
        <v>400</v>
      </c>
      <c r="F293" s="67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9"/>
      <c r="R293" s="67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9"/>
      <c r="AD293" s="67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9"/>
      <c r="AP293" s="67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9"/>
      <c r="BB293" s="67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9"/>
      <c r="BN293" s="67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9"/>
      <c r="BZ293" s="67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7">
        <v>119475.49083333299</v>
      </c>
      <c r="CM293" s="68">
        <v>119475.49083333299</v>
      </c>
      <c r="CN293" s="68">
        <v>119475.49083333299</v>
      </c>
      <c r="CO293" s="68">
        <v>119475.49083333299</v>
      </c>
      <c r="CP293" s="68">
        <v>119475.49083333299</v>
      </c>
      <c r="CQ293" s="68">
        <v>119475.49083333299</v>
      </c>
      <c r="CR293" s="68">
        <v>119475.49083333299</v>
      </c>
      <c r="CS293" s="68">
        <v>119475.49083333299</v>
      </c>
      <c r="CT293" s="68">
        <v>119475.49083333299</v>
      </c>
      <c r="CU293" s="68">
        <v>119475.49083333299</v>
      </c>
      <c r="CV293" s="68">
        <v>119475.49083333299</v>
      </c>
      <c r="CW293" s="69">
        <v>119475.49083333299</v>
      </c>
      <c r="CX293" s="107">
        <v>105093.753548286</v>
      </c>
      <c r="CY293" s="108">
        <v>105093.753548286</v>
      </c>
      <c r="CZ293" s="108">
        <v>105093.753548286</v>
      </c>
      <c r="DA293" s="108">
        <v>105093.753548286</v>
      </c>
      <c r="DB293" s="108">
        <v>105093.753548286</v>
      </c>
      <c r="DC293" s="108">
        <v>105093.753548286</v>
      </c>
      <c r="DD293" s="108">
        <v>105093.753548286</v>
      </c>
      <c r="DE293" s="108">
        <v>105093.753548286</v>
      </c>
      <c r="DF293" s="108">
        <v>105093.753548286</v>
      </c>
      <c r="DG293" s="108">
        <v>105093.753548286</v>
      </c>
      <c r="DH293" s="108">
        <v>105093.753548286</v>
      </c>
      <c r="DI293" s="109">
        <v>105093.753548286</v>
      </c>
      <c r="DJ293" s="67">
        <v>106549.58083333301</v>
      </c>
      <c r="DK293" s="68">
        <v>106549.58083333301</v>
      </c>
      <c r="DL293" s="68">
        <v>106549.58083333301</v>
      </c>
      <c r="DM293" s="68">
        <v>106549.58083333301</v>
      </c>
      <c r="DN293" s="68">
        <v>106549.58083333301</v>
      </c>
      <c r="DO293" s="68">
        <v>106549.58083333301</v>
      </c>
      <c r="DP293" s="68">
        <v>106549.58083333301</v>
      </c>
      <c r="DQ293" s="68">
        <v>106549.58083333301</v>
      </c>
      <c r="DR293" s="68">
        <v>106549.58083333301</v>
      </c>
      <c r="DS293" s="68">
        <v>106549.58083333301</v>
      </c>
      <c r="DT293" s="68">
        <v>106549.58083333301</v>
      </c>
      <c r="DU293" s="69">
        <v>106549.58083333301</v>
      </c>
      <c r="DV293" s="83"/>
      <c r="DW293" s="83"/>
      <c r="DX293" s="83"/>
      <c r="DY293" s="83"/>
      <c r="DZ293" s="83"/>
      <c r="EA293" s="83"/>
      <c r="EB293" s="83"/>
      <c r="EC293" s="83"/>
      <c r="ED293" s="83"/>
      <c r="EE293" s="83"/>
      <c r="EF293" s="83"/>
      <c r="EG293" s="83"/>
      <c r="EH293" s="83"/>
      <c r="EI293" s="61"/>
      <c r="EJ293" s="61"/>
      <c r="EK293" s="61"/>
      <c r="EL293" s="61"/>
      <c r="EM293" s="61"/>
      <c r="EN293" s="61"/>
      <c r="EO293" s="61"/>
      <c r="EP293" s="61"/>
      <c r="EQ293" s="61"/>
      <c r="ER293" s="61"/>
      <c r="ES293" s="61"/>
      <c r="FR293" s="63"/>
      <c r="FS293" s="63"/>
      <c r="FT293" s="63"/>
      <c r="FU293" s="63"/>
      <c r="FV293" s="63"/>
      <c r="FW293" s="63"/>
      <c r="FX293" s="63"/>
      <c r="FY293" s="63"/>
      <c r="FZ293" s="63"/>
      <c r="GA293" s="63"/>
      <c r="GB293" s="63"/>
      <c r="GC293" s="63"/>
      <c r="GE293" s="102"/>
    </row>
    <row r="294" spans="1:187">
      <c r="D294" s="59" t="str">
        <f t="shared" si="67"/>
        <v>4149p</v>
      </c>
      <c r="E294" s="60" t="s">
        <v>401</v>
      </c>
      <c r="F294" s="67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9"/>
      <c r="R294" s="67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9"/>
      <c r="AD294" s="67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9"/>
      <c r="AP294" s="67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9"/>
      <c r="BB294" s="67"/>
      <c r="BC294" s="68"/>
      <c r="BD294" s="68"/>
      <c r="BE294" s="68"/>
      <c r="BF294" s="68"/>
      <c r="BG294" s="68"/>
      <c r="BH294" s="68"/>
      <c r="BI294" s="68"/>
      <c r="BJ294" s="68"/>
      <c r="BK294" s="68"/>
      <c r="BL294" s="68"/>
      <c r="BM294" s="69"/>
      <c r="BN294" s="67"/>
      <c r="BO294" s="68"/>
      <c r="BP294" s="68"/>
      <c r="BQ294" s="68"/>
      <c r="BR294" s="68"/>
      <c r="BS294" s="68"/>
      <c r="BT294" s="68"/>
      <c r="BU294" s="68"/>
      <c r="BV294" s="68"/>
      <c r="BW294" s="68"/>
      <c r="BX294" s="68"/>
      <c r="BY294" s="69"/>
      <c r="BZ294" s="67"/>
      <c r="CA294" s="68"/>
      <c r="CB294" s="68"/>
      <c r="CC294" s="68"/>
      <c r="CD294" s="68"/>
      <c r="CE294" s="68"/>
      <c r="CF294" s="68"/>
      <c r="CG294" s="68"/>
      <c r="CH294" s="68"/>
      <c r="CI294" s="68"/>
      <c r="CJ294" s="68"/>
      <c r="CK294" s="68"/>
      <c r="CL294" s="67">
        <v>521488.45416666701</v>
      </c>
      <c r="CM294" s="68">
        <v>521488.45416666701</v>
      </c>
      <c r="CN294" s="68">
        <v>521488.45416666701</v>
      </c>
      <c r="CO294" s="68">
        <v>521488.45416666701</v>
      </c>
      <c r="CP294" s="68">
        <v>521488.45416666701</v>
      </c>
      <c r="CQ294" s="68">
        <v>521488.45416666701</v>
      </c>
      <c r="CR294" s="68">
        <v>521488.45416666701</v>
      </c>
      <c r="CS294" s="68">
        <v>521488.45416666701</v>
      </c>
      <c r="CT294" s="68">
        <v>521488.45416666701</v>
      </c>
      <c r="CU294" s="68">
        <v>521488.45416666701</v>
      </c>
      <c r="CV294" s="68">
        <v>521488.45416666701</v>
      </c>
      <c r="CW294" s="69">
        <v>521488.45416666701</v>
      </c>
      <c r="CX294" s="107">
        <v>464142.70529761602</v>
      </c>
      <c r="CY294" s="108">
        <v>464142.70529761602</v>
      </c>
      <c r="CZ294" s="108">
        <v>464142.70529761602</v>
      </c>
      <c r="DA294" s="108">
        <v>464142.70529761602</v>
      </c>
      <c r="DB294" s="108">
        <v>464142.70529761602</v>
      </c>
      <c r="DC294" s="108">
        <v>464142.70529761602</v>
      </c>
      <c r="DD294" s="108">
        <v>464142.70529761602</v>
      </c>
      <c r="DE294" s="108">
        <v>464142.70529761602</v>
      </c>
      <c r="DF294" s="108">
        <v>464142.70529761602</v>
      </c>
      <c r="DG294" s="108">
        <v>464142.70529761602</v>
      </c>
      <c r="DH294" s="108">
        <v>464142.70529761602</v>
      </c>
      <c r="DI294" s="109">
        <v>464142.70529761602</v>
      </c>
      <c r="DJ294" s="67">
        <v>556378.51249999995</v>
      </c>
      <c r="DK294" s="68">
        <v>556378.51249999995</v>
      </c>
      <c r="DL294" s="68">
        <v>556378.51249999995</v>
      </c>
      <c r="DM294" s="68">
        <v>556378.51249999995</v>
      </c>
      <c r="DN294" s="68">
        <v>556378.51249999995</v>
      </c>
      <c r="DO294" s="68">
        <v>556378.51249999995</v>
      </c>
      <c r="DP294" s="68">
        <v>556378.51249999995</v>
      </c>
      <c r="DQ294" s="68">
        <v>556378.51249999995</v>
      </c>
      <c r="DR294" s="68">
        <v>556378.51249999995</v>
      </c>
      <c r="DS294" s="68">
        <v>556378.51249999995</v>
      </c>
      <c r="DT294" s="68">
        <v>556378.51249999995</v>
      </c>
      <c r="DU294" s="69">
        <v>556378.51249999995</v>
      </c>
      <c r="DV294" s="83"/>
      <c r="DW294" s="83"/>
      <c r="DX294" s="83"/>
      <c r="DY294" s="83"/>
      <c r="DZ294" s="83"/>
      <c r="EA294" s="83"/>
      <c r="EB294" s="83"/>
      <c r="EC294" s="83"/>
      <c r="ED294" s="83"/>
      <c r="EE294" s="83"/>
      <c r="EF294" s="83"/>
      <c r="EG294" s="83"/>
      <c r="EH294" s="83"/>
      <c r="EI294" s="61"/>
      <c r="EJ294" s="61"/>
      <c r="EK294" s="61"/>
      <c r="EL294" s="61"/>
      <c r="EM294" s="61"/>
      <c r="EN294" s="61"/>
      <c r="EO294" s="61"/>
      <c r="EP294" s="61"/>
      <c r="EQ294" s="61"/>
      <c r="ER294" s="61"/>
      <c r="ES294" s="61"/>
      <c r="FR294" s="63"/>
      <c r="FS294" s="63"/>
      <c r="FT294" s="63"/>
      <c r="FU294" s="63"/>
      <c r="FV294" s="63"/>
      <c r="FW294" s="63"/>
      <c r="FX294" s="63"/>
      <c r="FY294" s="63"/>
      <c r="FZ294" s="63"/>
      <c r="GA294" s="63"/>
      <c r="GB294" s="63"/>
      <c r="GC294" s="63"/>
      <c r="GE294" s="102"/>
    </row>
    <row r="295" spans="1:187" s="2" customFormat="1">
      <c r="A295" s="71"/>
      <c r="B295" s="71"/>
      <c r="C295" s="71">
        <v>415</v>
      </c>
      <c r="D295" s="71" t="str">
        <f t="shared" si="67"/>
        <v>415p</v>
      </c>
      <c r="E295" s="72" t="s">
        <v>151</v>
      </c>
      <c r="F295" s="73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5"/>
      <c r="R295" s="73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5"/>
      <c r="AD295" s="73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5"/>
      <c r="AP295" s="73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5"/>
      <c r="BB295" s="73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5"/>
      <c r="BN295" s="73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5"/>
      <c r="BZ295" s="73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3">
        <f t="shared" ref="CL295:CX295" si="68">+SUM(CL296:CL298)</f>
        <v>1705556.6708333299</v>
      </c>
      <c r="CM295" s="74">
        <f t="shared" si="68"/>
        <v>1705556.6708333299</v>
      </c>
      <c r="CN295" s="74">
        <f t="shared" si="68"/>
        <v>1705556.6708333299</v>
      </c>
      <c r="CO295" s="74">
        <f t="shared" si="68"/>
        <v>1705556.6708333299</v>
      </c>
      <c r="CP295" s="74">
        <f t="shared" si="68"/>
        <v>1705556.6708333299</v>
      </c>
      <c r="CQ295" s="74">
        <f t="shared" si="68"/>
        <v>1705556.6708333299</v>
      </c>
      <c r="CR295" s="74">
        <f t="shared" si="68"/>
        <v>1705556.6708333299</v>
      </c>
      <c r="CS295" s="74">
        <f t="shared" si="68"/>
        <v>1705556.6708333299</v>
      </c>
      <c r="CT295" s="74">
        <f t="shared" si="68"/>
        <v>1705556.6708333299</v>
      </c>
      <c r="CU295" s="74">
        <f t="shared" si="68"/>
        <v>1705556.6708333299</v>
      </c>
      <c r="CV295" s="74">
        <f t="shared" si="68"/>
        <v>1705556.6708333299</v>
      </c>
      <c r="CW295" s="75">
        <f t="shared" si="68"/>
        <v>1705556.6708333299</v>
      </c>
      <c r="CX295" s="110">
        <f t="shared" si="68"/>
        <v>1804616.9333333301</v>
      </c>
      <c r="CY295" s="111">
        <f t="shared" ref="CY295:DJ295" si="69">+SUM(CY296:CY298)</f>
        <v>1804616.9333333301</v>
      </c>
      <c r="CZ295" s="111">
        <f t="shared" si="69"/>
        <v>1804616.9333333301</v>
      </c>
      <c r="DA295" s="111">
        <f t="shared" si="69"/>
        <v>1804616.9333333301</v>
      </c>
      <c r="DB295" s="111">
        <f t="shared" si="69"/>
        <v>1804616.9333333301</v>
      </c>
      <c r="DC295" s="111">
        <f t="shared" si="69"/>
        <v>1804616.9333333301</v>
      </c>
      <c r="DD295" s="111">
        <f t="shared" si="69"/>
        <v>1804616.9333333301</v>
      </c>
      <c r="DE295" s="111">
        <f t="shared" si="69"/>
        <v>1804616.9333333301</v>
      </c>
      <c r="DF295" s="111">
        <f t="shared" si="69"/>
        <v>1804616.9333333301</v>
      </c>
      <c r="DG295" s="111">
        <f t="shared" si="69"/>
        <v>1804616.9333333301</v>
      </c>
      <c r="DH295" s="111">
        <f t="shared" si="69"/>
        <v>1804616.9333333301</v>
      </c>
      <c r="DI295" s="112">
        <f t="shared" si="69"/>
        <v>1804116.9333333301</v>
      </c>
      <c r="DJ295" s="73">
        <f t="shared" si="69"/>
        <v>1734268.4441666701</v>
      </c>
      <c r="DK295" s="74">
        <f t="shared" ref="DK295:DU295" si="70">+SUM(DK296:DK298)</f>
        <v>1734268.4441666701</v>
      </c>
      <c r="DL295" s="74">
        <f t="shared" si="70"/>
        <v>1734268.4441666701</v>
      </c>
      <c r="DM295" s="74">
        <f t="shared" si="70"/>
        <v>1734268.4441666701</v>
      </c>
      <c r="DN295" s="74">
        <f t="shared" si="70"/>
        <v>1734268.4441666701</v>
      </c>
      <c r="DO295" s="74">
        <f t="shared" si="70"/>
        <v>1734268.4441666701</v>
      </c>
      <c r="DP295" s="74">
        <f t="shared" si="70"/>
        <v>1734268.4441666701</v>
      </c>
      <c r="DQ295" s="74">
        <f t="shared" si="70"/>
        <v>1734268.4441666701</v>
      </c>
      <c r="DR295" s="74">
        <f t="shared" si="70"/>
        <v>1734268.4441666701</v>
      </c>
      <c r="DS295" s="74">
        <f t="shared" si="70"/>
        <v>1734268.4441666701</v>
      </c>
      <c r="DT295" s="74">
        <f t="shared" si="70"/>
        <v>1734268.4441666701</v>
      </c>
      <c r="DU295" s="75">
        <f t="shared" si="70"/>
        <v>1734268.4441666701</v>
      </c>
      <c r="DV295" s="97">
        <v>1778023.41</v>
      </c>
      <c r="DW295" s="97">
        <v>1778023.41</v>
      </c>
      <c r="DX295" s="97">
        <v>1778023.41</v>
      </c>
      <c r="DY295" s="97">
        <v>1778023.41</v>
      </c>
      <c r="DZ295" s="97">
        <v>1778023.41</v>
      </c>
      <c r="EA295" s="97">
        <v>1778023.41</v>
      </c>
      <c r="EB295" s="97">
        <v>1778023.41</v>
      </c>
      <c r="EC295" s="97">
        <v>1778023.41</v>
      </c>
      <c r="ED295" s="97">
        <v>1778023.41</v>
      </c>
      <c r="EE295" s="97">
        <v>1778023.41</v>
      </c>
      <c r="EF295" s="97">
        <v>1778023.41</v>
      </c>
      <c r="EG295" s="97">
        <v>1778023.41</v>
      </c>
      <c r="EH295" s="97">
        <v>1415131.31</v>
      </c>
      <c r="EI295" s="97">
        <v>1415131.31</v>
      </c>
      <c r="EJ295" s="97">
        <v>1415131.31</v>
      </c>
      <c r="EK295" s="97">
        <v>1415131.31</v>
      </c>
      <c r="EL295" s="97">
        <v>1415131.31</v>
      </c>
      <c r="EM295" s="97">
        <v>1415131.31</v>
      </c>
      <c r="EN295" s="97">
        <v>2122696.9700000002</v>
      </c>
      <c r="EO295" s="97">
        <v>2122696.9700000002</v>
      </c>
      <c r="EP295" s="97">
        <v>2122696.9700000002</v>
      </c>
      <c r="EQ295" s="97">
        <v>2122696.9700000002</v>
      </c>
      <c r="ER295" s="97">
        <v>2122696.9700000002</v>
      </c>
      <c r="ES295" s="97">
        <v>2122696.9700000002</v>
      </c>
      <c r="ET295" s="106">
        <v>1860319.3983333299</v>
      </c>
      <c r="EU295" s="106">
        <v>1860319.3983333299</v>
      </c>
      <c r="EV295" s="106">
        <v>1860319.3983333299</v>
      </c>
      <c r="EW295" s="106">
        <v>1860319.3983333299</v>
      </c>
      <c r="EX295" s="106">
        <v>1860319.3983333299</v>
      </c>
      <c r="EY295" s="106">
        <v>1860319.3983333299</v>
      </c>
      <c r="EZ295" s="106">
        <v>1860319.3983333299</v>
      </c>
      <c r="FA295" s="106">
        <v>1860319.3983333299</v>
      </c>
      <c r="FB295" s="106">
        <v>1850732.90583333</v>
      </c>
      <c r="FC295" s="106">
        <v>1850732.90583333</v>
      </c>
      <c r="FD295" s="106">
        <v>1850732.90583333</v>
      </c>
      <c r="FE295" s="106">
        <v>1850732.90583333</v>
      </c>
      <c r="FF295" s="106">
        <v>1931829.4616666699</v>
      </c>
      <c r="FG295" s="106">
        <v>1929704.3816666701</v>
      </c>
      <c r="FH295" s="106">
        <v>1921162.7116666699</v>
      </c>
      <c r="FI295" s="106">
        <v>1920662.7116666699</v>
      </c>
      <c r="FJ295" s="106">
        <v>1927678.7016666699</v>
      </c>
      <c r="FK295" s="106">
        <v>1927612.7316666699</v>
      </c>
      <c r="FL295" s="106">
        <v>1934953.7116666699</v>
      </c>
      <c r="FM295" s="106">
        <v>1934887.7116666699</v>
      </c>
      <c r="FN295" s="106">
        <v>1926953.7016666699</v>
      </c>
      <c r="FO295" s="106">
        <v>1926887.7016666699</v>
      </c>
      <c r="FP295" s="106">
        <v>1926953.7016666699</v>
      </c>
      <c r="FQ295" s="106">
        <v>1908616.3716666701</v>
      </c>
      <c r="FR295" s="106">
        <v>108691.98</v>
      </c>
      <c r="FS295" s="106">
        <v>2265483.7400000002</v>
      </c>
      <c r="FT295" s="106">
        <v>1016574.39</v>
      </c>
      <c r="FU295" s="106">
        <v>2804355.68</v>
      </c>
      <c r="FV295" s="106">
        <v>1877727.17</v>
      </c>
      <c r="FW295" s="106">
        <v>2564587.1557142902</v>
      </c>
      <c r="FX295" s="106">
        <v>2564587.1557142902</v>
      </c>
      <c r="FY295" s="106">
        <v>2051669.7245714299</v>
      </c>
      <c r="FZ295" s="106">
        <v>2564587.1557142902</v>
      </c>
      <c r="GA295" s="106">
        <v>2564587.1557142902</v>
      </c>
      <c r="GB295" s="106">
        <v>2564587.1557142902</v>
      </c>
      <c r="GC295" s="106">
        <v>3077495.2968571498</v>
      </c>
      <c r="GE295" s="101">
        <f>SUM(FR295:GC295)</f>
        <v>26024933.760000002</v>
      </c>
    </row>
    <row r="296" spans="1:187" ht="30">
      <c r="D296" s="59" t="str">
        <f t="shared" si="67"/>
        <v>4151p</v>
      </c>
      <c r="E296" s="60" t="s">
        <v>402</v>
      </c>
      <c r="F296" s="67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9"/>
      <c r="R296" s="67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9"/>
      <c r="AD296" s="67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9"/>
      <c r="AP296" s="67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9"/>
      <c r="BB296" s="67"/>
      <c r="BC296" s="68"/>
      <c r="BD296" s="68"/>
      <c r="BE296" s="68"/>
      <c r="BF296" s="68"/>
      <c r="BG296" s="68"/>
      <c r="BH296" s="68"/>
      <c r="BI296" s="68"/>
      <c r="BJ296" s="68"/>
      <c r="BK296" s="68"/>
      <c r="BL296" s="68"/>
      <c r="BM296" s="69"/>
      <c r="BN296" s="67"/>
      <c r="BO296" s="68"/>
      <c r="BP296" s="68"/>
      <c r="BQ296" s="68"/>
      <c r="BR296" s="68"/>
      <c r="BS296" s="68"/>
      <c r="BT296" s="68"/>
      <c r="BU296" s="68"/>
      <c r="BV296" s="68"/>
      <c r="BW296" s="68"/>
      <c r="BX296" s="68"/>
      <c r="BY296" s="69"/>
      <c r="BZ296" s="67"/>
      <c r="CA296" s="68"/>
      <c r="CB296" s="68"/>
      <c r="CC296" s="68"/>
      <c r="CD296" s="68"/>
      <c r="CE296" s="68"/>
      <c r="CF296" s="68"/>
      <c r="CG296" s="68"/>
      <c r="CH296" s="68"/>
      <c r="CI296" s="68"/>
      <c r="CJ296" s="68"/>
      <c r="CK296" s="68"/>
      <c r="CL296" s="67">
        <v>1379583.33333333</v>
      </c>
      <c r="CM296" s="68">
        <v>1379583.33333333</v>
      </c>
      <c r="CN296" s="68">
        <v>1379583.33333333</v>
      </c>
      <c r="CO296" s="68">
        <v>1379583.33333333</v>
      </c>
      <c r="CP296" s="68">
        <v>1379583.33333333</v>
      </c>
      <c r="CQ296" s="68">
        <v>1379583.33333333</v>
      </c>
      <c r="CR296" s="68">
        <v>1379583.33333333</v>
      </c>
      <c r="CS296" s="68">
        <v>1379583.33333333</v>
      </c>
      <c r="CT296" s="68">
        <v>1379583.33333333</v>
      </c>
      <c r="CU296" s="68">
        <v>1379583.33333333</v>
      </c>
      <c r="CV296" s="68">
        <v>1379583.33333333</v>
      </c>
      <c r="CW296" s="69">
        <v>1379583.33333333</v>
      </c>
      <c r="CX296" s="107">
        <v>1391775.75</v>
      </c>
      <c r="CY296" s="108">
        <v>1391775.75</v>
      </c>
      <c r="CZ296" s="108">
        <v>1391775.75</v>
      </c>
      <c r="DA296" s="108">
        <v>1391775.75</v>
      </c>
      <c r="DB296" s="108">
        <v>1391775.75</v>
      </c>
      <c r="DC296" s="108">
        <v>1391775.75</v>
      </c>
      <c r="DD296" s="108">
        <v>1391775.75</v>
      </c>
      <c r="DE296" s="108">
        <v>1391775.75</v>
      </c>
      <c r="DF296" s="108">
        <v>1391775.75</v>
      </c>
      <c r="DG296" s="108">
        <v>1391775.75</v>
      </c>
      <c r="DH296" s="108">
        <v>1391775.75</v>
      </c>
      <c r="DI296" s="109">
        <f>1391775.75-500</f>
        <v>1391275.75</v>
      </c>
      <c r="DJ296" s="67">
        <v>1367666.66666667</v>
      </c>
      <c r="DK296" s="68">
        <v>1367666.66666667</v>
      </c>
      <c r="DL296" s="68">
        <v>1367666.66666667</v>
      </c>
      <c r="DM296" s="68">
        <v>1367666.66666667</v>
      </c>
      <c r="DN296" s="68">
        <v>1367666.66666667</v>
      </c>
      <c r="DO296" s="68">
        <v>1367666.66666667</v>
      </c>
      <c r="DP296" s="68">
        <v>1367666.66666667</v>
      </c>
      <c r="DQ296" s="68">
        <v>1367666.66666667</v>
      </c>
      <c r="DR296" s="68">
        <v>1367666.66666667</v>
      </c>
      <c r="DS296" s="68">
        <v>1367666.66666667</v>
      </c>
      <c r="DT296" s="68">
        <v>1367666.66666667</v>
      </c>
      <c r="DU296" s="69">
        <v>1367666.66666667</v>
      </c>
      <c r="DV296" s="83"/>
      <c r="DW296" s="83"/>
      <c r="DX296" s="83"/>
      <c r="DY296" s="83"/>
      <c r="DZ296" s="83"/>
      <c r="EA296" s="83"/>
      <c r="EB296" s="83"/>
      <c r="EC296" s="83"/>
      <c r="ED296" s="83"/>
      <c r="EE296" s="83"/>
      <c r="EF296" s="83"/>
      <c r="EG296" s="83"/>
      <c r="EH296" s="83"/>
      <c r="EI296" s="83"/>
      <c r="EJ296" s="83"/>
      <c r="EK296" s="83"/>
      <c r="EL296" s="83"/>
      <c r="EM296" s="83"/>
      <c r="EN296" s="83"/>
      <c r="EO296" s="83"/>
      <c r="EP296" s="83"/>
      <c r="EQ296" s="83"/>
      <c r="ER296" s="83"/>
      <c r="ES296" s="83"/>
      <c r="FR296" s="63"/>
      <c r="FS296" s="63"/>
      <c r="FT296" s="63"/>
      <c r="FU296" s="63"/>
      <c r="FV296" s="63"/>
      <c r="FW296" s="63"/>
      <c r="FX296" s="63"/>
      <c r="FY296" s="63"/>
      <c r="FZ296" s="63"/>
      <c r="GA296" s="63"/>
      <c r="GB296" s="63"/>
      <c r="GC296" s="63"/>
      <c r="GE296" s="102"/>
    </row>
    <row r="297" spans="1:187" ht="30">
      <c r="D297" s="59" t="str">
        <f t="shared" si="67"/>
        <v>4152p</v>
      </c>
      <c r="E297" s="60" t="s">
        <v>403</v>
      </c>
      <c r="F297" s="67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9"/>
      <c r="R297" s="67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9"/>
      <c r="AD297" s="67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9"/>
      <c r="AP297" s="67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9"/>
      <c r="BB297" s="67"/>
      <c r="BC297" s="68"/>
      <c r="BD297" s="68"/>
      <c r="BE297" s="68"/>
      <c r="BF297" s="68"/>
      <c r="BG297" s="68"/>
      <c r="BH297" s="68"/>
      <c r="BI297" s="68"/>
      <c r="BJ297" s="68"/>
      <c r="BK297" s="68"/>
      <c r="BL297" s="68"/>
      <c r="BM297" s="69"/>
      <c r="BN297" s="67"/>
      <c r="BO297" s="68"/>
      <c r="BP297" s="68"/>
      <c r="BQ297" s="68"/>
      <c r="BR297" s="68"/>
      <c r="BS297" s="68"/>
      <c r="BT297" s="68"/>
      <c r="BU297" s="68"/>
      <c r="BV297" s="68"/>
      <c r="BW297" s="68"/>
      <c r="BX297" s="68"/>
      <c r="BY297" s="69"/>
      <c r="BZ297" s="67"/>
      <c r="CA297" s="68"/>
      <c r="CB297" s="68"/>
      <c r="CC297" s="68"/>
      <c r="CD297" s="68"/>
      <c r="CE297" s="68"/>
      <c r="CF297" s="68"/>
      <c r="CG297" s="68"/>
      <c r="CH297" s="68"/>
      <c r="CI297" s="68"/>
      <c r="CJ297" s="68"/>
      <c r="CK297" s="68"/>
      <c r="CL297" s="67">
        <v>119125.758333333</v>
      </c>
      <c r="CM297" s="68">
        <v>119125.758333333</v>
      </c>
      <c r="CN297" s="68">
        <v>119125.758333333</v>
      </c>
      <c r="CO297" s="68">
        <v>119125.758333333</v>
      </c>
      <c r="CP297" s="68">
        <v>119125.758333333</v>
      </c>
      <c r="CQ297" s="68">
        <v>119125.758333333</v>
      </c>
      <c r="CR297" s="68">
        <v>119125.758333333</v>
      </c>
      <c r="CS297" s="68">
        <v>119125.758333333</v>
      </c>
      <c r="CT297" s="68">
        <v>119125.758333333</v>
      </c>
      <c r="CU297" s="68">
        <v>119125.758333333</v>
      </c>
      <c r="CV297" s="68">
        <v>119125.758333333</v>
      </c>
      <c r="CW297" s="69">
        <v>119125.758333333</v>
      </c>
      <c r="CX297" s="107">
        <v>125527.68416666699</v>
      </c>
      <c r="CY297" s="108">
        <v>125527.68416666699</v>
      </c>
      <c r="CZ297" s="108">
        <v>125527.68416666699</v>
      </c>
      <c r="DA297" s="108">
        <v>125527.68416666699</v>
      </c>
      <c r="DB297" s="108">
        <v>125527.68416666699</v>
      </c>
      <c r="DC297" s="108">
        <v>125527.68416666699</v>
      </c>
      <c r="DD297" s="108">
        <v>125527.68416666699</v>
      </c>
      <c r="DE297" s="108">
        <v>125527.68416666699</v>
      </c>
      <c r="DF297" s="108">
        <v>125527.68416666699</v>
      </c>
      <c r="DG297" s="108">
        <v>125527.68416666699</v>
      </c>
      <c r="DH297" s="108">
        <v>125527.68416666699</v>
      </c>
      <c r="DI297" s="109">
        <v>125527.68416666699</v>
      </c>
      <c r="DJ297" s="67">
        <v>122583.6125</v>
      </c>
      <c r="DK297" s="68">
        <v>122583.6125</v>
      </c>
      <c r="DL297" s="68">
        <v>122583.6125</v>
      </c>
      <c r="DM297" s="68">
        <v>122583.6125</v>
      </c>
      <c r="DN297" s="68">
        <v>122583.6125</v>
      </c>
      <c r="DO297" s="68">
        <v>122583.6125</v>
      </c>
      <c r="DP297" s="68">
        <v>122583.6125</v>
      </c>
      <c r="DQ297" s="68">
        <v>122583.6125</v>
      </c>
      <c r="DR297" s="68">
        <v>122583.6125</v>
      </c>
      <c r="DS297" s="68">
        <v>122583.6125</v>
      </c>
      <c r="DT297" s="68">
        <v>122583.6125</v>
      </c>
      <c r="DU297" s="69">
        <v>122583.6125</v>
      </c>
      <c r="DV297" s="83"/>
      <c r="DW297" s="83"/>
      <c r="DX297" s="83"/>
      <c r="DY297" s="83"/>
      <c r="DZ297" s="83"/>
      <c r="EA297" s="83"/>
      <c r="EB297" s="83"/>
      <c r="EC297" s="83"/>
      <c r="ED297" s="83"/>
      <c r="EE297" s="83"/>
      <c r="EF297" s="83"/>
      <c r="EG297" s="83"/>
      <c r="EH297" s="83"/>
      <c r="EI297" s="83"/>
      <c r="EJ297" s="83"/>
      <c r="EK297" s="83"/>
      <c r="EL297" s="83"/>
      <c r="EM297" s="83"/>
      <c r="EN297" s="83"/>
      <c r="EO297" s="83"/>
      <c r="EP297" s="83"/>
      <c r="EQ297" s="83"/>
      <c r="ER297" s="83"/>
      <c r="ES297" s="83"/>
      <c r="FR297" s="63"/>
      <c r="FS297" s="63"/>
      <c r="FT297" s="63"/>
      <c r="FU297" s="63"/>
      <c r="FV297" s="63"/>
      <c r="FW297" s="63"/>
      <c r="FX297" s="63"/>
      <c r="FY297" s="63"/>
      <c r="FZ297" s="63"/>
      <c r="GA297" s="63"/>
      <c r="GB297" s="63"/>
      <c r="GC297" s="63"/>
      <c r="GE297" s="102"/>
    </row>
    <row r="298" spans="1:187">
      <c r="D298" s="59" t="str">
        <f t="shared" si="67"/>
        <v>4153p</v>
      </c>
      <c r="E298" s="60" t="s">
        <v>404</v>
      </c>
      <c r="F298" s="67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9"/>
      <c r="R298" s="67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9"/>
      <c r="AD298" s="67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9"/>
      <c r="AP298" s="67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9"/>
      <c r="BB298" s="67"/>
      <c r="BC298" s="68"/>
      <c r="BD298" s="68"/>
      <c r="BE298" s="68"/>
      <c r="BF298" s="68"/>
      <c r="BG298" s="68"/>
      <c r="BH298" s="68"/>
      <c r="BI298" s="68"/>
      <c r="BJ298" s="68"/>
      <c r="BK298" s="68"/>
      <c r="BL298" s="68"/>
      <c r="BM298" s="69"/>
      <c r="BN298" s="67"/>
      <c r="BO298" s="68"/>
      <c r="BP298" s="68"/>
      <c r="BQ298" s="68"/>
      <c r="BR298" s="68"/>
      <c r="BS298" s="68"/>
      <c r="BT298" s="68"/>
      <c r="BU298" s="68"/>
      <c r="BV298" s="68"/>
      <c r="BW298" s="68"/>
      <c r="BX298" s="68"/>
      <c r="BY298" s="69"/>
      <c r="BZ298" s="67"/>
      <c r="CA298" s="68"/>
      <c r="CB298" s="68"/>
      <c r="CC298" s="68"/>
      <c r="CD298" s="68"/>
      <c r="CE298" s="68"/>
      <c r="CF298" s="68"/>
      <c r="CG298" s="68"/>
      <c r="CH298" s="68"/>
      <c r="CI298" s="68"/>
      <c r="CJ298" s="68"/>
      <c r="CK298" s="68"/>
      <c r="CL298" s="67">
        <v>206847.57916666701</v>
      </c>
      <c r="CM298" s="68">
        <v>206847.57916666701</v>
      </c>
      <c r="CN298" s="68">
        <v>206847.57916666701</v>
      </c>
      <c r="CO298" s="68">
        <v>206847.57916666701</v>
      </c>
      <c r="CP298" s="68">
        <v>206847.57916666701</v>
      </c>
      <c r="CQ298" s="68">
        <v>206847.57916666701</v>
      </c>
      <c r="CR298" s="68">
        <v>206847.57916666701</v>
      </c>
      <c r="CS298" s="68">
        <v>206847.57916666701</v>
      </c>
      <c r="CT298" s="68">
        <v>206847.57916666701</v>
      </c>
      <c r="CU298" s="68">
        <v>206847.57916666701</v>
      </c>
      <c r="CV298" s="68">
        <v>206847.57916666701</v>
      </c>
      <c r="CW298" s="69">
        <v>206847.57916666701</v>
      </c>
      <c r="CX298" s="107">
        <v>287313.499166667</v>
      </c>
      <c r="CY298" s="108">
        <v>287313.499166667</v>
      </c>
      <c r="CZ298" s="108">
        <v>287313.499166667</v>
      </c>
      <c r="DA298" s="108">
        <v>287313.499166667</v>
      </c>
      <c r="DB298" s="108">
        <v>287313.499166667</v>
      </c>
      <c r="DC298" s="108">
        <v>287313.499166667</v>
      </c>
      <c r="DD298" s="108">
        <v>287313.499166667</v>
      </c>
      <c r="DE298" s="108">
        <v>287313.499166667</v>
      </c>
      <c r="DF298" s="108">
        <v>287313.499166667</v>
      </c>
      <c r="DG298" s="108">
        <v>287313.499166667</v>
      </c>
      <c r="DH298" s="108">
        <v>287313.499166667</v>
      </c>
      <c r="DI298" s="109">
        <v>287313.499166667</v>
      </c>
      <c r="DJ298" s="67">
        <v>244018.16500000001</v>
      </c>
      <c r="DK298" s="68">
        <v>244018.16500000001</v>
      </c>
      <c r="DL298" s="68">
        <v>244018.16500000001</v>
      </c>
      <c r="DM298" s="68">
        <v>244018.16500000001</v>
      </c>
      <c r="DN298" s="68">
        <v>244018.16500000001</v>
      </c>
      <c r="DO298" s="68">
        <v>244018.16500000001</v>
      </c>
      <c r="DP298" s="68">
        <v>244018.16500000001</v>
      </c>
      <c r="DQ298" s="68">
        <v>244018.16500000001</v>
      </c>
      <c r="DR298" s="68">
        <v>244018.16500000001</v>
      </c>
      <c r="DS298" s="68">
        <v>244018.16500000001</v>
      </c>
      <c r="DT298" s="68">
        <v>244018.16500000001</v>
      </c>
      <c r="DU298" s="69">
        <v>244018.16500000001</v>
      </c>
      <c r="DV298" s="83"/>
      <c r="DW298" s="83"/>
      <c r="DX298" s="83"/>
      <c r="DY298" s="83"/>
      <c r="DZ298" s="83"/>
      <c r="EA298" s="83"/>
      <c r="EB298" s="83"/>
      <c r="EC298" s="83"/>
      <c r="ED298" s="83"/>
      <c r="EE298" s="83"/>
      <c r="EF298" s="83"/>
      <c r="EG298" s="83"/>
      <c r="EH298" s="83"/>
      <c r="EI298" s="83"/>
      <c r="EJ298" s="83"/>
      <c r="EK298" s="83"/>
      <c r="EL298" s="83"/>
      <c r="EM298" s="83"/>
      <c r="EN298" s="83"/>
      <c r="EO298" s="83"/>
      <c r="EP298" s="83"/>
      <c r="EQ298" s="83"/>
      <c r="ER298" s="83"/>
      <c r="ES298" s="83"/>
      <c r="FR298" s="63"/>
      <c r="FS298" s="63"/>
      <c r="FT298" s="63"/>
      <c r="FU298" s="63"/>
      <c r="FV298" s="63"/>
      <c r="FW298" s="63"/>
      <c r="FX298" s="63"/>
      <c r="FY298" s="63"/>
      <c r="FZ298" s="63"/>
      <c r="GA298" s="63"/>
      <c r="GB298" s="63"/>
      <c r="GC298" s="63"/>
      <c r="GE298" s="102"/>
    </row>
    <row r="299" spans="1:187" s="2" customFormat="1">
      <c r="A299" s="71"/>
      <c r="B299" s="71"/>
      <c r="C299" s="71">
        <v>416</v>
      </c>
      <c r="D299" s="71" t="str">
        <f t="shared" si="67"/>
        <v>416p</v>
      </c>
      <c r="E299" s="72" t="s">
        <v>152</v>
      </c>
      <c r="F299" s="73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5"/>
      <c r="R299" s="73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5"/>
      <c r="AD299" s="73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5"/>
      <c r="AP299" s="73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5"/>
      <c r="BB299" s="73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5"/>
      <c r="BN299" s="73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5"/>
      <c r="BZ299" s="73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3">
        <f t="shared" ref="CL299:CX299" si="71">+SUM(CL300:CL301)</f>
        <v>5866967.2750000004</v>
      </c>
      <c r="CM299" s="74">
        <f t="shared" si="71"/>
        <v>5866967.2750000004</v>
      </c>
      <c r="CN299" s="74">
        <f t="shared" si="71"/>
        <v>5866967.2750000004</v>
      </c>
      <c r="CO299" s="74">
        <f t="shared" si="71"/>
        <v>5866967.2750000004</v>
      </c>
      <c r="CP299" s="74">
        <f t="shared" si="71"/>
        <v>5866967.2750000004</v>
      </c>
      <c r="CQ299" s="74">
        <f t="shared" si="71"/>
        <v>5866967.2750000004</v>
      </c>
      <c r="CR299" s="74">
        <f t="shared" si="71"/>
        <v>5866967.2750000004</v>
      </c>
      <c r="CS299" s="74">
        <f t="shared" si="71"/>
        <v>5866967.2750000004</v>
      </c>
      <c r="CT299" s="74">
        <f t="shared" si="71"/>
        <v>5866967.2750000004</v>
      </c>
      <c r="CU299" s="74">
        <f t="shared" si="71"/>
        <v>5866967.2750000004</v>
      </c>
      <c r="CV299" s="74">
        <f t="shared" si="71"/>
        <v>5866967.2750000004</v>
      </c>
      <c r="CW299" s="75">
        <f t="shared" si="71"/>
        <v>5866967.2750000004</v>
      </c>
      <c r="CX299" s="110">
        <f t="shared" si="71"/>
        <v>6297113.5108333305</v>
      </c>
      <c r="CY299" s="111">
        <f t="shared" ref="CY299:DJ299" si="72">+SUM(CY300:CY301)</f>
        <v>6297113.5108333305</v>
      </c>
      <c r="CZ299" s="111">
        <f t="shared" si="72"/>
        <v>6297113.5108333305</v>
      </c>
      <c r="DA299" s="111">
        <f t="shared" si="72"/>
        <v>6297113.5108333305</v>
      </c>
      <c r="DB299" s="111">
        <f t="shared" si="72"/>
        <v>6297113.5108333305</v>
      </c>
      <c r="DC299" s="111">
        <f t="shared" si="72"/>
        <v>6297113.5108333305</v>
      </c>
      <c r="DD299" s="111">
        <f t="shared" si="72"/>
        <v>6297113.5108333305</v>
      </c>
      <c r="DE299" s="111">
        <f t="shared" si="72"/>
        <v>6297113.5108333305</v>
      </c>
      <c r="DF299" s="111">
        <f t="shared" si="72"/>
        <v>6297113.5108333305</v>
      </c>
      <c r="DG299" s="111">
        <f t="shared" si="72"/>
        <v>6297113.5108333305</v>
      </c>
      <c r="DH299" s="111">
        <f t="shared" si="72"/>
        <v>6297113.5108333305</v>
      </c>
      <c r="DI299" s="112">
        <f t="shared" si="72"/>
        <v>6297113.5108333305</v>
      </c>
      <c r="DJ299" s="73">
        <f t="shared" si="72"/>
        <v>6313823.6641666703</v>
      </c>
      <c r="DK299" s="74">
        <f t="shared" ref="DK299:DU299" si="73">+SUM(DK300:DK301)</f>
        <v>6313823.6641666703</v>
      </c>
      <c r="DL299" s="74">
        <f t="shared" si="73"/>
        <v>6313823.6641666703</v>
      </c>
      <c r="DM299" s="74">
        <f t="shared" si="73"/>
        <v>6313823.6641666703</v>
      </c>
      <c r="DN299" s="74">
        <f t="shared" si="73"/>
        <v>6313823.6641666703</v>
      </c>
      <c r="DO299" s="74">
        <f t="shared" si="73"/>
        <v>6313823.6641666703</v>
      </c>
      <c r="DP299" s="74">
        <f t="shared" si="73"/>
        <v>6313823.6641666703</v>
      </c>
      <c r="DQ299" s="74">
        <f t="shared" si="73"/>
        <v>6313823.6641666703</v>
      </c>
      <c r="DR299" s="74">
        <f t="shared" si="73"/>
        <v>6313823.6641666703</v>
      </c>
      <c r="DS299" s="74">
        <f t="shared" si="73"/>
        <v>6313823.6641666703</v>
      </c>
      <c r="DT299" s="74">
        <f t="shared" si="73"/>
        <v>6313823.6641666703</v>
      </c>
      <c r="DU299" s="75">
        <f t="shared" si="73"/>
        <v>6313823.6641666703</v>
      </c>
      <c r="DV299" s="97">
        <v>6374029.6833333299</v>
      </c>
      <c r="DW299" s="97">
        <v>6374029.6833333299</v>
      </c>
      <c r="DX299" s="97">
        <v>6374029.6833333299</v>
      </c>
      <c r="DY299" s="97">
        <v>6374029.6833333299</v>
      </c>
      <c r="DZ299" s="97">
        <v>6374029.6833333299</v>
      </c>
      <c r="EA299" s="97">
        <v>6374029.6833333299</v>
      </c>
      <c r="EB299" s="97">
        <v>6374029.6833333299</v>
      </c>
      <c r="EC299" s="97">
        <v>6374029.6833333299</v>
      </c>
      <c r="ED299" s="97">
        <v>6374029.6833333299</v>
      </c>
      <c r="EE299" s="97">
        <v>6374029.6833333299</v>
      </c>
      <c r="EF299" s="97">
        <v>6374029.6833333299</v>
      </c>
      <c r="EG299" s="97">
        <v>6374029.6833333299</v>
      </c>
      <c r="EH299" s="97">
        <v>3333757.43</v>
      </c>
      <c r="EI299" s="97">
        <v>1096671.53</v>
      </c>
      <c r="EJ299" s="97">
        <v>36126290.18</v>
      </c>
      <c r="EK299" s="97">
        <v>21246911.27</v>
      </c>
      <c r="EL299" s="97">
        <v>16205436.859999999</v>
      </c>
      <c r="EM299" s="97">
        <v>2300084.98</v>
      </c>
      <c r="EN299" s="97">
        <v>5535297.3899999997</v>
      </c>
      <c r="EO299" s="97">
        <v>1275261.51</v>
      </c>
      <c r="EP299" s="97">
        <v>1875594.36</v>
      </c>
      <c r="EQ299" s="97">
        <v>394180.91</v>
      </c>
      <c r="ER299" s="97">
        <v>3829719.18</v>
      </c>
      <c r="ES299" s="97">
        <v>2144420.31</v>
      </c>
      <c r="ET299" s="106">
        <v>7122725</v>
      </c>
      <c r="EU299" s="106">
        <v>7122725</v>
      </c>
      <c r="EV299" s="106">
        <v>7122725</v>
      </c>
      <c r="EW299" s="106">
        <v>7122725</v>
      </c>
      <c r="EX299" s="106">
        <v>7122725</v>
      </c>
      <c r="EY299" s="106">
        <v>7122725</v>
      </c>
      <c r="EZ299" s="106">
        <v>7122725</v>
      </c>
      <c r="FA299" s="106">
        <v>7122725</v>
      </c>
      <c r="FB299" s="106">
        <v>7615225</v>
      </c>
      <c r="FC299" s="106">
        <v>7615225</v>
      </c>
      <c r="FD299" s="106">
        <v>7615225</v>
      </c>
      <c r="FE299" s="106">
        <v>7615225</v>
      </c>
      <c r="FF299" s="106">
        <v>7980725</v>
      </c>
      <c r="FG299" s="106">
        <v>986719.96000000101</v>
      </c>
      <c r="FH299" s="106">
        <v>28101499.100000001</v>
      </c>
      <c r="FI299" s="106">
        <v>18499732.100000001</v>
      </c>
      <c r="FJ299" s="106">
        <v>14045836.27</v>
      </c>
      <c r="FK299" s="106">
        <v>1973802.66</v>
      </c>
      <c r="FL299" s="106">
        <v>8764475.7899999991</v>
      </c>
      <c r="FM299" s="106">
        <v>1297206.1399999999</v>
      </c>
      <c r="FN299" s="106">
        <v>3140325.8</v>
      </c>
      <c r="FO299" s="106">
        <v>1321292.08</v>
      </c>
      <c r="FP299" s="106">
        <v>7803737.3300000001</v>
      </c>
      <c r="FQ299" s="106">
        <v>1837347.77</v>
      </c>
      <c r="FR299" s="106">
        <v>7654845.3899999997</v>
      </c>
      <c r="FS299" s="106">
        <v>1839801.88</v>
      </c>
      <c r="FT299" s="106">
        <v>27475960.399999999</v>
      </c>
      <c r="FU299" s="106">
        <v>22559197.739999998</v>
      </c>
      <c r="FV299" s="106">
        <v>1656916.58</v>
      </c>
      <c r="FW299" s="106">
        <v>5198232.47</v>
      </c>
      <c r="FX299" s="106">
        <v>7583026.2800000003</v>
      </c>
      <c r="FY299" s="106">
        <v>786949.86</v>
      </c>
      <c r="FZ299" s="106">
        <v>2190986</v>
      </c>
      <c r="GA299" s="106">
        <v>17371477.57</v>
      </c>
      <c r="GB299" s="106">
        <v>3971191.03</v>
      </c>
      <c r="GC299" s="106">
        <v>5055431.2400000095</v>
      </c>
      <c r="GE299" s="101">
        <f>SUM(FR299:GC299)</f>
        <v>103344016.44</v>
      </c>
    </row>
    <row r="300" spans="1:187">
      <c r="D300" s="59" t="str">
        <f t="shared" si="67"/>
        <v>4161p</v>
      </c>
      <c r="E300" s="60" t="s">
        <v>405</v>
      </c>
      <c r="F300" s="67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9"/>
      <c r="R300" s="67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9"/>
      <c r="AD300" s="67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9"/>
      <c r="AP300" s="67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9"/>
      <c r="BB300" s="67"/>
      <c r="BC300" s="68"/>
      <c r="BD300" s="68"/>
      <c r="BE300" s="68"/>
      <c r="BF300" s="68"/>
      <c r="BG300" s="68"/>
      <c r="BH300" s="68"/>
      <c r="BI300" s="68"/>
      <c r="BJ300" s="68"/>
      <c r="BK300" s="68"/>
      <c r="BL300" s="68"/>
      <c r="BM300" s="69"/>
      <c r="BN300" s="67"/>
      <c r="BO300" s="68"/>
      <c r="BP300" s="68"/>
      <c r="BQ300" s="68"/>
      <c r="BR300" s="68"/>
      <c r="BS300" s="68"/>
      <c r="BT300" s="68"/>
      <c r="BU300" s="68"/>
      <c r="BV300" s="68"/>
      <c r="BW300" s="68"/>
      <c r="BX300" s="68"/>
      <c r="BY300" s="69"/>
      <c r="BZ300" s="67"/>
      <c r="CA300" s="68"/>
      <c r="CB300" s="68"/>
      <c r="CC300" s="68"/>
      <c r="CD300" s="68"/>
      <c r="CE300" s="68"/>
      <c r="CF300" s="68"/>
      <c r="CG300" s="68"/>
      <c r="CH300" s="68"/>
      <c r="CI300" s="68"/>
      <c r="CJ300" s="68"/>
      <c r="CK300" s="68"/>
      <c r="CL300" s="67">
        <v>498500</v>
      </c>
      <c r="CM300" s="68">
        <v>498500</v>
      </c>
      <c r="CN300" s="68">
        <v>498500</v>
      </c>
      <c r="CO300" s="68">
        <v>498500</v>
      </c>
      <c r="CP300" s="68">
        <v>498500</v>
      </c>
      <c r="CQ300" s="68">
        <v>498500</v>
      </c>
      <c r="CR300" s="68">
        <v>498500</v>
      </c>
      <c r="CS300" s="68">
        <v>498500</v>
      </c>
      <c r="CT300" s="68">
        <v>498500</v>
      </c>
      <c r="CU300" s="68">
        <v>498500</v>
      </c>
      <c r="CV300" s="68">
        <v>498500</v>
      </c>
      <c r="CW300" s="69">
        <v>498500</v>
      </c>
      <c r="CX300" s="107">
        <v>817754.84511759295</v>
      </c>
      <c r="CY300" s="108">
        <v>817754.84511759295</v>
      </c>
      <c r="CZ300" s="108">
        <v>817754.84511759295</v>
      </c>
      <c r="DA300" s="108">
        <v>817754.84511759295</v>
      </c>
      <c r="DB300" s="108">
        <v>817754.84511759295</v>
      </c>
      <c r="DC300" s="108">
        <v>817754.84511759295</v>
      </c>
      <c r="DD300" s="108">
        <v>817754.84511759295</v>
      </c>
      <c r="DE300" s="108">
        <v>817754.84511759295</v>
      </c>
      <c r="DF300" s="108">
        <v>817754.84511759295</v>
      </c>
      <c r="DG300" s="108">
        <v>817754.84511759295</v>
      </c>
      <c r="DH300" s="108">
        <v>817754.84511759295</v>
      </c>
      <c r="DI300" s="109">
        <v>817754.84511759295</v>
      </c>
      <c r="DJ300" s="67">
        <v>565782.07083333295</v>
      </c>
      <c r="DK300" s="68">
        <v>565782.07083333295</v>
      </c>
      <c r="DL300" s="68">
        <v>565782.07083333295</v>
      </c>
      <c r="DM300" s="68">
        <v>565782.07083333295</v>
      </c>
      <c r="DN300" s="68">
        <v>565782.07083333295</v>
      </c>
      <c r="DO300" s="68">
        <v>565782.07083333295</v>
      </c>
      <c r="DP300" s="68">
        <v>565782.07083333295</v>
      </c>
      <c r="DQ300" s="68">
        <v>565782.07083333295</v>
      </c>
      <c r="DR300" s="68">
        <v>565782.07083333295</v>
      </c>
      <c r="DS300" s="68">
        <v>565782.07083333295</v>
      </c>
      <c r="DT300" s="68">
        <v>565782.07083333295</v>
      </c>
      <c r="DU300" s="69">
        <v>565782.07083333295</v>
      </c>
      <c r="DV300" s="83"/>
      <c r="DW300" s="83"/>
      <c r="DX300" s="83"/>
      <c r="DY300" s="83"/>
      <c r="DZ300" s="83"/>
      <c r="EA300" s="83"/>
      <c r="EB300" s="83"/>
      <c r="EC300" s="83"/>
      <c r="ED300" s="83"/>
      <c r="EE300" s="83"/>
      <c r="EF300" s="83"/>
      <c r="EG300" s="83"/>
      <c r="EH300" s="83"/>
      <c r="EI300" s="83"/>
      <c r="EJ300" s="83"/>
      <c r="EK300" s="83"/>
      <c r="EL300" s="83"/>
      <c r="EM300" s="83"/>
      <c r="EN300" s="83"/>
      <c r="EO300" s="83"/>
      <c r="EP300" s="83"/>
      <c r="EQ300" s="83"/>
      <c r="ER300" s="83"/>
      <c r="ES300" s="83"/>
      <c r="FR300" s="63"/>
      <c r="FS300" s="63"/>
      <c r="FT300" s="63"/>
      <c r="FU300" s="63"/>
      <c r="FV300" s="63"/>
      <c r="FW300" s="63"/>
      <c r="FX300" s="63"/>
      <c r="FY300" s="63"/>
      <c r="FZ300" s="63"/>
      <c r="GA300" s="63"/>
      <c r="GB300" s="63"/>
      <c r="GC300" s="63"/>
      <c r="GE300" s="102"/>
    </row>
    <row r="301" spans="1:187">
      <c r="D301" s="59" t="str">
        <f t="shared" si="67"/>
        <v>4162p</v>
      </c>
      <c r="E301" s="60" t="s">
        <v>406</v>
      </c>
      <c r="F301" s="67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9"/>
      <c r="R301" s="67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9"/>
      <c r="AD301" s="67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9"/>
      <c r="AP301" s="67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9"/>
      <c r="BB301" s="67"/>
      <c r="BC301" s="68"/>
      <c r="BD301" s="68"/>
      <c r="BE301" s="68"/>
      <c r="BF301" s="68"/>
      <c r="BG301" s="68"/>
      <c r="BH301" s="68"/>
      <c r="BI301" s="68"/>
      <c r="BJ301" s="68"/>
      <c r="BK301" s="68"/>
      <c r="BL301" s="68"/>
      <c r="BM301" s="69"/>
      <c r="BN301" s="67"/>
      <c r="BO301" s="68"/>
      <c r="BP301" s="68"/>
      <c r="BQ301" s="68"/>
      <c r="BR301" s="68"/>
      <c r="BS301" s="68"/>
      <c r="BT301" s="68"/>
      <c r="BU301" s="68"/>
      <c r="BV301" s="68"/>
      <c r="BW301" s="68"/>
      <c r="BX301" s="68"/>
      <c r="BY301" s="69"/>
      <c r="BZ301" s="67"/>
      <c r="CA301" s="68"/>
      <c r="CB301" s="68"/>
      <c r="CC301" s="68"/>
      <c r="CD301" s="68"/>
      <c r="CE301" s="68"/>
      <c r="CF301" s="68"/>
      <c r="CG301" s="68"/>
      <c r="CH301" s="68"/>
      <c r="CI301" s="68"/>
      <c r="CJ301" s="68"/>
      <c r="CK301" s="68"/>
      <c r="CL301" s="67">
        <v>5368467.2750000004</v>
      </c>
      <c r="CM301" s="68">
        <v>5368467.2750000004</v>
      </c>
      <c r="CN301" s="68">
        <v>5368467.2750000004</v>
      </c>
      <c r="CO301" s="68">
        <v>5368467.2750000004</v>
      </c>
      <c r="CP301" s="68">
        <v>5368467.2750000004</v>
      </c>
      <c r="CQ301" s="68">
        <v>5368467.2750000004</v>
      </c>
      <c r="CR301" s="68">
        <v>5368467.2750000004</v>
      </c>
      <c r="CS301" s="68">
        <v>5368467.2750000004</v>
      </c>
      <c r="CT301" s="68">
        <v>5368467.2750000004</v>
      </c>
      <c r="CU301" s="68">
        <v>5368467.2750000004</v>
      </c>
      <c r="CV301" s="68">
        <v>5368467.2750000004</v>
      </c>
      <c r="CW301" s="69">
        <v>5368467.2750000004</v>
      </c>
      <c r="CX301" s="107">
        <v>5479358.6657157401</v>
      </c>
      <c r="CY301" s="108">
        <v>5479358.6657157401</v>
      </c>
      <c r="CZ301" s="108">
        <v>5479358.6657157401</v>
      </c>
      <c r="DA301" s="108">
        <v>5479358.6657157401</v>
      </c>
      <c r="DB301" s="108">
        <v>5479358.6657157401</v>
      </c>
      <c r="DC301" s="108">
        <v>5479358.6657157401</v>
      </c>
      <c r="DD301" s="108">
        <v>5479358.6657157401</v>
      </c>
      <c r="DE301" s="108">
        <v>5479358.6657157401</v>
      </c>
      <c r="DF301" s="108">
        <v>5479358.6657157401</v>
      </c>
      <c r="DG301" s="108">
        <v>5479358.6657157401</v>
      </c>
      <c r="DH301" s="108">
        <v>5479358.6657157401</v>
      </c>
      <c r="DI301" s="109">
        <v>5479358.6657157401</v>
      </c>
      <c r="DJ301" s="67">
        <v>5748041.59333333</v>
      </c>
      <c r="DK301" s="68">
        <v>5748041.59333333</v>
      </c>
      <c r="DL301" s="68">
        <v>5748041.59333333</v>
      </c>
      <c r="DM301" s="68">
        <v>5748041.59333333</v>
      </c>
      <c r="DN301" s="68">
        <v>5748041.59333333</v>
      </c>
      <c r="DO301" s="68">
        <v>5748041.59333333</v>
      </c>
      <c r="DP301" s="68">
        <v>5748041.59333333</v>
      </c>
      <c r="DQ301" s="68">
        <v>5748041.59333333</v>
      </c>
      <c r="DR301" s="68">
        <v>5748041.59333333</v>
      </c>
      <c r="DS301" s="68">
        <v>5748041.59333333</v>
      </c>
      <c r="DT301" s="68">
        <v>5748041.59333333</v>
      </c>
      <c r="DU301" s="69">
        <v>5748041.59333333</v>
      </c>
      <c r="DV301" s="83"/>
      <c r="DW301" s="83"/>
      <c r="DX301" s="83"/>
      <c r="DY301" s="83"/>
      <c r="DZ301" s="83"/>
      <c r="EA301" s="83"/>
      <c r="EB301" s="83"/>
      <c r="EC301" s="83"/>
      <c r="ED301" s="83"/>
      <c r="EE301" s="83"/>
      <c r="EF301" s="83"/>
      <c r="EG301" s="83"/>
      <c r="EH301" s="83"/>
      <c r="EI301" s="83"/>
      <c r="EJ301" s="83"/>
      <c r="EK301" s="83"/>
      <c r="EL301" s="83"/>
      <c r="EM301" s="83"/>
      <c r="EN301" s="83"/>
      <c r="EO301" s="83"/>
      <c r="EP301" s="83"/>
      <c r="EQ301" s="83"/>
      <c r="ER301" s="83"/>
      <c r="ES301" s="83"/>
      <c r="FR301" s="63"/>
      <c r="FS301" s="63"/>
      <c r="FT301" s="63"/>
      <c r="FU301" s="63"/>
      <c r="FV301" s="63"/>
      <c r="FW301" s="63"/>
      <c r="FX301" s="63"/>
      <c r="FY301" s="63"/>
      <c r="FZ301" s="63"/>
      <c r="GA301" s="63"/>
      <c r="GB301" s="63"/>
      <c r="GC301" s="63"/>
      <c r="GE301" s="102"/>
    </row>
    <row r="302" spans="1:187" s="2" customFormat="1">
      <c r="A302" s="71"/>
      <c r="B302" s="71"/>
      <c r="C302" s="71">
        <v>417</v>
      </c>
      <c r="D302" s="71" t="str">
        <f t="shared" si="67"/>
        <v>417p</v>
      </c>
      <c r="E302" s="72" t="s">
        <v>153</v>
      </c>
      <c r="F302" s="73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5"/>
      <c r="R302" s="73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5"/>
      <c r="AD302" s="73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5"/>
      <c r="AP302" s="73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5"/>
      <c r="BB302" s="73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5"/>
      <c r="BN302" s="73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5"/>
      <c r="BZ302" s="73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3">
        <f t="shared" ref="CL302:CX302" si="74">+SUM(CL303:CL305)</f>
        <v>656311.61666666705</v>
      </c>
      <c r="CM302" s="74">
        <f t="shared" si="74"/>
        <v>656311.61666666705</v>
      </c>
      <c r="CN302" s="74">
        <f t="shared" si="74"/>
        <v>656311.61666666705</v>
      </c>
      <c r="CO302" s="74">
        <f t="shared" si="74"/>
        <v>656311.61666666705</v>
      </c>
      <c r="CP302" s="74">
        <f t="shared" si="74"/>
        <v>656311.61666666705</v>
      </c>
      <c r="CQ302" s="74">
        <f t="shared" si="74"/>
        <v>656311.61666666705</v>
      </c>
      <c r="CR302" s="74">
        <f t="shared" si="74"/>
        <v>656311.61666666705</v>
      </c>
      <c r="CS302" s="74">
        <f t="shared" si="74"/>
        <v>656311.61666666705</v>
      </c>
      <c r="CT302" s="74">
        <f t="shared" si="74"/>
        <v>656311.61666666705</v>
      </c>
      <c r="CU302" s="74">
        <f t="shared" si="74"/>
        <v>656311.61666666705</v>
      </c>
      <c r="CV302" s="74">
        <f t="shared" si="74"/>
        <v>656311.61666666705</v>
      </c>
      <c r="CW302" s="75">
        <f t="shared" si="74"/>
        <v>656311.61666666705</v>
      </c>
      <c r="CX302" s="110">
        <f t="shared" si="74"/>
        <v>678983.51166666695</v>
      </c>
      <c r="CY302" s="111">
        <f t="shared" ref="CY302:DJ302" si="75">+SUM(CY303:CY305)</f>
        <v>678983.51166666695</v>
      </c>
      <c r="CZ302" s="111">
        <f t="shared" si="75"/>
        <v>678983.51166666695</v>
      </c>
      <c r="DA302" s="111">
        <f t="shared" si="75"/>
        <v>678983.51166666695</v>
      </c>
      <c r="DB302" s="111">
        <f t="shared" si="75"/>
        <v>678983.51166666695</v>
      </c>
      <c r="DC302" s="111">
        <f t="shared" si="75"/>
        <v>678983.51166666695</v>
      </c>
      <c r="DD302" s="111">
        <f t="shared" si="75"/>
        <v>678983.51166666695</v>
      </c>
      <c r="DE302" s="111">
        <f t="shared" si="75"/>
        <v>678983.51166666695</v>
      </c>
      <c r="DF302" s="111">
        <f t="shared" si="75"/>
        <v>678983.51166666695</v>
      </c>
      <c r="DG302" s="111">
        <f t="shared" si="75"/>
        <v>678983.51166666695</v>
      </c>
      <c r="DH302" s="111">
        <f t="shared" si="75"/>
        <v>678983.51166666695</v>
      </c>
      <c r="DI302" s="112">
        <f t="shared" si="75"/>
        <v>678983.51166666695</v>
      </c>
      <c r="DJ302" s="73">
        <f t="shared" si="75"/>
        <v>693996.70750000002</v>
      </c>
      <c r="DK302" s="74">
        <f t="shared" ref="DK302:DU302" si="76">+SUM(DK303:DK305)</f>
        <v>693996.70750000002</v>
      </c>
      <c r="DL302" s="74">
        <f t="shared" si="76"/>
        <v>693996.70750000002</v>
      </c>
      <c r="DM302" s="74">
        <f t="shared" si="76"/>
        <v>693996.70750000002</v>
      </c>
      <c r="DN302" s="74">
        <f t="shared" si="76"/>
        <v>693996.70750000002</v>
      </c>
      <c r="DO302" s="74">
        <f t="shared" si="76"/>
        <v>693996.70750000002</v>
      </c>
      <c r="DP302" s="74">
        <f t="shared" si="76"/>
        <v>693996.70750000002</v>
      </c>
      <c r="DQ302" s="74">
        <f t="shared" si="76"/>
        <v>693996.70750000002</v>
      </c>
      <c r="DR302" s="74">
        <f t="shared" si="76"/>
        <v>693996.70750000002</v>
      </c>
      <c r="DS302" s="74">
        <f t="shared" si="76"/>
        <v>693996.70750000002</v>
      </c>
      <c r="DT302" s="74">
        <f t="shared" si="76"/>
        <v>693996.70750000002</v>
      </c>
      <c r="DU302" s="75">
        <f t="shared" si="76"/>
        <v>693996.70750000002</v>
      </c>
      <c r="DV302" s="97">
        <v>677038.21083333297</v>
      </c>
      <c r="DW302" s="97">
        <v>677038.21083333297</v>
      </c>
      <c r="DX302" s="97">
        <v>677038.21083333297</v>
      </c>
      <c r="DY302" s="97">
        <v>677038.21083333297</v>
      </c>
      <c r="DZ302" s="97">
        <v>677038.21083333297</v>
      </c>
      <c r="EA302" s="97">
        <v>677038.21083333297</v>
      </c>
      <c r="EB302" s="97">
        <v>677038.21083333297</v>
      </c>
      <c r="EC302" s="97">
        <v>677038.21083333297</v>
      </c>
      <c r="ED302" s="97">
        <v>677038.21083333297</v>
      </c>
      <c r="EE302" s="97">
        <v>677038.21083333297</v>
      </c>
      <c r="EF302" s="97">
        <v>677038.21083333297</v>
      </c>
      <c r="EG302" s="97">
        <v>677038.21083333297</v>
      </c>
      <c r="EH302" s="97">
        <v>776981.62666666706</v>
      </c>
      <c r="EI302" s="97">
        <v>776981.62666666706</v>
      </c>
      <c r="EJ302" s="97">
        <v>776981.62666666706</v>
      </c>
      <c r="EK302" s="97">
        <v>776981.62666666706</v>
      </c>
      <c r="EL302" s="97">
        <v>776981.62666666706</v>
      </c>
      <c r="EM302" s="97">
        <v>776981.62666666706</v>
      </c>
      <c r="EN302" s="97">
        <v>776981.62666666706</v>
      </c>
      <c r="EO302" s="97">
        <v>776981.62666666706</v>
      </c>
      <c r="EP302" s="97">
        <v>776981.62666666706</v>
      </c>
      <c r="EQ302" s="97">
        <v>776981.62666666706</v>
      </c>
      <c r="ER302" s="97">
        <v>776981.62666666706</v>
      </c>
      <c r="ES302" s="97">
        <v>776981.62666666706</v>
      </c>
      <c r="ET302" s="106">
        <v>800010.933333333</v>
      </c>
      <c r="EU302" s="106">
        <v>800010.933333333</v>
      </c>
      <c r="EV302" s="106">
        <v>800010.933333333</v>
      </c>
      <c r="EW302" s="106">
        <v>800010.933333333</v>
      </c>
      <c r="EX302" s="106">
        <v>800010.933333333</v>
      </c>
      <c r="EY302" s="106">
        <v>800010.933333333</v>
      </c>
      <c r="EZ302" s="106">
        <v>800010.933333333</v>
      </c>
      <c r="FA302" s="106">
        <v>800010.933333333</v>
      </c>
      <c r="FB302" s="106">
        <v>986109.29833333299</v>
      </c>
      <c r="FC302" s="106">
        <v>986109.29833333299</v>
      </c>
      <c r="FD302" s="106">
        <v>986109.29833333299</v>
      </c>
      <c r="FE302" s="106">
        <v>986109.29833333299</v>
      </c>
      <c r="FF302" s="106">
        <v>832820.39</v>
      </c>
      <c r="FG302" s="106">
        <v>780840.39</v>
      </c>
      <c r="FH302" s="106">
        <v>793807.47</v>
      </c>
      <c r="FI302" s="106">
        <v>776070.39</v>
      </c>
      <c r="FJ302" s="106">
        <v>793070.39</v>
      </c>
      <c r="FK302" s="106">
        <v>826070.39</v>
      </c>
      <c r="FL302" s="106">
        <v>846570.39</v>
      </c>
      <c r="FM302" s="106">
        <v>846570.39</v>
      </c>
      <c r="FN302" s="106">
        <v>826570.39</v>
      </c>
      <c r="FO302" s="106">
        <v>826570.39</v>
      </c>
      <c r="FP302" s="106">
        <v>826570.39</v>
      </c>
      <c r="FQ302" s="106">
        <v>845570.39</v>
      </c>
      <c r="FR302" s="106">
        <v>616777.93000000005</v>
      </c>
      <c r="FS302" s="106">
        <v>930050.26</v>
      </c>
      <c r="FT302" s="106">
        <v>896586.65</v>
      </c>
      <c r="FU302" s="106">
        <v>972131.72</v>
      </c>
      <c r="FV302" s="106">
        <v>769427.2</v>
      </c>
      <c r="FW302" s="106">
        <v>991607.47714285704</v>
      </c>
      <c r="FX302" s="106">
        <v>991607.47714285704</v>
      </c>
      <c r="FY302" s="106">
        <v>991607.47714285704</v>
      </c>
      <c r="FZ302" s="106">
        <v>991607.47714285704</v>
      </c>
      <c r="GA302" s="106">
        <v>991607.47714285704</v>
      </c>
      <c r="GB302" s="106">
        <v>991607.47714285704</v>
      </c>
      <c r="GC302" s="106">
        <v>991620.63714285695</v>
      </c>
      <c r="GE302" s="101">
        <f>SUM(FR302:GC302)</f>
        <v>11126239.26</v>
      </c>
    </row>
    <row r="303" spans="1:187">
      <c r="D303" s="59" t="str">
        <f t="shared" si="67"/>
        <v>4171p</v>
      </c>
      <c r="E303" s="60" t="s">
        <v>407</v>
      </c>
      <c r="F303" s="67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9"/>
      <c r="R303" s="67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9"/>
      <c r="AD303" s="67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9"/>
      <c r="AP303" s="67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9"/>
      <c r="BB303" s="67"/>
      <c r="BC303" s="68"/>
      <c r="BD303" s="68"/>
      <c r="BE303" s="68"/>
      <c r="BF303" s="68"/>
      <c r="BG303" s="68"/>
      <c r="BH303" s="68"/>
      <c r="BI303" s="68"/>
      <c r="BJ303" s="68"/>
      <c r="BK303" s="68"/>
      <c r="BL303" s="68"/>
      <c r="BM303" s="69"/>
      <c r="BN303" s="67"/>
      <c r="BO303" s="68"/>
      <c r="BP303" s="68"/>
      <c r="BQ303" s="68"/>
      <c r="BR303" s="68"/>
      <c r="BS303" s="68"/>
      <c r="BT303" s="68"/>
      <c r="BU303" s="68"/>
      <c r="BV303" s="68"/>
      <c r="BW303" s="68"/>
      <c r="BX303" s="68"/>
      <c r="BY303" s="69"/>
      <c r="BZ303" s="67"/>
      <c r="CA303" s="68"/>
      <c r="CB303" s="68"/>
      <c r="CC303" s="68"/>
      <c r="CD303" s="68"/>
      <c r="CE303" s="68"/>
      <c r="CF303" s="68"/>
      <c r="CG303" s="68"/>
      <c r="CH303" s="68"/>
      <c r="CI303" s="68"/>
      <c r="CJ303" s="68"/>
      <c r="CK303" s="68"/>
      <c r="CL303" s="67">
        <v>643456.61</v>
      </c>
      <c r="CM303" s="68">
        <v>643456.61</v>
      </c>
      <c r="CN303" s="68">
        <v>643456.61</v>
      </c>
      <c r="CO303" s="68">
        <v>643456.61</v>
      </c>
      <c r="CP303" s="68">
        <v>643456.61</v>
      </c>
      <c r="CQ303" s="68">
        <v>643456.61</v>
      </c>
      <c r="CR303" s="68">
        <v>643456.61</v>
      </c>
      <c r="CS303" s="68">
        <v>643456.61</v>
      </c>
      <c r="CT303" s="68">
        <v>643456.61</v>
      </c>
      <c r="CU303" s="68">
        <v>643456.61</v>
      </c>
      <c r="CV303" s="68">
        <v>643456.61</v>
      </c>
      <c r="CW303" s="69">
        <v>643456.61</v>
      </c>
      <c r="CX303" s="107">
        <v>626458.00631098798</v>
      </c>
      <c r="CY303" s="108">
        <v>626458.00631098798</v>
      </c>
      <c r="CZ303" s="108">
        <v>626458.00631098798</v>
      </c>
      <c r="DA303" s="108">
        <v>626458.00631098798</v>
      </c>
      <c r="DB303" s="108">
        <v>626458.00631098798</v>
      </c>
      <c r="DC303" s="108">
        <v>626458.00631098798</v>
      </c>
      <c r="DD303" s="108">
        <v>626458.00631098798</v>
      </c>
      <c r="DE303" s="108">
        <v>626458.00631098798</v>
      </c>
      <c r="DF303" s="108">
        <v>626458.00631098798</v>
      </c>
      <c r="DG303" s="108">
        <v>626458.00631098798</v>
      </c>
      <c r="DH303" s="108">
        <v>626458.00631098798</v>
      </c>
      <c r="DI303" s="109">
        <v>626458.00631098798</v>
      </c>
      <c r="DJ303" s="67">
        <v>647268.374166667</v>
      </c>
      <c r="DK303" s="68">
        <v>647268.374166667</v>
      </c>
      <c r="DL303" s="68">
        <v>647268.374166667</v>
      </c>
      <c r="DM303" s="68">
        <v>647268.374166667</v>
      </c>
      <c r="DN303" s="68">
        <v>647268.374166667</v>
      </c>
      <c r="DO303" s="68">
        <v>647268.374166667</v>
      </c>
      <c r="DP303" s="68">
        <v>647268.374166667</v>
      </c>
      <c r="DQ303" s="68">
        <v>647268.374166667</v>
      </c>
      <c r="DR303" s="68">
        <v>647268.374166667</v>
      </c>
      <c r="DS303" s="68">
        <v>647268.374166667</v>
      </c>
      <c r="DT303" s="68">
        <v>647268.374166667</v>
      </c>
      <c r="DU303" s="69">
        <v>647268.374166667</v>
      </c>
      <c r="DV303" s="83"/>
      <c r="DW303" s="83"/>
      <c r="DX303" s="83"/>
      <c r="DY303" s="83"/>
      <c r="DZ303" s="83"/>
      <c r="EA303" s="83"/>
      <c r="EB303" s="83"/>
      <c r="EC303" s="83"/>
      <c r="ED303" s="83"/>
      <c r="EE303" s="83"/>
      <c r="EF303" s="83"/>
      <c r="EG303" s="83"/>
      <c r="EH303" s="83"/>
      <c r="EI303" s="61"/>
      <c r="EJ303" s="61"/>
      <c r="EK303" s="61"/>
      <c r="EL303" s="61"/>
      <c r="EM303" s="61"/>
      <c r="EN303" s="61"/>
      <c r="EO303" s="61"/>
      <c r="EP303" s="61"/>
      <c r="EQ303" s="61"/>
      <c r="ER303" s="61"/>
      <c r="ES303" s="61"/>
      <c r="FR303" s="63"/>
      <c r="FS303" s="63"/>
      <c r="FT303" s="63"/>
      <c r="FU303" s="63"/>
      <c r="FV303" s="63"/>
      <c r="FW303" s="63"/>
      <c r="FX303" s="63"/>
      <c r="FY303" s="63"/>
      <c r="FZ303" s="63"/>
      <c r="GA303" s="63"/>
      <c r="GB303" s="63"/>
      <c r="GC303" s="63"/>
      <c r="GE303" s="102"/>
    </row>
    <row r="304" spans="1:187">
      <c r="D304" s="59" t="str">
        <f t="shared" si="67"/>
        <v>4172p</v>
      </c>
      <c r="E304" s="60" t="s">
        <v>408</v>
      </c>
      <c r="F304" s="67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9"/>
      <c r="R304" s="67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9"/>
      <c r="AD304" s="67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9"/>
      <c r="AP304" s="67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9"/>
      <c r="BB304" s="67"/>
      <c r="BC304" s="68"/>
      <c r="BD304" s="68"/>
      <c r="BE304" s="68"/>
      <c r="BF304" s="68"/>
      <c r="BG304" s="68"/>
      <c r="BH304" s="68"/>
      <c r="BI304" s="68"/>
      <c r="BJ304" s="68"/>
      <c r="BK304" s="68"/>
      <c r="BL304" s="68"/>
      <c r="BM304" s="69"/>
      <c r="BN304" s="67"/>
      <c r="BO304" s="68"/>
      <c r="BP304" s="68"/>
      <c r="BQ304" s="68"/>
      <c r="BR304" s="68"/>
      <c r="BS304" s="68"/>
      <c r="BT304" s="68"/>
      <c r="BU304" s="68"/>
      <c r="BV304" s="68"/>
      <c r="BW304" s="68"/>
      <c r="BX304" s="68"/>
      <c r="BY304" s="69"/>
      <c r="BZ304" s="67"/>
      <c r="CA304" s="68"/>
      <c r="CB304" s="68"/>
      <c r="CC304" s="68"/>
      <c r="CD304" s="68"/>
      <c r="CE304" s="68"/>
      <c r="CF304" s="68"/>
      <c r="CG304" s="68"/>
      <c r="CH304" s="68"/>
      <c r="CI304" s="68"/>
      <c r="CJ304" s="68"/>
      <c r="CK304" s="68"/>
      <c r="CL304" s="67">
        <v>11805.006666666701</v>
      </c>
      <c r="CM304" s="68">
        <v>11805.006666666701</v>
      </c>
      <c r="CN304" s="68">
        <v>11805.006666666701</v>
      </c>
      <c r="CO304" s="68">
        <v>11805.006666666701</v>
      </c>
      <c r="CP304" s="68">
        <v>11805.006666666701</v>
      </c>
      <c r="CQ304" s="68">
        <v>11805.006666666701</v>
      </c>
      <c r="CR304" s="68">
        <v>11805.006666666701</v>
      </c>
      <c r="CS304" s="68">
        <v>11805.006666666701</v>
      </c>
      <c r="CT304" s="68">
        <v>11805.006666666701</v>
      </c>
      <c r="CU304" s="68">
        <v>11805.006666666701</v>
      </c>
      <c r="CV304" s="68">
        <v>11805.006666666701</v>
      </c>
      <c r="CW304" s="69">
        <v>11805.006666666701</v>
      </c>
      <c r="CX304" s="107">
        <v>51229.481959962599</v>
      </c>
      <c r="CY304" s="108">
        <v>51229.481959962599</v>
      </c>
      <c r="CZ304" s="108">
        <v>51229.481959962599</v>
      </c>
      <c r="DA304" s="108">
        <v>51229.481959962599</v>
      </c>
      <c r="DB304" s="108">
        <v>51229.481959962599</v>
      </c>
      <c r="DC304" s="108">
        <v>51229.481959962599</v>
      </c>
      <c r="DD304" s="108">
        <v>51229.481959962599</v>
      </c>
      <c r="DE304" s="108">
        <v>51229.481959962599</v>
      </c>
      <c r="DF304" s="108">
        <v>51229.481959962599</v>
      </c>
      <c r="DG304" s="108">
        <v>51229.481959962599</v>
      </c>
      <c r="DH304" s="108">
        <v>51229.481959962599</v>
      </c>
      <c r="DI304" s="109">
        <v>51229.481959962599</v>
      </c>
      <c r="DJ304" s="67">
        <v>45511.666666666701</v>
      </c>
      <c r="DK304" s="68">
        <v>45511.666666666701</v>
      </c>
      <c r="DL304" s="68">
        <v>45511.666666666701</v>
      </c>
      <c r="DM304" s="68">
        <v>45511.666666666701</v>
      </c>
      <c r="DN304" s="68">
        <v>45511.666666666701</v>
      </c>
      <c r="DO304" s="68">
        <v>45511.666666666701</v>
      </c>
      <c r="DP304" s="68">
        <v>45511.666666666701</v>
      </c>
      <c r="DQ304" s="68">
        <v>45511.666666666701</v>
      </c>
      <c r="DR304" s="68">
        <v>45511.666666666701</v>
      </c>
      <c r="DS304" s="68">
        <v>45511.666666666701</v>
      </c>
      <c r="DT304" s="68">
        <v>45511.666666666701</v>
      </c>
      <c r="DU304" s="69">
        <v>45511.666666666701</v>
      </c>
      <c r="DV304" s="83"/>
      <c r="DW304" s="83"/>
      <c r="DX304" s="83"/>
      <c r="DY304" s="83"/>
      <c r="DZ304" s="83"/>
      <c r="EA304" s="83"/>
      <c r="EB304" s="83"/>
      <c r="EC304" s="83"/>
      <c r="ED304" s="83"/>
      <c r="EE304" s="83"/>
      <c r="EF304" s="83"/>
      <c r="EG304" s="83"/>
      <c r="EH304" s="83"/>
      <c r="EI304" s="61"/>
      <c r="EJ304" s="61"/>
      <c r="EK304" s="61"/>
      <c r="EL304" s="61"/>
      <c r="EM304" s="61"/>
      <c r="EN304" s="61"/>
      <c r="EO304" s="61"/>
      <c r="EP304" s="61"/>
      <c r="EQ304" s="61"/>
      <c r="ER304" s="61"/>
      <c r="ES304" s="61"/>
      <c r="FR304" s="63"/>
      <c r="FS304" s="63"/>
      <c r="FT304" s="63"/>
      <c r="FU304" s="63"/>
      <c r="FV304" s="63"/>
      <c r="FW304" s="63"/>
      <c r="FX304" s="63"/>
      <c r="FY304" s="63"/>
      <c r="FZ304" s="63"/>
      <c r="GA304" s="63"/>
      <c r="GB304" s="63"/>
      <c r="GC304" s="63"/>
      <c r="GE304" s="102"/>
    </row>
    <row r="305" spans="1:187">
      <c r="D305" s="59" t="str">
        <f t="shared" si="67"/>
        <v>4173p</v>
      </c>
      <c r="E305" s="60" t="s">
        <v>409</v>
      </c>
      <c r="F305" s="67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9"/>
      <c r="R305" s="67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9"/>
      <c r="AD305" s="67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9"/>
      <c r="AP305" s="67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9"/>
      <c r="BB305" s="67"/>
      <c r="BC305" s="68"/>
      <c r="BD305" s="68"/>
      <c r="BE305" s="68"/>
      <c r="BF305" s="68"/>
      <c r="BG305" s="68"/>
      <c r="BH305" s="68"/>
      <c r="BI305" s="68"/>
      <c r="BJ305" s="68"/>
      <c r="BK305" s="68"/>
      <c r="BL305" s="68"/>
      <c r="BM305" s="69"/>
      <c r="BN305" s="67"/>
      <c r="BO305" s="68"/>
      <c r="BP305" s="68"/>
      <c r="BQ305" s="68"/>
      <c r="BR305" s="68"/>
      <c r="BS305" s="68"/>
      <c r="BT305" s="68"/>
      <c r="BU305" s="68"/>
      <c r="BV305" s="68"/>
      <c r="BW305" s="68"/>
      <c r="BX305" s="68"/>
      <c r="BY305" s="69"/>
      <c r="BZ305" s="67"/>
      <c r="CA305" s="68"/>
      <c r="CB305" s="68"/>
      <c r="CC305" s="68"/>
      <c r="CD305" s="68"/>
      <c r="CE305" s="68"/>
      <c r="CF305" s="68"/>
      <c r="CG305" s="68"/>
      <c r="CH305" s="68"/>
      <c r="CI305" s="68"/>
      <c r="CJ305" s="68"/>
      <c r="CK305" s="68"/>
      <c r="CL305" s="67">
        <v>1050</v>
      </c>
      <c r="CM305" s="68">
        <v>1050</v>
      </c>
      <c r="CN305" s="68">
        <v>1050</v>
      </c>
      <c r="CO305" s="68">
        <v>1050</v>
      </c>
      <c r="CP305" s="68">
        <v>1050</v>
      </c>
      <c r="CQ305" s="68">
        <v>1050</v>
      </c>
      <c r="CR305" s="68">
        <v>1050</v>
      </c>
      <c r="CS305" s="68">
        <v>1050</v>
      </c>
      <c r="CT305" s="68">
        <v>1050</v>
      </c>
      <c r="CU305" s="68">
        <v>1050</v>
      </c>
      <c r="CV305" s="68">
        <v>1050</v>
      </c>
      <c r="CW305" s="69">
        <v>1050</v>
      </c>
      <c r="CX305" s="107">
        <v>1296.02339571627</v>
      </c>
      <c r="CY305" s="108">
        <v>1296.02339571627</v>
      </c>
      <c r="CZ305" s="108">
        <v>1296.02339571627</v>
      </c>
      <c r="DA305" s="108">
        <v>1296.02339571627</v>
      </c>
      <c r="DB305" s="108">
        <v>1296.02339571627</v>
      </c>
      <c r="DC305" s="108">
        <v>1296.02339571627</v>
      </c>
      <c r="DD305" s="108">
        <v>1296.02339571627</v>
      </c>
      <c r="DE305" s="108">
        <v>1296.02339571627</v>
      </c>
      <c r="DF305" s="108">
        <v>1296.02339571627</v>
      </c>
      <c r="DG305" s="108">
        <v>1296.02339571627</v>
      </c>
      <c r="DH305" s="108">
        <v>1296.02339571627</v>
      </c>
      <c r="DI305" s="109">
        <v>1296.02339571627</v>
      </c>
      <c r="DJ305" s="67">
        <v>1216.6666666666699</v>
      </c>
      <c r="DK305" s="68">
        <v>1216.6666666666699</v>
      </c>
      <c r="DL305" s="68">
        <v>1216.6666666666699</v>
      </c>
      <c r="DM305" s="68">
        <v>1216.6666666666699</v>
      </c>
      <c r="DN305" s="68">
        <v>1216.6666666666699</v>
      </c>
      <c r="DO305" s="68">
        <v>1216.6666666666699</v>
      </c>
      <c r="DP305" s="68">
        <v>1216.6666666666699</v>
      </c>
      <c r="DQ305" s="68">
        <v>1216.6666666666699</v>
      </c>
      <c r="DR305" s="68">
        <v>1216.6666666666699</v>
      </c>
      <c r="DS305" s="68">
        <v>1216.6666666666699</v>
      </c>
      <c r="DT305" s="68">
        <v>1216.6666666666699</v>
      </c>
      <c r="DU305" s="69">
        <v>1216.6666666666699</v>
      </c>
      <c r="DV305" s="83"/>
      <c r="DW305" s="83"/>
      <c r="DX305" s="83"/>
      <c r="DY305" s="83"/>
      <c r="DZ305" s="83"/>
      <c r="EA305" s="83"/>
      <c r="EB305" s="83"/>
      <c r="EC305" s="83"/>
      <c r="ED305" s="83"/>
      <c r="EE305" s="83"/>
      <c r="EF305" s="83"/>
      <c r="EG305" s="83"/>
      <c r="EH305" s="83"/>
      <c r="EI305" s="61"/>
      <c r="EJ305" s="61"/>
      <c r="EK305" s="61"/>
      <c r="EL305" s="61"/>
      <c r="EM305" s="61"/>
      <c r="EN305" s="61"/>
      <c r="EO305" s="61"/>
      <c r="EP305" s="61"/>
      <c r="EQ305" s="61"/>
      <c r="ER305" s="61"/>
      <c r="ES305" s="61"/>
      <c r="FR305" s="63"/>
      <c r="FS305" s="63"/>
      <c r="FT305" s="63"/>
      <c r="FU305" s="63"/>
      <c r="FV305" s="63"/>
      <c r="FW305" s="63"/>
      <c r="FX305" s="63"/>
      <c r="FY305" s="63"/>
      <c r="FZ305" s="63"/>
      <c r="GA305" s="63"/>
      <c r="GB305" s="63"/>
      <c r="GC305" s="63"/>
      <c r="GE305" s="102"/>
    </row>
    <row r="306" spans="1:187" s="2" customFormat="1">
      <c r="A306" s="71"/>
      <c r="B306" s="71"/>
      <c r="C306" s="71">
        <v>418</v>
      </c>
      <c r="D306" s="71" t="str">
        <f t="shared" si="67"/>
        <v>418p</v>
      </c>
      <c r="E306" s="72" t="s">
        <v>154</v>
      </c>
      <c r="F306" s="73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5"/>
      <c r="R306" s="73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5"/>
      <c r="AD306" s="73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5"/>
      <c r="AP306" s="73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5"/>
      <c r="BB306" s="73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5"/>
      <c r="BN306" s="73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5"/>
      <c r="BZ306" s="73"/>
      <c r="CA306" s="74"/>
      <c r="CB306" s="74"/>
      <c r="CC306" s="74"/>
      <c r="CD306" s="74"/>
      <c r="CE306" s="74"/>
      <c r="CF306" s="74"/>
      <c r="CG306" s="74"/>
      <c r="CH306" s="74"/>
      <c r="CI306" s="74"/>
      <c r="CJ306" s="74"/>
      <c r="CK306" s="74"/>
      <c r="CL306" s="73">
        <f t="shared" ref="CL306:CX306" si="77">+SUM(CL307:CL309)</f>
        <v>1185833.33333333</v>
      </c>
      <c r="CM306" s="74">
        <f t="shared" si="77"/>
        <v>1185833.33333333</v>
      </c>
      <c r="CN306" s="74">
        <f t="shared" si="77"/>
        <v>1185833.33333333</v>
      </c>
      <c r="CO306" s="74">
        <f t="shared" si="77"/>
        <v>1185833.33333333</v>
      </c>
      <c r="CP306" s="74">
        <f t="shared" si="77"/>
        <v>1185833.33333333</v>
      </c>
      <c r="CQ306" s="74">
        <f t="shared" si="77"/>
        <v>1185833.33333333</v>
      </c>
      <c r="CR306" s="74">
        <f t="shared" si="77"/>
        <v>1185833.33333333</v>
      </c>
      <c r="CS306" s="74">
        <f t="shared" si="77"/>
        <v>1185833.33333333</v>
      </c>
      <c r="CT306" s="74">
        <f t="shared" si="77"/>
        <v>1185833.33333333</v>
      </c>
      <c r="CU306" s="74">
        <f t="shared" si="77"/>
        <v>1185833.33333333</v>
      </c>
      <c r="CV306" s="74">
        <f t="shared" si="77"/>
        <v>1185833.33333333</v>
      </c>
      <c r="CW306" s="75">
        <f t="shared" si="77"/>
        <v>1185833.33333333</v>
      </c>
      <c r="CX306" s="110">
        <f t="shared" si="77"/>
        <v>1572883.33333333</v>
      </c>
      <c r="CY306" s="111">
        <f t="shared" ref="CY306:DJ306" si="78">+SUM(CY307:CY309)</f>
        <v>1572883.33333333</v>
      </c>
      <c r="CZ306" s="111">
        <f t="shared" si="78"/>
        <v>1572883.33333333</v>
      </c>
      <c r="DA306" s="111">
        <f t="shared" si="78"/>
        <v>1572883.33333333</v>
      </c>
      <c r="DB306" s="111">
        <f t="shared" si="78"/>
        <v>1572883.33333333</v>
      </c>
      <c r="DC306" s="111">
        <f t="shared" si="78"/>
        <v>1572883.33333333</v>
      </c>
      <c r="DD306" s="111">
        <f t="shared" si="78"/>
        <v>1572883.33333333</v>
      </c>
      <c r="DE306" s="111">
        <f t="shared" si="78"/>
        <v>1572883.33333333</v>
      </c>
      <c r="DF306" s="111">
        <f t="shared" si="78"/>
        <v>1572883.33333333</v>
      </c>
      <c r="DG306" s="111">
        <f t="shared" si="78"/>
        <v>1572883.33333333</v>
      </c>
      <c r="DH306" s="111">
        <f t="shared" si="78"/>
        <v>1572883.33333333</v>
      </c>
      <c r="DI306" s="112">
        <f t="shared" si="78"/>
        <v>1572883.33333333</v>
      </c>
      <c r="DJ306" s="73">
        <f t="shared" si="78"/>
        <v>1770966.66666667</v>
      </c>
      <c r="DK306" s="74">
        <f t="shared" ref="DK306:DU306" si="79">+SUM(DK307:DK309)</f>
        <v>1770966.66666667</v>
      </c>
      <c r="DL306" s="74">
        <f t="shared" si="79"/>
        <v>1770966.66666667</v>
      </c>
      <c r="DM306" s="74">
        <f t="shared" si="79"/>
        <v>1770966.66666667</v>
      </c>
      <c r="DN306" s="74">
        <f t="shared" si="79"/>
        <v>1770966.66666667</v>
      </c>
      <c r="DO306" s="74">
        <f t="shared" si="79"/>
        <v>1770966.66666667</v>
      </c>
      <c r="DP306" s="74">
        <f t="shared" si="79"/>
        <v>1770966.66666667</v>
      </c>
      <c r="DQ306" s="74">
        <f t="shared" si="79"/>
        <v>1770966.66666667</v>
      </c>
      <c r="DR306" s="74">
        <f t="shared" si="79"/>
        <v>1770966.66666667</v>
      </c>
      <c r="DS306" s="74">
        <f t="shared" si="79"/>
        <v>1770966.66666667</v>
      </c>
      <c r="DT306" s="74">
        <f t="shared" si="79"/>
        <v>1770966.66666667</v>
      </c>
      <c r="DU306" s="75">
        <f t="shared" si="79"/>
        <v>1770966.66666667</v>
      </c>
      <c r="DV306" s="97">
        <v>1707816.66666667</v>
      </c>
      <c r="DW306" s="97">
        <v>1707816.66666667</v>
      </c>
      <c r="DX306" s="97">
        <v>1707816.66666667</v>
      </c>
      <c r="DY306" s="97">
        <v>1707816.66666667</v>
      </c>
      <c r="DZ306" s="97">
        <v>1707816.66666667</v>
      </c>
      <c r="EA306" s="97">
        <v>1707816.66666667</v>
      </c>
      <c r="EB306" s="97">
        <v>1707816.66666667</v>
      </c>
      <c r="EC306" s="97">
        <v>1707816.66666667</v>
      </c>
      <c r="ED306" s="97">
        <v>1707816.66666667</v>
      </c>
      <c r="EE306" s="97">
        <v>1707816.66666667</v>
      </c>
      <c r="EF306" s="97">
        <v>1707816.66666667</v>
      </c>
      <c r="EG306" s="97">
        <v>1707816.66666667</v>
      </c>
      <c r="EH306" s="97">
        <v>1661453.33</v>
      </c>
      <c r="EI306" s="97">
        <v>1661453.33</v>
      </c>
      <c r="EJ306" s="97">
        <v>1661453.33</v>
      </c>
      <c r="EK306" s="97">
        <v>1661453.33</v>
      </c>
      <c r="EL306" s="97">
        <v>1661453.33</v>
      </c>
      <c r="EM306" s="97">
        <v>1661453.33</v>
      </c>
      <c r="EN306" s="97">
        <v>2492180</v>
      </c>
      <c r="EO306" s="97">
        <v>2492180</v>
      </c>
      <c r="EP306" s="97">
        <v>2492180</v>
      </c>
      <c r="EQ306" s="97">
        <v>2492180</v>
      </c>
      <c r="ER306" s="97">
        <v>2492180</v>
      </c>
      <c r="ES306" s="97">
        <v>2492180</v>
      </c>
      <c r="ET306" s="106">
        <v>2250983.3333333302</v>
      </c>
      <c r="EU306" s="106">
        <v>2250983.3333333302</v>
      </c>
      <c r="EV306" s="106">
        <v>2250983.3333333302</v>
      </c>
      <c r="EW306" s="106">
        <v>2250983.3333333302</v>
      </c>
      <c r="EX306" s="106">
        <v>2250983.3333333302</v>
      </c>
      <c r="EY306" s="106">
        <v>2250983.3333333302</v>
      </c>
      <c r="EZ306" s="106">
        <v>2250983.3333333302</v>
      </c>
      <c r="FA306" s="106">
        <v>2250983.3333333302</v>
      </c>
      <c r="FB306" s="106">
        <v>2180983.3333333302</v>
      </c>
      <c r="FC306" s="106">
        <v>2180983.3333333302</v>
      </c>
      <c r="FD306" s="106">
        <v>2180983.3333333302</v>
      </c>
      <c r="FE306" s="106">
        <v>2180983.3333333302</v>
      </c>
      <c r="FF306" s="106">
        <v>2149037.4966666698</v>
      </c>
      <c r="FG306" s="106">
        <v>2320829.9566666698</v>
      </c>
      <c r="FH306" s="106">
        <v>4834564.4966666698</v>
      </c>
      <c r="FI306" s="106">
        <v>2443787.4966666698</v>
      </c>
      <c r="FJ306" s="106">
        <v>2190037.4966666698</v>
      </c>
      <c r="FK306" s="106">
        <v>1990037.4966666701</v>
      </c>
      <c r="FL306" s="106">
        <v>1956704.15666667</v>
      </c>
      <c r="FM306" s="106">
        <v>2253357.69666667</v>
      </c>
      <c r="FN306" s="106">
        <v>4447481.15666667</v>
      </c>
      <c r="FO306" s="106">
        <v>2156704.15666667</v>
      </c>
      <c r="FP306" s="106">
        <v>2056704.19666667</v>
      </c>
      <c r="FQ306" s="106">
        <v>2015354.19666667</v>
      </c>
      <c r="FR306" s="106">
        <v>186907.92</v>
      </c>
      <c r="FS306" s="106">
        <v>1211715.27</v>
      </c>
      <c r="FT306" s="106">
        <v>1425211.49</v>
      </c>
      <c r="FU306" s="106">
        <v>5065576.53</v>
      </c>
      <c r="FV306" s="106">
        <v>1512180.75</v>
      </c>
      <c r="FW306" s="106">
        <v>4240435.0014285697</v>
      </c>
      <c r="FX306" s="106">
        <v>4240435.0014285697</v>
      </c>
      <c r="FY306" s="106">
        <v>4240435.0014285697</v>
      </c>
      <c r="FZ306" s="106">
        <v>4240435.0014285697</v>
      </c>
      <c r="GA306" s="106">
        <v>4240435.0014285697</v>
      </c>
      <c r="GB306" s="106">
        <v>4240435.0014285697</v>
      </c>
      <c r="GC306" s="106">
        <v>4240435.0014285697</v>
      </c>
      <c r="GE306" s="101">
        <f>SUM(FR306:GC306)</f>
        <v>39084636.969999999</v>
      </c>
    </row>
    <row r="307" spans="1:187" ht="30">
      <c r="D307" s="59" t="str">
        <f t="shared" si="67"/>
        <v>4181p</v>
      </c>
      <c r="E307" s="60" t="s">
        <v>410</v>
      </c>
      <c r="F307" s="67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9"/>
      <c r="R307" s="67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9"/>
      <c r="AD307" s="67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9"/>
      <c r="AP307" s="67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9"/>
      <c r="BB307" s="67"/>
      <c r="BC307" s="68"/>
      <c r="BD307" s="68"/>
      <c r="BE307" s="68"/>
      <c r="BF307" s="68"/>
      <c r="BG307" s="68"/>
      <c r="BH307" s="68"/>
      <c r="BI307" s="68"/>
      <c r="BJ307" s="68"/>
      <c r="BK307" s="68"/>
      <c r="BL307" s="68"/>
      <c r="BM307" s="69"/>
      <c r="BN307" s="67"/>
      <c r="BO307" s="68"/>
      <c r="BP307" s="68"/>
      <c r="BQ307" s="68"/>
      <c r="BR307" s="68"/>
      <c r="BS307" s="68"/>
      <c r="BT307" s="68"/>
      <c r="BU307" s="68"/>
      <c r="BV307" s="68"/>
      <c r="BW307" s="68"/>
      <c r="BX307" s="68"/>
      <c r="BY307" s="69"/>
      <c r="BZ307" s="67"/>
      <c r="CA307" s="68"/>
      <c r="CB307" s="68"/>
      <c r="CC307" s="68"/>
      <c r="CD307" s="68"/>
      <c r="CE307" s="68"/>
      <c r="CF307" s="68"/>
      <c r="CG307" s="68"/>
      <c r="CH307" s="68"/>
      <c r="CI307" s="68"/>
      <c r="CJ307" s="68"/>
      <c r="CK307" s="68"/>
      <c r="CL307" s="67">
        <v>1185833.33333333</v>
      </c>
      <c r="CM307" s="68">
        <v>1185833.33333333</v>
      </c>
      <c r="CN307" s="68">
        <v>1185833.33333333</v>
      </c>
      <c r="CO307" s="68">
        <v>1185833.33333333</v>
      </c>
      <c r="CP307" s="68">
        <v>1185833.33333333</v>
      </c>
      <c r="CQ307" s="68">
        <v>1185833.33333333</v>
      </c>
      <c r="CR307" s="68">
        <v>1185833.33333333</v>
      </c>
      <c r="CS307" s="68">
        <v>1185833.33333333</v>
      </c>
      <c r="CT307" s="68">
        <v>1185833.33333333</v>
      </c>
      <c r="CU307" s="68">
        <v>1185833.33333333</v>
      </c>
      <c r="CV307" s="68">
        <v>1185833.33333333</v>
      </c>
      <c r="CW307" s="69">
        <v>1185833.33333333</v>
      </c>
      <c r="CX307" s="107">
        <v>1572883.33333333</v>
      </c>
      <c r="CY307" s="108">
        <v>1572883.33333333</v>
      </c>
      <c r="CZ307" s="108">
        <v>1572883.33333333</v>
      </c>
      <c r="DA307" s="108">
        <v>1572883.33333333</v>
      </c>
      <c r="DB307" s="108">
        <v>1572883.33333333</v>
      </c>
      <c r="DC307" s="108">
        <v>1572883.33333333</v>
      </c>
      <c r="DD307" s="108">
        <v>1572883.33333333</v>
      </c>
      <c r="DE307" s="108">
        <v>1572883.33333333</v>
      </c>
      <c r="DF307" s="108">
        <v>1572883.33333333</v>
      </c>
      <c r="DG307" s="108">
        <v>1572883.33333333</v>
      </c>
      <c r="DH307" s="108">
        <v>1572883.33333333</v>
      </c>
      <c r="DI307" s="109">
        <v>1572883.33333333</v>
      </c>
      <c r="DJ307" s="67">
        <v>1770966.66666667</v>
      </c>
      <c r="DK307" s="68">
        <v>1770966.66666667</v>
      </c>
      <c r="DL307" s="68">
        <v>1770966.66666667</v>
      </c>
      <c r="DM307" s="68">
        <v>1770966.66666667</v>
      </c>
      <c r="DN307" s="68">
        <v>1770966.66666667</v>
      </c>
      <c r="DO307" s="68">
        <v>1770966.66666667</v>
      </c>
      <c r="DP307" s="68">
        <v>1770966.66666667</v>
      </c>
      <c r="DQ307" s="68">
        <v>1770966.66666667</v>
      </c>
      <c r="DR307" s="68">
        <v>1770966.66666667</v>
      </c>
      <c r="DS307" s="68">
        <v>1770966.66666667</v>
      </c>
      <c r="DT307" s="68">
        <v>1770966.66666667</v>
      </c>
      <c r="DU307" s="69">
        <v>1770966.66666667</v>
      </c>
      <c r="DV307" s="83"/>
      <c r="DW307" s="83"/>
      <c r="DX307" s="83"/>
      <c r="DY307" s="83"/>
      <c r="DZ307" s="83"/>
      <c r="EA307" s="83"/>
      <c r="EB307" s="83"/>
      <c r="EC307" s="83"/>
      <c r="ED307" s="83"/>
      <c r="EE307" s="83"/>
      <c r="EF307" s="83"/>
      <c r="EG307" s="83"/>
      <c r="EH307" s="83"/>
      <c r="EI307" s="61"/>
      <c r="EJ307" s="61"/>
      <c r="EK307" s="61"/>
      <c r="EL307" s="61"/>
      <c r="EM307" s="61"/>
      <c r="EN307" s="61"/>
      <c r="EO307" s="61"/>
      <c r="EP307" s="61"/>
      <c r="EQ307" s="61"/>
      <c r="ER307" s="61"/>
      <c r="ES307" s="61"/>
      <c r="FR307" s="63"/>
      <c r="FS307" s="63"/>
      <c r="FT307" s="63"/>
      <c r="FU307" s="63"/>
      <c r="FV307" s="63"/>
      <c r="FW307" s="63"/>
      <c r="FX307" s="63"/>
      <c r="FY307" s="63"/>
      <c r="FZ307" s="63"/>
      <c r="GA307" s="63"/>
      <c r="GB307" s="63"/>
      <c r="GC307" s="63"/>
      <c r="GE307" s="102"/>
    </row>
    <row r="308" spans="1:187">
      <c r="D308" s="59" t="str">
        <f t="shared" si="67"/>
        <v>4182p</v>
      </c>
      <c r="E308" s="60" t="s">
        <v>411</v>
      </c>
      <c r="F308" s="67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9"/>
      <c r="R308" s="67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9"/>
      <c r="AD308" s="67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9"/>
      <c r="AP308" s="67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9"/>
      <c r="BB308" s="67"/>
      <c r="BC308" s="68"/>
      <c r="BD308" s="68"/>
      <c r="BE308" s="68"/>
      <c r="BF308" s="68"/>
      <c r="BG308" s="68"/>
      <c r="BH308" s="68"/>
      <c r="BI308" s="68"/>
      <c r="BJ308" s="68"/>
      <c r="BK308" s="68"/>
      <c r="BL308" s="68"/>
      <c r="BM308" s="69"/>
      <c r="BN308" s="67"/>
      <c r="BO308" s="68"/>
      <c r="BP308" s="68"/>
      <c r="BQ308" s="68"/>
      <c r="BR308" s="68"/>
      <c r="BS308" s="68"/>
      <c r="BT308" s="68"/>
      <c r="BU308" s="68"/>
      <c r="BV308" s="68"/>
      <c r="BW308" s="68"/>
      <c r="BX308" s="68"/>
      <c r="BY308" s="69"/>
      <c r="BZ308" s="67"/>
      <c r="CA308" s="68"/>
      <c r="CB308" s="68"/>
      <c r="CC308" s="68"/>
      <c r="CD308" s="68"/>
      <c r="CE308" s="68"/>
      <c r="CF308" s="68"/>
      <c r="CG308" s="68"/>
      <c r="CH308" s="68"/>
      <c r="CI308" s="68"/>
      <c r="CJ308" s="68"/>
      <c r="CK308" s="68"/>
      <c r="CL308" s="67"/>
      <c r="CM308" s="68"/>
      <c r="CN308" s="68"/>
      <c r="CO308" s="68"/>
      <c r="CP308" s="68"/>
      <c r="CQ308" s="68"/>
      <c r="CR308" s="68"/>
      <c r="CS308" s="68"/>
      <c r="CT308" s="68"/>
      <c r="CU308" s="68"/>
      <c r="CV308" s="68"/>
      <c r="CW308" s="69"/>
      <c r="CX308" s="107">
        <v>0</v>
      </c>
      <c r="CY308" s="108">
        <v>0</v>
      </c>
      <c r="CZ308" s="108">
        <v>0</v>
      </c>
      <c r="DA308" s="108">
        <v>0</v>
      </c>
      <c r="DB308" s="108">
        <v>0</v>
      </c>
      <c r="DC308" s="108">
        <v>0</v>
      </c>
      <c r="DD308" s="108">
        <v>0</v>
      </c>
      <c r="DE308" s="108">
        <v>0</v>
      </c>
      <c r="DF308" s="108">
        <v>0</v>
      </c>
      <c r="DG308" s="108">
        <v>0</v>
      </c>
      <c r="DH308" s="108">
        <v>0</v>
      </c>
      <c r="DI308" s="109">
        <v>0</v>
      </c>
      <c r="DJ308" s="67">
        <v>0</v>
      </c>
      <c r="DK308" s="68">
        <v>0</v>
      </c>
      <c r="DL308" s="68">
        <v>0</v>
      </c>
      <c r="DM308" s="68">
        <v>0</v>
      </c>
      <c r="DN308" s="68">
        <v>0</v>
      </c>
      <c r="DO308" s="68">
        <v>0</v>
      </c>
      <c r="DP308" s="68">
        <v>0</v>
      </c>
      <c r="DQ308" s="68">
        <v>0</v>
      </c>
      <c r="DR308" s="68">
        <v>0</v>
      </c>
      <c r="DS308" s="68">
        <v>0</v>
      </c>
      <c r="DT308" s="68">
        <v>0</v>
      </c>
      <c r="DU308" s="69">
        <v>0</v>
      </c>
      <c r="DV308" s="83"/>
      <c r="DW308" s="83"/>
      <c r="DX308" s="83"/>
      <c r="DY308" s="83"/>
      <c r="DZ308" s="83"/>
      <c r="EA308" s="83"/>
      <c r="EB308" s="83"/>
      <c r="EC308" s="83"/>
      <c r="ED308" s="83"/>
      <c r="EE308" s="83"/>
      <c r="EF308" s="83"/>
      <c r="EG308" s="83"/>
      <c r="EH308" s="83"/>
      <c r="EI308" s="61"/>
      <c r="EJ308" s="61"/>
      <c r="EK308" s="61"/>
      <c r="EL308" s="61"/>
      <c r="EM308" s="61"/>
      <c r="EN308" s="61"/>
      <c r="EO308" s="61"/>
      <c r="EP308" s="61"/>
      <c r="EQ308" s="61"/>
      <c r="ER308" s="61"/>
      <c r="ES308" s="61"/>
      <c r="FR308" s="63"/>
      <c r="FS308" s="63"/>
      <c r="FT308" s="63"/>
      <c r="FU308" s="63"/>
      <c r="FV308" s="63"/>
      <c r="FW308" s="63"/>
      <c r="FX308" s="63"/>
      <c r="FY308" s="63"/>
      <c r="FZ308" s="63"/>
      <c r="GA308" s="63"/>
      <c r="GB308" s="63"/>
      <c r="GC308" s="63"/>
      <c r="GE308" s="102"/>
    </row>
    <row r="309" spans="1:187">
      <c r="D309" s="59" t="str">
        <f t="shared" si="67"/>
        <v>4183p</v>
      </c>
      <c r="E309" s="60" t="s">
        <v>412</v>
      </c>
      <c r="F309" s="67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9"/>
      <c r="R309" s="67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9"/>
      <c r="AD309" s="67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9"/>
      <c r="AP309" s="67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9"/>
      <c r="BB309" s="67"/>
      <c r="BC309" s="68"/>
      <c r="BD309" s="68"/>
      <c r="BE309" s="68"/>
      <c r="BF309" s="68"/>
      <c r="BG309" s="68"/>
      <c r="BH309" s="68"/>
      <c r="BI309" s="68"/>
      <c r="BJ309" s="68"/>
      <c r="BK309" s="68"/>
      <c r="BL309" s="68"/>
      <c r="BM309" s="69"/>
      <c r="BN309" s="67"/>
      <c r="BO309" s="68"/>
      <c r="BP309" s="68"/>
      <c r="BQ309" s="68"/>
      <c r="BR309" s="68"/>
      <c r="BS309" s="68"/>
      <c r="BT309" s="68"/>
      <c r="BU309" s="68"/>
      <c r="BV309" s="68"/>
      <c r="BW309" s="68"/>
      <c r="BX309" s="68"/>
      <c r="BY309" s="69"/>
      <c r="BZ309" s="67"/>
      <c r="CA309" s="68"/>
      <c r="CB309" s="68"/>
      <c r="CC309" s="68"/>
      <c r="CD309" s="68"/>
      <c r="CE309" s="68"/>
      <c r="CF309" s="68"/>
      <c r="CG309" s="68"/>
      <c r="CH309" s="68"/>
      <c r="CI309" s="68"/>
      <c r="CJ309" s="68"/>
      <c r="CK309" s="68"/>
      <c r="CL309" s="67"/>
      <c r="CM309" s="68"/>
      <c r="CN309" s="68"/>
      <c r="CO309" s="68"/>
      <c r="CP309" s="68"/>
      <c r="CQ309" s="68"/>
      <c r="CR309" s="68"/>
      <c r="CS309" s="68"/>
      <c r="CT309" s="68"/>
      <c r="CU309" s="68"/>
      <c r="CV309" s="68"/>
      <c r="CW309" s="69"/>
      <c r="CX309" s="107">
        <v>0</v>
      </c>
      <c r="CY309" s="108">
        <v>0</v>
      </c>
      <c r="CZ309" s="108">
        <v>0</v>
      </c>
      <c r="DA309" s="108">
        <v>0</v>
      </c>
      <c r="DB309" s="108">
        <v>0</v>
      </c>
      <c r="DC309" s="108">
        <v>0</v>
      </c>
      <c r="DD309" s="108">
        <v>0</v>
      </c>
      <c r="DE309" s="108">
        <v>0</v>
      </c>
      <c r="DF309" s="108">
        <v>0</v>
      </c>
      <c r="DG309" s="108">
        <v>0</v>
      </c>
      <c r="DH309" s="108">
        <v>0</v>
      </c>
      <c r="DI309" s="109">
        <v>0</v>
      </c>
      <c r="DJ309" s="67">
        <v>0</v>
      </c>
      <c r="DK309" s="68">
        <v>0</v>
      </c>
      <c r="DL309" s="68">
        <v>0</v>
      </c>
      <c r="DM309" s="68">
        <v>0</v>
      </c>
      <c r="DN309" s="68">
        <v>0</v>
      </c>
      <c r="DO309" s="68">
        <v>0</v>
      </c>
      <c r="DP309" s="68">
        <v>0</v>
      </c>
      <c r="DQ309" s="68">
        <v>0</v>
      </c>
      <c r="DR309" s="68">
        <v>0</v>
      </c>
      <c r="DS309" s="68">
        <v>0</v>
      </c>
      <c r="DT309" s="68">
        <v>0</v>
      </c>
      <c r="DU309" s="69">
        <v>0</v>
      </c>
      <c r="DV309" s="83"/>
      <c r="DW309" s="83"/>
      <c r="DX309" s="83"/>
      <c r="DY309" s="83"/>
      <c r="DZ309" s="83"/>
      <c r="EA309" s="83"/>
      <c r="EB309" s="83"/>
      <c r="EC309" s="83"/>
      <c r="ED309" s="83"/>
      <c r="EE309" s="83"/>
      <c r="EF309" s="83"/>
      <c r="EG309" s="83"/>
      <c r="EH309" s="83"/>
      <c r="EI309" s="61"/>
      <c r="EJ309" s="61"/>
      <c r="EK309" s="61"/>
      <c r="EL309" s="61"/>
      <c r="EM309" s="61"/>
      <c r="EN309" s="61"/>
      <c r="EO309" s="61"/>
      <c r="EP309" s="61"/>
      <c r="EQ309" s="61"/>
      <c r="ER309" s="61"/>
      <c r="ES309" s="61"/>
      <c r="FR309" s="63"/>
      <c r="FS309" s="63"/>
      <c r="FT309" s="63"/>
      <c r="FU309" s="63"/>
      <c r="FV309" s="63"/>
      <c r="FW309" s="63"/>
      <c r="FX309" s="63"/>
      <c r="FY309" s="63"/>
      <c r="FZ309" s="63"/>
      <c r="GA309" s="63"/>
      <c r="GB309" s="63"/>
      <c r="GC309" s="63"/>
      <c r="GE309" s="102"/>
    </row>
    <row r="310" spans="1:187" s="2" customFormat="1">
      <c r="A310" s="71"/>
      <c r="B310" s="71"/>
      <c r="C310" s="71">
        <v>419</v>
      </c>
      <c r="D310" s="71" t="str">
        <f t="shared" si="67"/>
        <v>419p</v>
      </c>
      <c r="E310" s="72" t="s">
        <v>155</v>
      </c>
      <c r="F310" s="73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5"/>
      <c r="R310" s="73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5"/>
      <c r="AD310" s="73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5"/>
      <c r="AP310" s="73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5"/>
      <c r="BB310" s="73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5"/>
      <c r="BN310" s="73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5"/>
      <c r="BZ310" s="73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3">
        <f t="shared" ref="CL310:CX310" si="80">+SUM(CL311:CL319)</f>
        <v>2119159.9008333301</v>
      </c>
      <c r="CM310" s="74">
        <f t="shared" si="80"/>
        <v>2119159.9008333301</v>
      </c>
      <c r="CN310" s="74">
        <f t="shared" si="80"/>
        <v>2119159.9008333301</v>
      </c>
      <c r="CO310" s="74">
        <f t="shared" si="80"/>
        <v>2119159.9008333301</v>
      </c>
      <c r="CP310" s="74">
        <f t="shared" si="80"/>
        <v>2119159.9008333301</v>
      </c>
      <c r="CQ310" s="74">
        <f t="shared" si="80"/>
        <v>2119159.9008333301</v>
      </c>
      <c r="CR310" s="74">
        <f t="shared" si="80"/>
        <v>2119159.9008333301</v>
      </c>
      <c r="CS310" s="74">
        <f t="shared" si="80"/>
        <v>2119159.9008333301</v>
      </c>
      <c r="CT310" s="74">
        <f t="shared" si="80"/>
        <v>2119159.9008333301</v>
      </c>
      <c r="CU310" s="74">
        <f t="shared" si="80"/>
        <v>2119159.9008333301</v>
      </c>
      <c r="CV310" s="74">
        <f t="shared" si="80"/>
        <v>2119159.9008333301</v>
      </c>
      <c r="CW310" s="75">
        <f t="shared" si="80"/>
        <v>2119159.9008333301</v>
      </c>
      <c r="CX310" s="110">
        <f t="shared" si="80"/>
        <v>2186482.9354613898</v>
      </c>
      <c r="CY310" s="111">
        <f t="shared" ref="CY310:DJ310" si="81">+SUM(CY311:CY319)</f>
        <v>2186482.9354613898</v>
      </c>
      <c r="CZ310" s="111">
        <f t="shared" si="81"/>
        <v>2186482.9354613898</v>
      </c>
      <c r="DA310" s="111">
        <f t="shared" si="81"/>
        <v>2186482.9354613898</v>
      </c>
      <c r="DB310" s="111">
        <f t="shared" si="81"/>
        <v>2186482.9354613898</v>
      </c>
      <c r="DC310" s="111">
        <f t="shared" si="81"/>
        <v>2186482.9354613898</v>
      </c>
      <c r="DD310" s="111">
        <f t="shared" si="81"/>
        <v>2186482.9354613898</v>
      </c>
      <c r="DE310" s="111">
        <f t="shared" si="81"/>
        <v>2186482.9354613898</v>
      </c>
      <c r="DF310" s="111">
        <f t="shared" si="81"/>
        <v>2186482.9354613898</v>
      </c>
      <c r="DG310" s="111">
        <f t="shared" si="81"/>
        <v>2186482.9354613898</v>
      </c>
      <c r="DH310" s="111">
        <f t="shared" si="81"/>
        <v>2186482.9354613898</v>
      </c>
      <c r="DI310" s="112">
        <f t="shared" si="81"/>
        <v>2186482.9354613898</v>
      </c>
      <c r="DJ310" s="73">
        <f t="shared" si="81"/>
        <v>2491662.81</v>
      </c>
      <c r="DK310" s="74">
        <f t="shared" ref="DK310:DU310" si="82">+SUM(DK311:DK319)</f>
        <v>2491662.81</v>
      </c>
      <c r="DL310" s="74">
        <f t="shared" si="82"/>
        <v>2491662.81</v>
      </c>
      <c r="DM310" s="74">
        <f t="shared" si="82"/>
        <v>2491662.81</v>
      </c>
      <c r="DN310" s="74">
        <f t="shared" si="82"/>
        <v>2491662.81</v>
      </c>
      <c r="DO310" s="74">
        <f t="shared" si="82"/>
        <v>2491662.81</v>
      </c>
      <c r="DP310" s="74">
        <f t="shared" si="82"/>
        <v>2491662.81</v>
      </c>
      <c r="DQ310" s="74">
        <f t="shared" si="82"/>
        <v>2491662.81</v>
      </c>
      <c r="DR310" s="74">
        <f t="shared" si="82"/>
        <v>2491662.81</v>
      </c>
      <c r="DS310" s="74">
        <f t="shared" si="82"/>
        <v>2491662.81</v>
      </c>
      <c r="DT310" s="74">
        <f t="shared" si="82"/>
        <v>2491662.81</v>
      </c>
      <c r="DU310" s="75">
        <f t="shared" si="82"/>
        <v>2491662.81</v>
      </c>
      <c r="DV310" s="97">
        <v>2775123.1733333301</v>
      </c>
      <c r="DW310" s="97">
        <v>2775123.1733333301</v>
      </c>
      <c r="DX310" s="97">
        <v>2775123.1733333301</v>
      </c>
      <c r="DY310" s="97">
        <v>2775123.1733333301</v>
      </c>
      <c r="DZ310" s="97">
        <v>2775123.1733333301</v>
      </c>
      <c r="EA310" s="97">
        <v>2775123.1733333301</v>
      </c>
      <c r="EB310" s="97">
        <v>2775123.1733333301</v>
      </c>
      <c r="EC310" s="97">
        <v>2775123.1733333301</v>
      </c>
      <c r="ED310" s="97">
        <v>2775123.1733333301</v>
      </c>
      <c r="EE310" s="97">
        <v>2775123.1733333301</v>
      </c>
      <c r="EF310" s="97">
        <v>2775123.1733333301</v>
      </c>
      <c r="EG310" s="97">
        <v>2775123.1733333301</v>
      </c>
      <c r="EH310" s="97">
        <v>2197329.84</v>
      </c>
      <c r="EI310" s="97">
        <v>2197329.84</v>
      </c>
      <c r="EJ310" s="97">
        <v>2197329.84</v>
      </c>
      <c r="EK310" s="97">
        <v>2197329.84</v>
      </c>
      <c r="EL310" s="97">
        <v>2197329.84</v>
      </c>
      <c r="EM310" s="97">
        <v>2197329.84</v>
      </c>
      <c r="EN310" s="97">
        <v>3295994.75</v>
      </c>
      <c r="EO310" s="97">
        <v>3295994.75</v>
      </c>
      <c r="EP310" s="97">
        <v>3295994.75</v>
      </c>
      <c r="EQ310" s="97">
        <v>3295994.75</v>
      </c>
      <c r="ER310" s="97">
        <v>3295994.75</v>
      </c>
      <c r="ES310" s="97">
        <v>3295994.75</v>
      </c>
      <c r="ET310" s="106">
        <v>2581823.9339999999</v>
      </c>
      <c r="EU310" s="106">
        <v>2581823.9339999999</v>
      </c>
      <c r="EV310" s="106">
        <v>2581823.9339999999</v>
      </c>
      <c r="EW310" s="106">
        <v>2696268.3784444402</v>
      </c>
      <c r="EX310" s="106">
        <v>2696268.3784444402</v>
      </c>
      <c r="EY310" s="106">
        <v>2696268.3784444402</v>
      </c>
      <c r="EZ310" s="106">
        <v>3987180.3454444502</v>
      </c>
      <c r="FA310" s="106">
        <v>3987180.3454444502</v>
      </c>
      <c r="FB310" s="106">
        <v>3877323.0754444399</v>
      </c>
      <c r="FC310" s="106">
        <v>3877323.0754444399</v>
      </c>
      <c r="FD310" s="106">
        <v>3877323.0754444399</v>
      </c>
      <c r="FE310" s="106">
        <v>3877323.0754444399</v>
      </c>
      <c r="FF310" s="106">
        <v>3473855.8708333299</v>
      </c>
      <c r="FG310" s="106">
        <v>4119817.7908333298</v>
      </c>
      <c r="FH310" s="106">
        <v>5047234.1108333301</v>
      </c>
      <c r="FI310" s="106">
        <v>3132271.9408333302</v>
      </c>
      <c r="FJ310" s="106">
        <v>3070265.2508333302</v>
      </c>
      <c r="FK310" s="106">
        <v>3309652.5608333298</v>
      </c>
      <c r="FL310" s="106">
        <v>4122049.5508333398</v>
      </c>
      <c r="FM310" s="106">
        <v>3027649.6708333301</v>
      </c>
      <c r="FN310" s="106">
        <v>2986649.6408333299</v>
      </c>
      <c r="FO310" s="106">
        <v>2977759.6208333299</v>
      </c>
      <c r="FP310" s="106">
        <v>3014504.6508333301</v>
      </c>
      <c r="FQ310" s="106">
        <v>2914612.74083333</v>
      </c>
      <c r="FR310" s="106">
        <v>1397051.29</v>
      </c>
      <c r="FS310" s="106">
        <v>3848578.53</v>
      </c>
      <c r="FT310" s="106">
        <v>3215082.08</v>
      </c>
      <c r="FU310" s="106">
        <v>3945513.03</v>
      </c>
      <c r="FV310" s="106">
        <v>3372954.89</v>
      </c>
      <c r="FW310" s="106">
        <v>6200000</v>
      </c>
      <c r="FX310" s="106">
        <v>4599715.6983333305</v>
      </c>
      <c r="FY310" s="106">
        <v>3679772.5586666702</v>
      </c>
      <c r="FZ310" s="106">
        <v>4599715.6983333305</v>
      </c>
      <c r="GA310" s="106">
        <v>4599715.6983333305</v>
      </c>
      <c r="GB310" s="106">
        <v>4599715.6983333305</v>
      </c>
      <c r="GC310" s="106">
        <v>5519658.8380000005</v>
      </c>
      <c r="GE310" s="101">
        <f>SUM(FR310:GC310)</f>
        <v>49577474.009999998</v>
      </c>
    </row>
    <row r="311" spans="1:187" ht="30">
      <c r="D311" s="59" t="str">
        <f t="shared" si="67"/>
        <v>4191p</v>
      </c>
      <c r="E311" s="60" t="s">
        <v>413</v>
      </c>
      <c r="F311" s="67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9"/>
      <c r="R311" s="67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9"/>
      <c r="AD311" s="67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9"/>
      <c r="AP311" s="67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9"/>
      <c r="BB311" s="67"/>
      <c r="BC311" s="68"/>
      <c r="BD311" s="68"/>
      <c r="BE311" s="68"/>
      <c r="BF311" s="68"/>
      <c r="BG311" s="68"/>
      <c r="BH311" s="68"/>
      <c r="BI311" s="68"/>
      <c r="BJ311" s="68"/>
      <c r="BK311" s="68"/>
      <c r="BL311" s="68"/>
      <c r="BM311" s="69"/>
      <c r="BN311" s="67"/>
      <c r="BO311" s="68"/>
      <c r="BP311" s="68"/>
      <c r="BQ311" s="68"/>
      <c r="BR311" s="68"/>
      <c r="BS311" s="68"/>
      <c r="BT311" s="68"/>
      <c r="BU311" s="68"/>
      <c r="BV311" s="68"/>
      <c r="BW311" s="68"/>
      <c r="BX311" s="68"/>
      <c r="BY311" s="69"/>
      <c r="BZ311" s="67"/>
      <c r="CA311" s="68"/>
      <c r="CB311" s="68"/>
      <c r="CC311" s="68"/>
      <c r="CD311" s="68"/>
      <c r="CE311" s="68"/>
      <c r="CF311" s="68"/>
      <c r="CG311" s="68"/>
      <c r="CH311" s="68"/>
      <c r="CI311" s="68"/>
      <c r="CJ311" s="68"/>
      <c r="CK311" s="68"/>
      <c r="CL311" s="67">
        <v>358791.42499999999</v>
      </c>
      <c r="CM311" s="68">
        <v>358791.42499999999</v>
      </c>
      <c r="CN311" s="68">
        <v>358791.42499999999</v>
      </c>
      <c r="CO311" s="68">
        <v>358791.42499999999</v>
      </c>
      <c r="CP311" s="68">
        <v>358791.42499999999</v>
      </c>
      <c r="CQ311" s="68">
        <v>358791.42499999999</v>
      </c>
      <c r="CR311" s="68">
        <v>358791.42499999999</v>
      </c>
      <c r="CS311" s="68">
        <v>358791.42499999999</v>
      </c>
      <c r="CT311" s="68">
        <v>358791.42499999999</v>
      </c>
      <c r="CU311" s="68">
        <v>358791.42499999999</v>
      </c>
      <c r="CV311" s="68">
        <v>358791.42499999999</v>
      </c>
      <c r="CW311" s="69">
        <v>358791.42499999999</v>
      </c>
      <c r="CX311" s="107">
        <v>338522.19022414403</v>
      </c>
      <c r="CY311" s="108">
        <v>338522.19022414403</v>
      </c>
      <c r="CZ311" s="108">
        <v>338522.19022414403</v>
      </c>
      <c r="DA311" s="108">
        <v>338522.19022414403</v>
      </c>
      <c r="DB311" s="108">
        <v>338522.19022414403</v>
      </c>
      <c r="DC311" s="108">
        <v>338522.19022414403</v>
      </c>
      <c r="DD311" s="108">
        <v>338522.19022414403</v>
      </c>
      <c r="DE311" s="108">
        <v>338522.19022414403</v>
      </c>
      <c r="DF311" s="108">
        <v>338522.19022414403</v>
      </c>
      <c r="DG311" s="108">
        <v>338522.19022414403</v>
      </c>
      <c r="DH311" s="108">
        <v>338522.19022414403</v>
      </c>
      <c r="DI311" s="109">
        <v>338522.19022414403</v>
      </c>
      <c r="DJ311" s="67">
        <v>366703.53749999998</v>
      </c>
      <c r="DK311" s="68">
        <v>366703.53749999998</v>
      </c>
      <c r="DL311" s="68">
        <v>366703.53749999998</v>
      </c>
      <c r="DM311" s="68">
        <v>366703.53749999998</v>
      </c>
      <c r="DN311" s="68">
        <v>366703.53749999998</v>
      </c>
      <c r="DO311" s="68">
        <v>366703.53749999998</v>
      </c>
      <c r="DP311" s="68">
        <v>366703.53749999998</v>
      </c>
      <c r="DQ311" s="68">
        <v>366703.53749999998</v>
      </c>
      <c r="DR311" s="68">
        <v>366703.53749999998</v>
      </c>
      <c r="DS311" s="68">
        <v>366703.53749999998</v>
      </c>
      <c r="DT311" s="68">
        <v>366703.53749999998</v>
      </c>
      <c r="DU311" s="69">
        <v>366703.53749999998</v>
      </c>
      <c r="DV311" s="83"/>
      <c r="DW311" s="83"/>
      <c r="DX311" s="83"/>
      <c r="DY311" s="83"/>
      <c r="DZ311" s="83"/>
      <c r="EA311" s="83"/>
      <c r="EB311" s="83"/>
      <c r="EC311" s="83"/>
      <c r="ED311" s="83"/>
      <c r="EE311" s="83"/>
      <c r="EF311" s="83"/>
      <c r="EG311" s="83"/>
      <c r="EH311" s="83"/>
      <c r="EI311" s="61"/>
      <c r="EJ311" s="61"/>
      <c r="EK311" s="61"/>
      <c r="EL311" s="61"/>
      <c r="EM311" s="61"/>
      <c r="EN311" s="61"/>
      <c r="EO311" s="61"/>
      <c r="EP311" s="61"/>
      <c r="EQ311" s="61"/>
      <c r="ER311" s="61"/>
      <c r="ES311" s="61"/>
      <c r="FR311" s="63"/>
      <c r="FS311" s="63"/>
      <c r="FT311" s="63"/>
      <c r="FU311" s="63"/>
      <c r="FV311" s="63"/>
      <c r="FW311" s="63"/>
      <c r="FX311" s="63"/>
      <c r="FY311" s="63"/>
      <c r="FZ311" s="63"/>
      <c r="GA311" s="63"/>
      <c r="GB311" s="63"/>
      <c r="GC311" s="63"/>
      <c r="GE311" s="102"/>
    </row>
    <row r="312" spans="1:187" ht="30">
      <c r="D312" s="59" t="str">
        <f t="shared" si="67"/>
        <v>4192p</v>
      </c>
      <c r="E312" s="60" t="s">
        <v>414</v>
      </c>
      <c r="F312" s="67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9"/>
      <c r="R312" s="67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9"/>
      <c r="AD312" s="67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9"/>
      <c r="AP312" s="67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9"/>
      <c r="BB312" s="67"/>
      <c r="BC312" s="68"/>
      <c r="BD312" s="68"/>
      <c r="BE312" s="68"/>
      <c r="BF312" s="68"/>
      <c r="BG312" s="68"/>
      <c r="BH312" s="68"/>
      <c r="BI312" s="68"/>
      <c r="BJ312" s="68"/>
      <c r="BK312" s="68"/>
      <c r="BL312" s="68"/>
      <c r="BM312" s="69"/>
      <c r="BN312" s="67"/>
      <c r="BO312" s="68"/>
      <c r="BP312" s="68"/>
      <c r="BQ312" s="68"/>
      <c r="BR312" s="68"/>
      <c r="BS312" s="68"/>
      <c r="BT312" s="68"/>
      <c r="BU312" s="68"/>
      <c r="BV312" s="68"/>
      <c r="BW312" s="68"/>
      <c r="BX312" s="68"/>
      <c r="BY312" s="69"/>
      <c r="BZ312" s="67"/>
      <c r="CA312" s="68"/>
      <c r="CB312" s="68"/>
      <c r="CC312" s="68"/>
      <c r="CD312" s="68"/>
      <c r="CE312" s="68"/>
      <c r="CF312" s="68"/>
      <c r="CG312" s="68"/>
      <c r="CH312" s="68"/>
      <c r="CI312" s="68"/>
      <c r="CJ312" s="68"/>
      <c r="CK312" s="68"/>
      <c r="CL312" s="67">
        <v>215284.995833333</v>
      </c>
      <c r="CM312" s="68">
        <v>215284.995833333</v>
      </c>
      <c r="CN312" s="68">
        <v>215284.995833333</v>
      </c>
      <c r="CO312" s="68">
        <v>215284.995833333</v>
      </c>
      <c r="CP312" s="68">
        <v>215284.995833333</v>
      </c>
      <c r="CQ312" s="68">
        <v>215284.995833333</v>
      </c>
      <c r="CR312" s="68">
        <v>215284.995833333</v>
      </c>
      <c r="CS312" s="68">
        <v>215284.995833333</v>
      </c>
      <c r="CT312" s="68">
        <v>215284.995833333</v>
      </c>
      <c r="CU312" s="68">
        <v>215284.995833333</v>
      </c>
      <c r="CV312" s="68">
        <v>215284.995833333</v>
      </c>
      <c r="CW312" s="69">
        <v>215284.995833333</v>
      </c>
      <c r="CX312" s="107">
        <v>198115.645511126</v>
      </c>
      <c r="CY312" s="108">
        <v>198115.645511126</v>
      </c>
      <c r="CZ312" s="108">
        <v>198115.645511126</v>
      </c>
      <c r="DA312" s="108">
        <v>198115.645511126</v>
      </c>
      <c r="DB312" s="108">
        <v>198115.645511126</v>
      </c>
      <c r="DC312" s="108">
        <v>198115.645511126</v>
      </c>
      <c r="DD312" s="108">
        <v>198115.645511126</v>
      </c>
      <c r="DE312" s="108">
        <v>198115.645511126</v>
      </c>
      <c r="DF312" s="108">
        <v>198115.645511126</v>
      </c>
      <c r="DG312" s="108">
        <v>198115.645511126</v>
      </c>
      <c r="DH312" s="108">
        <v>198115.645511126</v>
      </c>
      <c r="DI312" s="109">
        <v>198115.645511126</v>
      </c>
      <c r="DJ312" s="67">
        <v>112305.41666666701</v>
      </c>
      <c r="DK312" s="68">
        <v>112305.41666666701</v>
      </c>
      <c r="DL312" s="68">
        <v>112305.41666666701</v>
      </c>
      <c r="DM312" s="68">
        <v>112305.41666666701</v>
      </c>
      <c r="DN312" s="68">
        <v>112305.41666666701</v>
      </c>
      <c r="DO312" s="68">
        <v>112305.41666666701</v>
      </c>
      <c r="DP312" s="68">
        <v>112305.41666666701</v>
      </c>
      <c r="DQ312" s="68">
        <v>112305.41666666701</v>
      </c>
      <c r="DR312" s="68">
        <v>112305.41666666701</v>
      </c>
      <c r="DS312" s="68">
        <v>112305.41666666701</v>
      </c>
      <c r="DT312" s="68">
        <v>112305.41666666701</v>
      </c>
      <c r="DU312" s="69">
        <v>112305.41666666701</v>
      </c>
      <c r="DV312" s="83"/>
      <c r="DW312" s="83"/>
      <c r="DX312" s="83"/>
      <c r="DY312" s="83"/>
      <c r="DZ312" s="83"/>
      <c r="EA312" s="83"/>
      <c r="EB312" s="83"/>
      <c r="EC312" s="83"/>
      <c r="ED312" s="83"/>
      <c r="EE312" s="83"/>
      <c r="EF312" s="83"/>
      <c r="EG312" s="83"/>
      <c r="EH312" s="83"/>
      <c r="EI312" s="61"/>
      <c r="EJ312" s="61"/>
      <c r="EK312" s="61"/>
      <c r="EL312" s="61"/>
      <c r="EM312" s="61"/>
      <c r="EN312" s="61"/>
      <c r="EO312" s="61"/>
      <c r="EP312" s="61"/>
      <c r="EQ312" s="61"/>
      <c r="ER312" s="61"/>
      <c r="ES312" s="61"/>
      <c r="FR312" s="63"/>
      <c r="FS312" s="63"/>
      <c r="FT312" s="63"/>
      <c r="FU312" s="63"/>
      <c r="FV312" s="63"/>
      <c r="FW312" s="63"/>
      <c r="FX312" s="63"/>
      <c r="FY312" s="63"/>
      <c r="FZ312" s="63"/>
      <c r="GA312" s="63"/>
      <c r="GB312" s="63"/>
      <c r="GC312" s="63"/>
      <c r="GE312" s="102"/>
    </row>
    <row r="313" spans="1:187">
      <c r="D313" s="59" t="str">
        <f t="shared" si="67"/>
        <v>4193p</v>
      </c>
      <c r="E313" s="60" t="s">
        <v>415</v>
      </c>
      <c r="F313" s="67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9"/>
      <c r="R313" s="67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9"/>
      <c r="AD313" s="67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9"/>
      <c r="AP313" s="67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9"/>
      <c r="BB313" s="67"/>
      <c r="BC313" s="68"/>
      <c r="BD313" s="68"/>
      <c r="BE313" s="68"/>
      <c r="BF313" s="68"/>
      <c r="BG313" s="68"/>
      <c r="BH313" s="68"/>
      <c r="BI313" s="68"/>
      <c r="BJ313" s="68"/>
      <c r="BK313" s="68"/>
      <c r="BL313" s="68"/>
      <c r="BM313" s="69"/>
      <c r="BN313" s="67"/>
      <c r="BO313" s="68"/>
      <c r="BP313" s="68"/>
      <c r="BQ313" s="68"/>
      <c r="BR313" s="68"/>
      <c r="BS313" s="68"/>
      <c r="BT313" s="68"/>
      <c r="BU313" s="68"/>
      <c r="BV313" s="68"/>
      <c r="BW313" s="68"/>
      <c r="BX313" s="68"/>
      <c r="BY313" s="69"/>
      <c r="BZ313" s="67"/>
      <c r="CA313" s="68"/>
      <c r="CB313" s="68"/>
      <c r="CC313" s="68"/>
      <c r="CD313" s="68"/>
      <c r="CE313" s="68"/>
      <c r="CF313" s="68"/>
      <c r="CG313" s="68"/>
      <c r="CH313" s="68"/>
      <c r="CI313" s="68"/>
      <c r="CJ313" s="68"/>
      <c r="CK313" s="68"/>
      <c r="CL313" s="67">
        <v>523469</v>
      </c>
      <c r="CM313" s="68">
        <v>523469</v>
      </c>
      <c r="CN313" s="68">
        <v>523469</v>
      </c>
      <c r="CO313" s="68">
        <v>523469</v>
      </c>
      <c r="CP313" s="68">
        <v>523469</v>
      </c>
      <c r="CQ313" s="68">
        <v>523469</v>
      </c>
      <c r="CR313" s="68">
        <v>523469</v>
      </c>
      <c r="CS313" s="68">
        <v>523469</v>
      </c>
      <c r="CT313" s="68">
        <v>523469</v>
      </c>
      <c r="CU313" s="68">
        <v>523469</v>
      </c>
      <c r="CV313" s="68">
        <v>523469</v>
      </c>
      <c r="CW313" s="69">
        <v>523469</v>
      </c>
      <c r="CX313" s="107">
        <v>624553.19534204202</v>
      </c>
      <c r="CY313" s="108">
        <v>624553.19534204202</v>
      </c>
      <c r="CZ313" s="108">
        <v>624553.19534204202</v>
      </c>
      <c r="DA313" s="108">
        <v>624553.19534204202</v>
      </c>
      <c r="DB313" s="108">
        <v>624553.19534204202</v>
      </c>
      <c r="DC313" s="108">
        <v>624553.19534204202</v>
      </c>
      <c r="DD313" s="108">
        <v>624553.19534204202</v>
      </c>
      <c r="DE313" s="108">
        <v>624553.19534204202</v>
      </c>
      <c r="DF313" s="108">
        <v>624553.19534204202</v>
      </c>
      <c r="DG313" s="108">
        <v>624553.19534204202</v>
      </c>
      <c r="DH313" s="108">
        <v>624553.19534204202</v>
      </c>
      <c r="DI313" s="109">
        <v>624553.19534204202</v>
      </c>
      <c r="DJ313" s="67">
        <v>771651.67749999999</v>
      </c>
      <c r="DK313" s="68">
        <v>771651.67749999999</v>
      </c>
      <c r="DL313" s="68">
        <v>771651.67749999999</v>
      </c>
      <c r="DM313" s="68">
        <v>771651.67749999999</v>
      </c>
      <c r="DN313" s="68">
        <v>771651.67749999999</v>
      </c>
      <c r="DO313" s="68">
        <v>771651.67749999999</v>
      </c>
      <c r="DP313" s="68">
        <v>771651.67749999999</v>
      </c>
      <c r="DQ313" s="68">
        <v>771651.67749999999</v>
      </c>
      <c r="DR313" s="68">
        <v>771651.67749999999</v>
      </c>
      <c r="DS313" s="68">
        <v>771651.67749999999</v>
      </c>
      <c r="DT313" s="68">
        <v>771651.67749999999</v>
      </c>
      <c r="DU313" s="69">
        <v>771651.67749999999</v>
      </c>
      <c r="DV313" s="83"/>
      <c r="DW313" s="83"/>
      <c r="DX313" s="83"/>
      <c r="DY313" s="83"/>
      <c r="DZ313" s="83"/>
      <c r="EA313" s="83"/>
      <c r="EB313" s="83"/>
      <c r="EC313" s="83"/>
      <c r="ED313" s="83"/>
      <c r="EE313" s="83"/>
      <c r="EF313" s="83"/>
      <c r="EG313" s="83"/>
      <c r="EH313" s="83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FR313" s="63"/>
      <c r="FS313" s="63"/>
      <c r="FT313" s="63"/>
      <c r="FU313" s="63"/>
      <c r="FV313" s="63"/>
      <c r="FW313" s="63"/>
      <c r="FX313" s="63"/>
      <c r="FY313" s="63"/>
      <c r="FZ313" s="63"/>
      <c r="GA313" s="63"/>
      <c r="GB313" s="63"/>
      <c r="GC313" s="63"/>
      <c r="GE313" s="102"/>
    </row>
    <row r="314" spans="1:187">
      <c r="D314" s="59" t="str">
        <f t="shared" si="67"/>
        <v>4194p</v>
      </c>
      <c r="E314" s="60" t="s">
        <v>416</v>
      </c>
      <c r="F314" s="67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9"/>
      <c r="R314" s="67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9"/>
      <c r="AD314" s="67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9"/>
      <c r="AP314" s="67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9"/>
      <c r="BB314" s="67"/>
      <c r="BC314" s="68"/>
      <c r="BD314" s="68"/>
      <c r="BE314" s="68"/>
      <c r="BF314" s="68"/>
      <c r="BG314" s="68"/>
      <c r="BH314" s="68"/>
      <c r="BI314" s="68"/>
      <c r="BJ314" s="68"/>
      <c r="BK314" s="68"/>
      <c r="BL314" s="68"/>
      <c r="BM314" s="69"/>
      <c r="BN314" s="67"/>
      <c r="BO314" s="68"/>
      <c r="BP314" s="68"/>
      <c r="BQ314" s="68"/>
      <c r="BR314" s="68"/>
      <c r="BS314" s="68"/>
      <c r="BT314" s="68"/>
      <c r="BU314" s="68"/>
      <c r="BV314" s="68"/>
      <c r="BW314" s="68"/>
      <c r="BX314" s="68"/>
      <c r="BY314" s="69"/>
      <c r="BZ314" s="67"/>
      <c r="CA314" s="68"/>
      <c r="CB314" s="68"/>
      <c r="CC314" s="68"/>
      <c r="CD314" s="68"/>
      <c r="CE314" s="68"/>
      <c r="CF314" s="68"/>
      <c r="CG314" s="68"/>
      <c r="CH314" s="68"/>
      <c r="CI314" s="68"/>
      <c r="CJ314" s="68"/>
      <c r="CK314" s="68"/>
      <c r="CL314" s="67">
        <v>182324.41333333301</v>
      </c>
      <c r="CM314" s="68">
        <v>182324.41333333301</v>
      </c>
      <c r="CN314" s="68">
        <v>182324.41333333301</v>
      </c>
      <c r="CO314" s="68">
        <v>182324.41333333301</v>
      </c>
      <c r="CP314" s="68">
        <v>182324.41333333301</v>
      </c>
      <c r="CQ314" s="68">
        <v>182324.41333333301</v>
      </c>
      <c r="CR314" s="68">
        <v>182324.41333333301</v>
      </c>
      <c r="CS314" s="68">
        <v>182324.41333333301</v>
      </c>
      <c r="CT314" s="68">
        <v>182324.41333333301</v>
      </c>
      <c r="CU314" s="68">
        <v>182324.41333333301</v>
      </c>
      <c r="CV314" s="68">
        <v>182324.41333333301</v>
      </c>
      <c r="CW314" s="69">
        <v>182324.41333333301</v>
      </c>
      <c r="CX314" s="107">
        <v>185467.19903700301</v>
      </c>
      <c r="CY314" s="108">
        <v>185467.19903700301</v>
      </c>
      <c r="CZ314" s="108">
        <v>185467.19903700301</v>
      </c>
      <c r="DA314" s="108">
        <v>185467.19903700301</v>
      </c>
      <c r="DB314" s="108">
        <v>185467.19903700301</v>
      </c>
      <c r="DC314" s="108">
        <v>185467.19903700301</v>
      </c>
      <c r="DD314" s="108">
        <v>185467.19903700301</v>
      </c>
      <c r="DE314" s="108">
        <v>185467.19903700301</v>
      </c>
      <c r="DF314" s="108">
        <v>185467.19903700301</v>
      </c>
      <c r="DG314" s="108">
        <v>185467.19903700301</v>
      </c>
      <c r="DH314" s="108">
        <v>185467.19903700301</v>
      </c>
      <c r="DI314" s="109">
        <v>185467.19903700301</v>
      </c>
      <c r="DJ314" s="67">
        <v>175369.42166666701</v>
      </c>
      <c r="DK314" s="68">
        <v>175369.42166666701</v>
      </c>
      <c r="DL314" s="68">
        <v>175369.42166666701</v>
      </c>
      <c r="DM314" s="68">
        <v>175369.42166666701</v>
      </c>
      <c r="DN314" s="68">
        <v>175369.42166666701</v>
      </c>
      <c r="DO314" s="68">
        <v>175369.42166666701</v>
      </c>
      <c r="DP314" s="68">
        <v>175369.42166666701</v>
      </c>
      <c r="DQ314" s="68">
        <v>175369.42166666701</v>
      </c>
      <c r="DR314" s="68">
        <v>175369.42166666701</v>
      </c>
      <c r="DS314" s="68">
        <v>175369.42166666701</v>
      </c>
      <c r="DT314" s="68">
        <v>175369.42166666701</v>
      </c>
      <c r="DU314" s="69">
        <v>175369.42166666701</v>
      </c>
      <c r="DV314" s="83"/>
      <c r="DW314" s="83"/>
      <c r="DX314" s="83"/>
      <c r="DY314" s="83"/>
      <c r="DZ314" s="83"/>
      <c r="EA314" s="83"/>
      <c r="EB314" s="83"/>
      <c r="EC314" s="83"/>
      <c r="ED314" s="83"/>
      <c r="EE314" s="83"/>
      <c r="EF314" s="83"/>
      <c r="EG314" s="83"/>
      <c r="EH314" s="83"/>
      <c r="EI314" s="61"/>
      <c r="EJ314" s="61"/>
      <c r="EK314" s="61"/>
      <c r="EL314" s="61"/>
      <c r="EM314" s="61"/>
      <c r="EN314" s="61"/>
      <c r="EO314" s="61"/>
      <c r="EP314" s="61"/>
      <c r="EQ314" s="61"/>
      <c r="ER314" s="61"/>
      <c r="ES314" s="61"/>
      <c r="FR314" s="63"/>
      <c r="FS314" s="63"/>
      <c r="FT314" s="63"/>
      <c r="FU314" s="63"/>
      <c r="FV314" s="63"/>
      <c r="FW314" s="63"/>
      <c r="FX314" s="63"/>
      <c r="FY314" s="63"/>
      <c r="FZ314" s="63"/>
      <c r="GA314" s="63"/>
      <c r="GB314" s="63"/>
      <c r="GC314" s="63"/>
      <c r="GE314" s="102"/>
    </row>
    <row r="315" spans="1:187" ht="45">
      <c r="D315" s="59" t="str">
        <f t="shared" si="67"/>
        <v>4195p</v>
      </c>
      <c r="E315" s="60" t="s">
        <v>417</v>
      </c>
      <c r="F315" s="67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9"/>
      <c r="R315" s="67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9"/>
      <c r="AD315" s="67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9"/>
      <c r="AP315" s="67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9"/>
      <c r="BB315" s="67"/>
      <c r="BC315" s="68"/>
      <c r="BD315" s="68"/>
      <c r="BE315" s="68"/>
      <c r="BF315" s="68"/>
      <c r="BG315" s="68"/>
      <c r="BH315" s="68"/>
      <c r="BI315" s="68"/>
      <c r="BJ315" s="68"/>
      <c r="BK315" s="68"/>
      <c r="BL315" s="68"/>
      <c r="BM315" s="69"/>
      <c r="BN315" s="67"/>
      <c r="BO315" s="68"/>
      <c r="BP315" s="68"/>
      <c r="BQ315" s="68"/>
      <c r="BR315" s="68"/>
      <c r="BS315" s="68"/>
      <c r="BT315" s="68"/>
      <c r="BU315" s="68"/>
      <c r="BV315" s="68"/>
      <c r="BW315" s="68"/>
      <c r="BX315" s="68"/>
      <c r="BY315" s="69"/>
      <c r="BZ315" s="67"/>
      <c r="CA315" s="68"/>
      <c r="CB315" s="68"/>
      <c r="CC315" s="68"/>
      <c r="CD315" s="68"/>
      <c r="CE315" s="68"/>
      <c r="CF315" s="68"/>
      <c r="CG315" s="68"/>
      <c r="CH315" s="68"/>
      <c r="CI315" s="68"/>
      <c r="CJ315" s="68"/>
      <c r="CK315" s="68"/>
      <c r="CL315" s="67">
        <v>189097.92</v>
      </c>
      <c r="CM315" s="68">
        <v>189097.92</v>
      </c>
      <c r="CN315" s="68">
        <v>189097.92</v>
      </c>
      <c r="CO315" s="68">
        <v>189097.92</v>
      </c>
      <c r="CP315" s="68">
        <v>189097.92</v>
      </c>
      <c r="CQ315" s="68">
        <v>189097.92</v>
      </c>
      <c r="CR315" s="68">
        <v>189097.92</v>
      </c>
      <c r="CS315" s="68">
        <v>189097.92</v>
      </c>
      <c r="CT315" s="68">
        <v>189097.92</v>
      </c>
      <c r="CU315" s="68">
        <v>189097.92</v>
      </c>
      <c r="CV315" s="68">
        <v>189097.92</v>
      </c>
      <c r="CW315" s="69">
        <v>189097.92</v>
      </c>
      <c r="CX315" s="107">
        <v>331173.49028020003</v>
      </c>
      <c r="CY315" s="108">
        <v>331173.49028020003</v>
      </c>
      <c r="CZ315" s="108">
        <v>331173.49028020003</v>
      </c>
      <c r="DA315" s="108">
        <v>331173.49028020003</v>
      </c>
      <c r="DB315" s="108">
        <v>331173.49028020003</v>
      </c>
      <c r="DC315" s="108">
        <v>331173.49028020003</v>
      </c>
      <c r="DD315" s="108">
        <v>331173.49028020003</v>
      </c>
      <c r="DE315" s="108">
        <v>331173.49028020003</v>
      </c>
      <c r="DF315" s="108">
        <v>331173.49028020003</v>
      </c>
      <c r="DG315" s="108">
        <v>331173.49028020003</v>
      </c>
      <c r="DH315" s="108">
        <v>331173.49028020003</v>
      </c>
      <c r="DI315" s="109">
        <v>331173.49028020003</v>
      </c>
      <c r="DJ315" s="67">
        <v>319420.46250000002</v>
      </c>
      <c r="DK315" s="68">
        <v>319420.46250000002</v>
      </c>
      <c r="DL315" s="68">
        <v>319420.46250000002</v>
      </c>
      <c r="DM315" s="68">
        <v>319420.46250000002</v>
      </c>
      <c r="DN315" s="68">
        <v>319420.46250000002</v>
      </c>
      <c r="DO315" s="68">
        <v>319420.46250000002</v>
      </c>
      <c r="DP315" s="68">
        <v>319420.46250000002</v>
      </c>
      <c r="DQ315" s="68">
        <v>319420.46250000002</v>
      </c>
      <c r="DR315" s="68">
        <v>319420.46250000002</v>
      </c>
      <c r="DS315" s="68">
        <v>319420.46250000002</v>
      </c>
      <c r="DT315" s="68">
        <v>319420.46250000002</v>
      </c>
      <c r="DU315" s="69">
        <v>319420.46250000002</v>
      </c>
      <c r="DV315" s="83"/>
      <c r="DW315" s="83"/>
      <c r="DX315" s="83"/>
      <c r="DY315" s="83"/>
      <c r="DZ315" s="83"/>
      <c r="EA315" s="83"/>
      <c r="EB315" s="83"/>
      <c r="EC315" s="83"/>
      <c r="ED315" s="83"/>
      <c r="EE315" s="83"/>
      <c r="EF315" s="83"/>
      <c r="EG315" s="83"/>
      <c r="EH315" s="83"/>
      <c r="EI315" s="61"/>
      <c r="EJ315" s="61"/>
      <c r="EK315" s="61"/>
      <c r="EL315" s="61"/>
      <c r="EM315" s="61"/>
      <c r="EN315" s="61"/>
      <c r="EO315" s="61"/>
      <c r="EP315" s="61"/>
      <c r="EQ315" s="61"/>
      <c r="ER315" s="61"/>
      <c r="ES315" s="61"/>
      <c r="FR315" s="63"/>
      <c r="FS315" s="63"/>
      <c r="FT315" s="63"/>
      <c r="FU315" s="63"/>
      <c r="FV315" s="63"/>
      <c r="FW315" s="63"/>
      <c r="FX315" s="63"/>
      <c r="FY315" s="63"/>
      <c r="FZ315" s="63"/>
      <c r="GA315" s="63"/>
      <c r="GB315" s="63"/>
      <c r="GC315" s="63"/>
      <c r="GE315" s="102"/>
    </row>
    <row r="316" spans="1:187">
      <c r="D316" s="59" t="str">
        <f t="shared" si="67"/>
        <v>4196p</v>
      </c>
      <c r="E316" s="60" t="s">
        <v>418</v>
      </c>
      <c r="F316" s="67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9"/>
      <c r="R316" s="67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9"/>
      <c r="AD316" s="67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9"/>
      <c r="AP316" s="67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9"/>
      <c r="BB316" s="67"/>
      <c r="BC316" s="68"/>
      <c r="BD316" s="68"/>
      <c r="BE316" s="68"/>
      <c r="BF316" s="68"/>
      <c r="BG316" s="68"/>
      <c r="BH316" s="68"/>
      <c r="BI316" s="68"/>
      <c r="BJ316" s="68"/>
      <c r="BK316" s="68"/>
      <c r="BL316" s="68"/>
      <c r="BM316" s="69"/>
      <c r="BN316" s="67"/>
      <c r="BO316" s="68"/>
      <c r="BP316" s="68"/>
      <c r="BQ316" s="68"/>
      <c r="BR316" s="68"/>
      <c r="BS316" s="68"/>
      <c r="BT316" s="68"/>
      <c r="BU316" s="68"/>
      <c r="BV316" s="68"/>
      <c r="BW316" s="68"/>
      <c r="BX316" s="68"/>
      <c r="BY316" s="69"/>
      <c r="BZ316" s="67"/>
      <c r="CA316" s="68"/>
      <c r="CB316" s="68"/>
      <c r="CC316" s="68"/>
      <c r="CD316" s="68"/>
      <c r="CE316" s="68"/>
      <c r="CF316" s="68"/>
      <c r="CG316" s="68"/>
      <c r="CH316" s="68"/>
      <c r="CI316" s="68"/>
      <c r="CJ316" s="68"/>
      <c r="CK316" s="68"/>
      <c r="CL316" s="67">
        <v>353763.10833333299</v>
      </c>
      <c r="CM316" s="68">
        <v>353763.10833333299</v>
      </c>
      <c r="CN316" s="68">
        <v>353763.10833333299</v>
      </c>
      <c r="CO316" s="68">
        <v>353763.10833333299</v>
      </c>
      <c r="CP316" s="68">
        <v>353763.10833333299</v>
      </c>
      <c r="CQ316" s="68">
        <v>353763.10833333299</v>
      </c>
      <c r="CR316" s="68">
        <v>353763.10833333299</v>
      </c>
      <c r="CS316" s="68">
        <v>353763.10833333299</v>
      </c>
      <c r="CT316" s="68">
        <v>353763.10833333299</v>
      </c>
      <c r="CU316" s="68">
        <v>353763.10833333299</v>
      </c>
      <c r="CV316" s="68">
        <v>353763.10833333299</v>
      </c>
      <c r="CW316" s="69">
        <v>353763.10833333299</v>
      </c>
      <c r="CX316" s="107">
        <v>301413.99206139101</v>
      </c>
      <c r="CY316" s="108">
        <v>301413.99206139101</v>
      </c>
      <c r="CZ316" s="108">
        <v>301413.99206139101</v>
      </c>
      <c r="DA316" s="108">
        <v>301413.99206139101</v>
      </c>
      <c r="DB316" s="108">
        <v>301413.99206139101</v>
      </c>
      <c r="DC316" s="108">
        <v>301413.99206139101</v>
      </c>
      <c r="DD316" s="108">
        <v>301413.99206139101</v>
      </c>
      <c r="DE316" s="108">
        <v>301413.99206139101</v>
      </c>
      <c r="DF316" s="108">
        <v>301413.99206139101</v>
      </c>
      <c r="DG316" s="108">
        <v>301413.99206139101</v>
      </c>
      <c r="DH316" s="108">
        <v>301413.99206139101</v>
      </c>
      <c r="DI316" s="109">
        <v>301413.99206139101</v>
      </c>
      <c r="DJ316" s="67">
        <v>351830.13</v>
      </c>
      <c r="DK316" s="68">
        <v>351830.13</v>
      </c>
      <c r="DL316" s="68">
        <v>351830.13</v>
      </c>
      <c r="DM316" s="68">
        <v>351830.13</v>
      </c>
      <c r="DN316" s="68">
        <v>351830.13</v>
      </c>
      <c r="DO316" s="68">
        <v>351830.13</v>
      </c>
      <c r="DP316" s="68">
        <v>351830.13</v>
      </c>
      <c r="DQ316" s="68">
        <v>351830.13</v>
      </c>
      <c r="DR316" s="68">
        <v>351830.13</v>
      </c>
      <c r="DS316" s="68">
        <v>351830.13</v>
      </c>
      <c r="DT316" s="68">
        <v>351830.13</v>
      </c>
      <c r="DU316" s="69">
        <v>351830.13</v>
      </c>
      <c r="DV316" s="83"/>
      <c r="DW316" s="83"/>
      <c r="DX316" s="83"/>
      <c r="DY316" s="83"/>
      <c r="DZ316" s="83"/>
      <c r="EA316" s="83"/>
      <c r="EB316" s="83"/>
      <c r="EC316" s="83"/>
      <c r="ED316" s="83"/>
      <c r="EE316" s="83"/>
      <c r="EF316" s="83"/>
      <c r="EG316" s="83"/>
      <c r="EH316" s="83"/>
      <c r="EI316" s="61"/>
      <c r="EJ316" s="61"/>
      <c r="EK316" s="61"/>
      <c r="EL316" s="61"/>
      <c r="EM316" s="61"/>
      <c r="EN316" s="61"/>
      <c r="EO316" s="61"/>
      <c r="EP316" s="61"/>
      <c r="EQ316" s="61"/>
      <c r="ER316" s="61"/>
      <c r="ES316" s="61"/>
      <c r="FR316" s="63"/>
      <c r="FS316" s="63"/>
      <c r="FT316" s="63"/>
      <c r="FU316" s="63"/>
      <c r="FV316" s="63"/>
      <c r="FW316" s="63"/>
      <c r="FX316" s="63"/>
      <c r="FY316" s="63"/>
      <c r="FZ316" s="63"/>
      <c r="GA316" s="63"/>
      <c r="GB316" s="63"/>
      <c r="GC316" s="63"/>
      <c r="GE316" s="102"/>
    </row>
    <row r="317" spans="1:187">
      <c r="D317" s="59" t="str">
        <f t="shared" si="67"/>
        <v>4197p</v>
      </c>
      <c r="E317" s="60" t="s">
        <v>419</v>
      </c>
      <c r="F317" s="67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9"/>
      <c r="R317" s="67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9"/>
      <c r="AD317" s="67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9"/>
      <c r="AP317" s="67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9"/>
      <c r="BB317" s="67"/>
      <c r="BC317" s="68"/>
      <c r="BD317" s="68"/>
      <c r="BE317" s="68"/>
      <c r="BF317" s="68"/>
      <c r="BG317" s="68"/>
      <c r="BH317" s="68"/>
      <c r="BI317" s="68"/>
      <c r="BJ317" s="68"/>
      <c r="BK317" s="68"/>
      <c r="BL317" s="68"/>
      <c r="BM317" s="69"/>
      <c r="BN317" s="67"/>
      <c r="BO317" s="68"/>
      <c r="BP317" s="68"/>
      <c r="BQ317" s="68"/>
      <c r="BR317" s="68"/>
      <c r="BS317" s="68"/>
      <c r="BT317" s="68"/>
      <c r="BU317" s="68"/>
      <c r="BV317" s="68"/>
      <c r="BW317" s="68"/>
      <c r="BX317" s="68"/>
      <c r="BY317" s="69"/>
      <c r="BZ317" s="67"/>
      <c r="CA317" s="68"/>
      <c r="CB317" s="68"/>
      <c r="CC317" s="68"/>
      <c r="CD317" s="68"/>
      <c r="CE317" s="68"/>
      <c r="CF317" s="68"/>
      <c r="CG317" s="68"/>
      <c r="CH317" s="68"/>
      <c r="CI317" s="68"/>
      <c r="CJ317" s="68"/>
      <c r="CK317" s="68"/>
      <c r="CL317" s="67">
        <v>66.6666666666667</v>
      </c>
      <c r="CM317" s="68">
        <v>66.6666666666667</v>
      </c>
      <c r="CN317" s="68">
        <v>66.6666666666667</v>
      </c>
      <c r="CO317" s="68">
        <v>66.6666666666667</v>
      </c>
      <c r="CP317" s="68">
        <v>66.6666666666667</v>
      </c>
      <c r="CQ317" s="68">
        <v>66.6666666666667</v>
      </c>
      <c r="CR317" s="68">
        <v>66.6666666666667</v>
      </c>
      <c r="CS317" s="68">
        <v>66.6666666666667</v>
      </c>
      <c r="CT317" s="68">
        <v>66.6666666666667</v>
      </c>
      <c r="CU317" s="68">
        <v>66.6666666666667</v>
      </c>
      <c r="CV317" s="68">
        <v>66.6666666666667</v>
      </c>
      <c r="CW317" s="69">
        <v>66.6666666666667</v>
      </c>
      <c r="CX317" s="107">
        <v>105.616335320269</v>
      </c>
      <c r="CY317" s="108">
        <v>105.616335320269</v>
      </c>
      <c r="CZ317" s="108">
        <v>105.616335320269</v>
      </c>
      <c r="DA317" s="108">
        <v>105.616335320269</v>
      </c>
      <c r="DB317" s="108">
        <v>105.616335320269</v>
      </c>
      <c r="DC317" s="108">
        <v>105.616335320269</v>
      </c>
      <c r="DD317" s="108">
        <v>105.616335320269</v>
      </c>
      <c r="DE317" s="108">
        <v>105.616335320269</v>
      </c>
      <c r="DF317" s="108">
        <v>105.616335320269</v>
      </c>
      <c r="DG317" s="108">
        <v>105.616335320269</v>
      </c>
      <c r="DH317" s="108">
        <v>105.616335320269</v>
      </c>
      <c r="DI317" s="109">
        <v>105.616335320269</v>
      </c>
      <c r="DJ317" s="67">
        <v>125.833333333333</v>
      </c>
      <c r="DK317" s="68">
        <v>125.833333333333</v>
      </c>
      <c r="DL317" s="68">
        <v>125.833333333333</v>
      </c>
      <c r="DM317" s="68">
        <v>125.833333333333</v>
      </c>
      <c r="DN317" s="68">
        <v>125.833333333333</v>
      </c>
      <c r="DO317" s="68">
        <v>125.833333333333</v>
      </c>
      <c r="DP317" s="68">
        <v>125.833333333333</v>
      </c>
      <c r="DQ317" s="68">
        <v>125.833333333333</v>
      </c>
      <c r="DR317" s="68">
        <v>125.833333333333</v>
      </c>
      <c r="DS317" s="68">
        <v>125.833333333333</v>
      </c>
      <c r="DT317" s="68">
        <v>125.833333333333</v>
      </c>
      <c r="DU317" s="69">
        <v>125.833333333333</v>
      </c>
      <c r="DV317" s="83"/>
      <c r="DW317" s="83"/>
      <c r="DX317" s="83"/>
      <c r="DY317" s="83"/>
      <c r="DZ317" s="83"/>
      <c r="EA317" s="83"/>
      <c r="EB317" s="83"/>
      <c r="EC317" s="83"/>
      <c r="ED317" s="83"/>
      <c r="EE317" s="83"/>
      <c r="EF317" s="83"/>
      <c r="EG317" s="83"/>
      <c r="EH317" s="83"/>
      <c r="EI317" s="61"/>
      <c r="EJ317" s="61"/>
      <c r="EK317" s="61"/>
      <c r="EL317" s="61"/>
      <c r="EM317" s="61"/>
      <c r="EN317" s="61"/>
      <c r="EO317" s="61"/>
      <c r="EP317" s="61"/>
      <c r="EQ317" s="61"/>
      <c r="ER317" s="61"/>
      <c r="ES317" s="61"/>
      <c r="FR317" s="63"/>
      <c r="FS317" s="63"/>
      <c r="FT317" s="63"/>
      <c r="FU317" s="63"/>
      <c r="FV317" s="63"/>
      <c r="FW317" s="63"/>
      <c r="FX317" s="63"/>
      <c r="FY317" s="63"/>
      <c r="FZ317" s="63"/>
      <c r="GA317" s="63"/>
      <c r="GB317" s="63"/>
      <c r="GC317" s="63"/>
      <c r="GE317" s="102"/>
    </row>
    <row r="318" spans="1:187">
      <c r="D318" s="59" t="str">
        <f t="shared" si="67"/>
        <v>4198p</v>
      </c>
      <c r="E318" s="60" t="s">
        <v>140</v>
      </c>
      <c r="F318" s="67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9"/>
      <c r="R318" s="67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9"/>
      <c r="AD318" s="67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9"/>
      <c r="AP318" s="67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9"/>
      <c r="BB318" s="67"/>
      <c r="BC318" s="68"/>
      <c r="BD318" s="68"/>
      <c r="BE318" s="68"/>
      <c r="BF318" s="68"/>
      <c r="BG318" s="68"/>
      <c r="BH318" s="68"/>
      <c r="BI318" s="68"/>
      <c r="BJ318" s="68"/>
      <c r="BK318" s="68"/>
      <c r="BL318" s="68"/>
      <c r="BM318" s="69"/>
      <c r="BN318" s="67"/>
      <c r="BO318" s="68"/>
      <c r="BP318" s="68"/>
      <c r="BQ318" s="68"/>
      <c r="BR318" s="68"/>
      <c r="BS318" s="68"/>
      <c r="BT318" s="68"/>
      <c r="BU318" s="68"/>
      <c r="BV318" s="68"/>
      <c r="BW318" s="68"/>
      <c r="BX318" s="68"/>
      <c r="BY318" s="69"/>
      <c r="BZ318" s="67"/>
      <c r="CA318" s="68"/>
      <c r="CB318" s="68"/>
      <c r="CC318" s="68"/>
      <c r="CD318" s="68"/>
      <c r="CE318" s="68"/>
      <c r="CF318" s="68"/>
      <c r="CG318" s="68"/>
      <c r="CH318" s="68"/>
      <c r="CI318" s="68"/>
      <c r="CJ318" s="68"/>
      <c r="CK318" s="68"/>
      <c r="CL318" s="67">
        <v>1205</v>
      </c>
      <c r="CM318" s="68">
        <v>1205</v>
      </c>
      <c r="CN318" s="68">
        <v>1205</v>
      </c>
      <c r="CO318" s="68">
        <v>1205</v>
      </c>
      <c r="CP318" s="68">
        <v>1205</v>
      </c>
      <c r="CQ318" s="68">
        <v>1205</v>
      </c>
      <c r="CR318" s="68">
        <v>1205</v>
      </c>
      <c r="CS318" s="68">
        <v>1205</v>
      </c>
      <c r="CT318" s="68">
        <v>1205</v>
      </c>
      <c r="CU318" s="68">
        <v>1205</v>
      </c>
      <c r="CV318" s="68">
        <v>1205</v>
      </c>
      <c r="CW318" s="69">
        <v>1205</v>
      </c>
      <c r="CX318" s="107">
        <v>1654.07401183397</v>
      </c>
      <c r="CY318" s="108">
        <v>1654.07401183397</v>
      </c>
      <c r="CZ318" s="108">
        <v>1654.07401183397</v>
      </c>
      <c r="DA318" s="108">
        <v>1654.07401183397</v>
      </c>
      <c r="DB318" s="108">
        <v>1654.07401183397</v>
      </c>
      <c r="DC318" s="108">
        <v>1654.07401183397</v>
      </c>
      <c r="DD318" s="108">
        <v>1654.07401183397</v>
      </c>
      <c r="DE318" s="108">
        <v>1654.07401183397</v>
      </c>
      <c r="DF318" s="108">
        <v>1654.07401183397</v>
      </c>
      <c r="DG318" s="108">
        <v>1654.07401183397</v>
      </c>
      <c r="DH318" s="108">
        <v>1654.07401183397</v>
      </c>
      <c r="DI318" s="109">
        <v>1654.07401183397</v>
      </c>
      <c r="DJ318" s="67">
        <v>1525</v>
      </c>
      <c r="DK318" s="68">
        <v>1525</v>
      </c>
      <c r="DL318" s="68">
        <v>1525</v>
      </c>
      <c r="DM318" s="68">
        <v>1525</v>
      </c>
      <c r="DN318" s="68">
        <v>1525</v>
      </c>
      <c r="DO318" s="68">
        <v>1525</v>
      </c>
      <c r="DP318" s="68">
        <v>1525</v>
      </c>
      <c r="DQ318" s="68">
        <v>1525</v>
      </c>
      <c r="DR318" s="68">
        <v>1525</v>
      </c>
      <c r="DS318" s="68">
        <v>1525</v>
      </c>
      <c r="DT318" s="68">
        <v>1525</v>
      </c>
      <c r="DU318" s="69">
        <v>1525</v>
      </c>
      <c r="DV318" s="83"/>
      <c r="DW318" s="83"/>
      <c r="DX318" s="83"/>
      <c r="DY318" s="83"/>
      <c r="DZ318" s="83"/>
      <c r="EA318" s="83"/>
      <c r="EB318" s="83"/>
      <c r="EC318" s="83"/>
      <c r="ED318" s="83"/>
      <c r="EE318" s="83"/>
      <c r="EF318" s="83"/>
      <c r="EG318" s="83"/>
      <c r="EH318" s="83"/>
      <c r="EI318" s="61"/>
      <c r="EJ318" s="61"/>
      <c r="EK318" s="61"/>
      <c r="EL318" s="61"/>
      <c r="EM318" s="61"/>
      <c r="EN318" s="61"/>
      <c r="EO318" s="61"/>
      <c r="EP318" s="61"/>
      <c r="EQ318" s="61"/>
      <c r="ER318" s="61"/>
      <c r="ES318" s="61"/>
      <c r="FR318" s="63"/>
      <c r="FS318" s="63"/>
      <c r="FT318" s="63"/>
      <c r="FU318" s="63"/>
      <c r="FV318" s="63"/>
      <c r="FW318" s="63"/>
      <c r="FX318" s="63"/>
      <c r="FY318" s="63"/>
      <c r="FZ318" s="63"/>
      <c r="GA318" s="63"/>
      <c r="GB318" s="63"/>
      <c r="GC318" s="63"/>
      <c r="GE318" s="102"/>
    </row>
    <row r="319" spans="1:187">
      <c r="D319" s="59" t="str">
        <f t="shared" si="67"/>
        <v>4199p</v>
      </c>
      <c r="E319" s="60" t="s">
        <v>420</v>
      </c>
      <c r="F319" s="67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9"/>
      <c r="R319" s="67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9"/>
      <c r="AD319" s="67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9"/>
      <c r="AP319" s="67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9"/>
      <c r="BB319" s="67"/>
      <c r="BC319" s="68"/>
      <c r="BD319" s="68"/>
      <c r="BE319" s="68"/>
      <c r="BF319" s="68"/>
      <c r="BG319" s="68"/>
      <c r="BH319" s="68"/>
      <c r="BI319" s="68"/>
      <c r="BJ319" s="68"/>
      <c r="BK319" s="68"/>
      <c r="BL319" s="68"/>
      <c r="BM319" s="69"/>
      <c r="BN319" s="67"/>
      <c r="BO319" s="68"/>
      <c r="BP319" s="68"/>
      <c r="BQ319" s="68"/>
      <c r="BR319" s="68"/>
      <c r="BS319" s="68"/>
      <c r="BT319" s="68"/>
      <c r="BU319" s="68"/>
      <c r="BV319" s="68"/>
      <c r="BW319" s="68"/>
      <c r="BX319" s="68"/>
      <c r="BY319" s="69"/>
      <c r="BZ319" s="67"/>
      <c r="CA319" s="68"/>
      <c r="CB319" s="68"/>
      <c r="CC319" s="68"/>
      <c r="CD319" s="68"/>
      <c r="CE319" s="68"/>
      <c r="CF319" s="68"/>
      <c r="CG319" s="68"/>
      <c r="CH319" s="68"/>
      <c r="CI319" s="68"/>
      <c r="CJ319" s="68"/>
      <c r="CK319" s="68"/>
      <c r="CL319" s="67">
        <v>295157.37166666699</v>
      </c>
      <c r="CM319" s="68">
        <v>295157.37166666699</v>
      </c>
      <c r="CN319" s="68">
        <v>295157.37166666699</v>
      </c>
      <c r="CO319" s="68">
        <v>295157.37166666699</v>
      </c>
      <c r="CP319" s="68">
        <v>295157.37166666699</v>
      </c>
      <c r="CQ319" s="68">
        <v>295157.37166666699</v>
      </c>
      <c r="CR319" s="68">
        <v>295157.37166666699</v>
      </c>
      <c r="CS319" s="68">
        <v>295157.37166666699</v>
      </c>
      <c r="CT319" s="68">
        <v>295157.37166666699</v>
      </c>
      <c r="CU319" s="68">
        <v>295157.37166666699</v>
      </c>
      <c r="CV319" s="68">
        <v>295157.37166666699</v>
      </c>
      <c r="CW319" s="69">
        <v>295157.37166666699</v>
      </c>
      <c r="CX319" s="107">
        <v>205477.532658326</v>
      </c>
      <c r="CY319" s="108">
        <v>205477.532658326</v>
      </c>
      <c r="CZ319" s="108">
        <v>205477.532658326</v>
      </c>
      <c r="DA319" s="108">
        <v>205477.532658326</v>
      </c>
      <c r="DB319" s="108">
        <v>205477.532658326</v>
      </c>
      <c r="DC319" s="108">
        <v>205477.532658326</v>
      </c>
      <c r="DD319" s="108">
        <v>205477.532658326</v>
      </c>
      <c r="DE319" s="108">
        <v>205477.532658326</v>
      </c>
      <c r="DF319" s="108">
        <v>205477.532658326</v>
      </c>
      <c r="DG319" s="108">
        <v>205477.532658326</v>
      </c>
      <c r="DH319" s="108">
        <v>205477.532658326</v>
      </c>
      <c r="DI319" s="109">
        <v>205477.532658326</v>
      </c>
      <c r="DJ319" s="67">
        <v>392731.33083333302</v>
      </c>
      <c r="DK319" s="68">
        <v>392731.33083333302</v>
      </c>
      <c r="DL319" s="68">
        <v>392731.33083333302</v>
      </c>
      <c r="DM319" s="68">
        <v>392731.33083333302</v>
      </c>
      <c r="DN319" s="68">
        <v>392731.33083333302</v>
      </c>
      <c r="DO319" s="68">
        <v>392731.33083333302</v>
      </c>
      <c r="DP319" s="68">
        <v>392731.33083333302</v>
      </c>
      <c r="DQ319" s="68">
        <v>392731.33083333302</v>
      </c>
      <c r="DR319" s="68">
        <v>392731.33083333302</v>
      </c>
      <c r="DS319" s="68">
        <v>392731.33083333302</v>
      </c>
      <c r="DT319" s="68">
        <v>392731.33083333302</v>
      </c>
      <c r="DU319" s="69">
        <v>392731.33083333302</v>
      </c>
      <c r="DV319" s="83"/>
      <c r="DW319" s="83"/>
      <c r="DX319" s="83"/>
      <c r="DY319" s="83"/>
      <c r="DZ319" s="83"/>
      <c r="EA319" s="83"/>
      <c r="EB319" s="83"/>
      <c r="EC319" s="83"/>
      <c r="ED319" s="83"/>
      <c r="EE319" s="83"/>
      <c r="EF319" s="83"/>
      <c r="EG319" s="83"/>
      <c r="EH319" s="83"/>
      <c r="EI319" s="61"/>
      <c r="EJ319" s="61"/>
      <c r="EK319" s="61"/>
      <c r="EL319" s="61"/>
      <c r="EM319" s="61"/>
      <c r="EN319" s="61"/>
      <c r="EO319" s="61"/>
      <c r="EP319" s="61"/>
      <c r="EQ319" s="61"/>
      <c r="ER319" s="61"/>
      <c r="ES319" s="61"/>
      <c r="FR319" s="63"/>
      <c r="FS319" s="63"/>
      <c r="FT319" s="63"/>
      <c r="FU319" s="63"/>
      <c r="FV319" s="63"/>
      <c r="FW319" s="63"/>
      <c r="FX319" s="63"/>
      <c r="FY319" s="63"/>
      <c r="FZ319" s="63"/>
      <c r="GA319" s="63"/>
      <c r="GB319" s="63"/>
      <c r="GC319" s="63"/>
      <c r="GE319" s="102"/>
    </row>
    <row r="320" spans="1:187" s="2" customFormat="1">
      <c r="A320" s="71"/>
      <c r="B320" s="71">
        <v>42</v>
      </c>
      <c r="C320" s="71" t="s">
        <v>6</v>
      </c>
      <c r="D320" s="71" t="str">
        <f t="shared" si="67"/>
        <v>p</v>
      </c>
      <c r="E320" s="72" t="s">
        <v>156</v>
      </c>
      <c r="F320" s="73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5"/>
      <c r="R320" s="73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5"/>
      <c r="AD320" s="73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5"/>
      <c r="AP320" s="73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5"/>
      <c r="BB320" s="73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5"/>
      <c r="BN320" s="73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5"/>
      <c r="BZ320" s="73"/>
      <c r="CA320" s="74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3">
        <f t="shared" ref="CL320:DU320" si="83">+CL321+CL330+CL336+CL344+CL346</f>
        <v>41489393.924999997</v>
      </c>
      <c r="CM320" s="74">
        <f t="shared" si="83"/>
        <v>41489393.924999997</v>
      </c>
      <c r="CN320" s="74">
        <f t="shared" si="83"/>
        <v>41489393.924999997</v>
      </c>
      <c r="CO320" s="74">
        <f t="shared" si="83"/>
        <v>41489393.924999997</v>
      </c>
      <c r="CP320" s="74">
        <f t="shared" si="83"/>
        <v>41489393.924999997</v>
      </c>
      <c r="CQ320" s="74">
        <f t="shared" si="83"/>
        <v>41489393.924999997</v>
      </c>
      <c r="CR320" s="74">
        <f t="shared" si="83"/>
        <v>41489393.924999997</v>
      </c>
      <c r="CS320" s="74">
        <f t="shared" si="83"/>
        <v>41489393.924999997</v>
      </c>
      <c r="CT320" s="74">
        <f t="shared" si="83"/>
        <v>41489393.924999997</v>
      </c>
      <c r="CU320" s="74">
        <f t="shared" si="83"/>
        <v>41489393.924999997</v>
      </c>
      <c r="CV320" s="74">
        <f t="shared" si="83"/>
        <v>41489393.924999997</v>
      </c>
      <c r="CW320" s="75">
        <f t="shared" si="83"/>
        <v>41489393.924999997</v>
      </c>
      <c r="CX320" s="110">
        <f t="shared" si="83"/>
        <v>41226949.914166696</v>
      </c>
      <c r="CY320" s="111">
        <f t="shared" si="83"/>
        <v>41226949.914166696</v>
      </c>
      <c r="CZ320" s="111">
        <f t="shared" si="83"/>
        <v>41226949.914166696</v>
      </c>
      <c r="DA320" s="111">
        <f t="shared" si="83"/>
        <v>41226949.914166696</v>
      </c>
      <c r="DB320" s="111">
        <f t="shared" si="83"/>
        <v>41226949.914166696</v>
      </c>
      <c r="DC320" s="111">
        <f t="shared" si="83"/>
        <v>41226949.914166696</v>
      </c>
      <c r="DD320" s="111">
        <f t="shared" si="83"/>
        <v>41226949.914166696</v>
      </c>
      <c r="DE320" s="111">
        <f t="shared" si="83"/>
        <v>41226949.914166696</v>
      </c>
      <c r="DF320" s="111">
        <f t="shared" si="83"/>
        <v>41226949.914166696</v>
      </c>
      <c r="DG320" s="111">
        <f t="shared" si="83"/>
        <v>41226949.914166696</v>
      </c>
      <c r="DH320" s="111">
        <f t="shared" si="83"/>
        <v>41226949.914166696</v>
      </c>
      <c r="DI320" s="112">
        <f t="shared" si="83"/>
        <v>41226949.914166696</v>
      </c>
      <c r="DJ320" s="73">
        <f t="shared" si="83"/>
        <v>42070460.416666701</v>
      </c>
      <c r="DK320" s="74">
        <f t="shared" si="83"/>
        <v>42070460.416666701</v>
      </c>
      <c r="DL320" s="74">
        <f t="shared" si="83"/>
        <v>42070460.416666701</v>
      </c>
      <c r="DM320" s="74">
        <f t="shared" si="83"/>
        <v>42070460.416666701</v>
      </c>
      <c r="DN320" s="74">
        <f t="shared" si="83"/>
        <v>42070460.416666701</v>
      </c>
      <c r="DO320" s="74">
        <f t="shared" si="83"/>
        <v>42070460.416666701</v>
      </c>
      <c r="DP320" s="74">
        <f t="shared" si="83"/>
        <v>42070460.416666701</v>
      </c>
      <c r="DQ320" s="74">
        <f t="shared" si="83"/>
        <v>42070460.416666701</v>
      </c>
      <c r="DR320" s="74">
        <f t="shared" si="83"/>
        <v>42070460.416666701</v>
      </c>
      <c r="DS320" s="74">
        <f t="shared" si="83"/>
        <v>42070460.416666701</v>
      </c>
      <c r="DT320" s="74">
        <f t="shared" si="83"/>
        <v>42070460.416666701</v>
      </c>
      <c r="DU320" s="75">
        <f t="shared" si="83"/>
        <v>42070460.416666701</v>
      </c>
      <c r="DV320" s="97">
        <v>44366018.364166699</v>
      </c>
      <c r="DW320" s="97">
        <v>44366018.364166699</v>
      </c>
      <c r="DX320" s="97">
        <v>44366018.364166699</v>
      </c>
      <c r="DY320" s="97">
        <v>44366018.364166699</v>
      </c>
      <c r="DZ320" s="97">
        <v>44366018.364166699</v>
      </c>
      <c r="EA320" s="97">
        <v>44366018.364166699</v>
      </c>
      <c r="EB320" s="97">
        <v>44366018.364166699</v>
      </c>
      <c r="EC320" s="97">
        <v>44366018.364166699</v>
      </c>
      <c r="ED320" s="97">
        <v>44366018.364166699</v>
      </c>
      <c r="EE320" s="97">
        <v>44366018.364166699</v>
      </c>
      <c r="EF320" s="97">
        <v>44366018.364166699</v>
      </c>
      <c r="EG320" s="97">
        <v>44366018.364166699</v>
      </c>
      <c r="EH320" s="97">
        <v>47576508.75</v>
      </c>
      <c r="EI320" s="97">
        <v>47576508.75</v>
      </c>
      <c r="EJ320" s="97">
        <v>47576508.75</v>
      </c>
      <c r="EK320" s="97">
        <v>47576508.75</v>
      </c>
      <c r="EL320" s="97">
        <v>47576508.75</v>
      </c>
      <c r="EM320" s="97">
        <v>47576508.75</v>
      </c>
      <c r="EN320" s="97">
        <v>47576508.75</v>
      </c>
      <c r="EO320" s="97">
        <v>47576508.75</v>
      </c>
      <c r="EP320" s="97">
        <v>47576508.75</v>
      </c>
      <c r="EQ320" s="97">
        <v>47576508.75</v>
      </c>
      <c r="ER320" s="97">
        <v>47576508.75</v>
      </c>
      <c r="ES320" s="97">
        <v>47576508.75</v>
      </c>
      <c r="ET320" s="106">
        <v>45950724.162500001</v>
      </c>
      <c r="EU320" s="106">
        <v>45950724.162500001</v>
      </c>
      <c r="EV320" s="106">
        <v>45950724.162500001</v>
      </c>
      <c r="EW320" s="106">
        <v>45950724.162500001</v>
      </c>
      <c r="EX320" s="106">
        <v>45950724.162500001</v>
      </c>
      <c r="EY320" s="106">
        <v>45950724.162500001</v>
      </c>
      <c r="EZ320" s="106">
        <v>45950724.162500001</v>
      </c>
      <c r="FA320" s="106">
        <v>45950724.162500001</v>
      </c>
      <c r="FB320" s="106">
        <v>47831745.140000001</v>
      </c>
      <c r="FC320" s="106">
        <v>47831745.140000001</v>
      </c>
      <c r="FD320" s="106">
        <v>47831745.140000001</v>
      </c>
      <c r="FE320" s="106">
        <v>47831745.140000001</v>
      </c>
      <c r="FF320" s="106">
        <v>46204849.909999996</v>
      </c>
      <c r="FG320" s="106">
        <v>46206149.810000002</v>
      </c>
      <c r="FH320" s="106">
        <v>46206149.810000002</v>
      </c>
      <c r="FI320" s="106">
        <v>46206149.810000002</v>
      </c>
      <c r="FJ320" s="106">
        <v>46206149.810000002</v>
      </c>
      <c r="FK320" s="106">
        <v>46206149.810000002</v>
      </c>
      <c r="FL320" s="106">
        <v>46206149.810000002</v>
      </c>
      <c r="FM320" s="106">
        <v>46206149.810000002</v>
      </c>
      <c r="FN320" s="106">
        <v>46206149.810000002</v>
      </c>
      <c r="FO320" s="106">
        <v>47329512.009999998</v>
      </c>
      <c r="FP320" s="106">
        <v>47329512.009999998</v>
      </c>
      <c r="FQ320" s="106">
        <v>47329512.009999998</v>
      </c>
      <c r="FR320" s="106">
        <f>FR321+FR330+FR336+FR344+FR346</f>
        <v>43744418.240000002</v>
      </c>
      <c r="FS320" s="106">
        <f t="shared" ref="FS320:GC320" si="84">FS321+FS330+FS336+FS344+FS346</f>
        <v>46796687.630000003</v>
      </c>
      <c r="FT320" s="106">
        <f t="shared" si="84"/>
        <v>46377214.32</v>
      </c>
      <c r="FU320" s="106">
        <f t="shared" si="84"/>
        <v>46828214.329999998</v>
      </c>
      <c r="FV320" s="106">
        <f t="shared" si="84"/>
        <v>44861859.969999999</v>
      </c>
      <c r="FW320" s="106">
        <f t="shared" si="84"/>
        <v>49868571.824285701</v>
      </c>
      <c r="FX320" s="106">
        <f t="shared" si="84"/>
        <v>49868571.824285701</v>
      </c>
      <c r="FY320" s="106">
        <f t="shared" si="84"/>
        <v>49868571.824285701</v>
      </c>
      <c r="FZ320" s="106">
        <f t="shared" si="84"/>
        <v>49868571.824285701</v>
      </c>
      <c r="GA320" s="106">
        <f t="shared" si="84"/>
        <v>49868571.824285701</v>
      </c>
      <c r="GB320" s="106">
        <f t="shared" si="84"/>
        <v>49868571.824285701</v>
      </c>
      <c r="GC320" s="106">
        <f t="shared" si="84"/>
        <v>49868571.824285701</v>
      </c>
      <c r="GE320" s="101">
        <f>SUM(FR320:GC320)</f>
        <v>577688397.25999999</v>
      </c>
    </row>
    <row r="321" spans="1:187" s="2" customFormat="1">
      <c r="A321" s="71"/>
      <c r="B321" s="71"/>
      <c r="C321" s="71">
        <v>421</v>
      </c>
      <c r="D321" s="71" t="str">
        <f t="shared" si="67"/>
        <v>421p</v>
      </c>
      <c r="E321" s="72" t="s">
        <v>157</v>
      </c>
      <c r="F321" s="73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5"/>
      <c r="R321" s="73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5"/>
      <c r="AD321" s="73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5"/>
      <c r="AP321" s="73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5"/>
      <c r="BB321" s="73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5"/>
      <c r="BN321" s="73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5"/>
      <c r="BZ321" s="73"/>
      <c r="CA321" s="74"/>
      <c r="CB321" s="74"/>
      <c r="CC321" s="74"/>
      <c r="CD321" s="74"/>
      <c r="CE321" s="74"/>
      <c r="CF321" s="74"/>
      <c r="CG321" s="74"/>
      <c r="CH321" s="74"/>
      <c r="CI321" s="74"/>
      <c r="CJ321" s="74"/>
      <c r="CK321" s="74"/>
      <c r="CL321" s="73">
        <f t="shared" ref="CL321:CX321" si="85">+SUM(CL322:CL328)</f>
        <v>5084083.3333333302</v>
      </c>
      <c r="CM321" s="74">
        <f t="shared" si="85"/>
        <v>5084083.3333333302</v>
      </c>
      <c r="CN321" s="74">
        <f t="shared" si="85"/>
        <v>5084083.3333333302</v>
      </c>
      <c r="CO321" s="74">
        <f t="shared" si="85"/>
        <v>5084083.3333333302</v>
      </c>
      <c r="CP321" s="74">
        <f t="shared" si="85"/>
        <v>5084083.3333333302</v>
      </c>
      <c r="CQ321" s="74">
        <f t="shared" si="85"/>
        <v>5084083.3333333302</v>
      </c>
      <c r="CR321" s="74">
        <f t="shared" si="85"/>
        <v>5084083.3333333302</v>
      </c>
      <c r="CS321" s="74">
        <f t="shared" si="85"/>
        <v>5084083.3333333302</v>
      </c>
      <c r="CT321" s="74">
        <f t="shared" si="85"/>
        <v>5084083.3333333302</v>
      </c>
      <c r="CU321" s="74">
        <f t="shared" si="85"/>
        <v>5084083.3333333302</v>
      </c>
      <c r="CV321" s="74">
        <f t="shared" si="85"/>
        <v>5084083.3333333302</v>
      </c>
      <c r="CW321" s="75">
        <f t="shared" si="85"/>
        <v>5084083.3333333302</v>
      </c>
      <c r="CX321" s="110">
        <f t="shared" si="85"/>
        <v>4887083.3333333302</v>
      </c>
      <c r="CY321" s="111">
        <f t="shared" ref="CY321:DJ321" si="86">+SUM(CY322:CY328)</f>
        <v>4887083.3333333302</v>
      </c>
      <c r="CZ321" s="111">
        <f t="shared" si="86"/>
        <v>4887083.3333333302</v>
      </c>
      <c r="DA321" s="111">
        <f t="shared" si="86"/>
        <v>4887083.3333333302</v>
      </c>
      <c r="DB321" s="111">
        <f t="shared" si="86"/>
        <v>4887083.3333333302</v>
      </c>
      <c r="DC321" s="111">
        <f t="shared" si="86"/>
        <v>4887083.3333333302</v>
      </c>
      <c r="DD321" s="111">
        <f t="shared" si="86"/>
        <v>4887083.3333333302</v>
      </c>
      <c r="DE321" s="111">
        <f t="shared" si="86"/>
        <v>4887083.3333333302</v>
      </c>
      <c r="DF321" s="111">
        <f t="shared" si="86"/>
        <v>4887083.3333333302</v>
      </c>
      <c r="DG321" s="111">
        <f t="shared" si="86"/>
        <v>4887083.3333333302</v>
      </c>
      <c r="DH321" s="111">
        <f t="shared" si="86"/>
        <v>4887083.3333333302</v>
      </c>
      <c r="DI321" s="112">
        <f t="shared" si="86"/>
        <v>4887083.3333333302</v>
      </c>
      <c r="DJ321" s="73">
        <f t="shared" si="86"/>
        <v>5044218.75</v>
      </c>
      <c r="DK321" s="74">
        <f t="shared" ref="DK321:DU321" si="87">+SUM(DK322:DK328)</f>
        <v>5044218.75</v>
      </c>
      <c r="DL321" s="74">
        <f t="shared" si="87"/>
        <v>5044218.75</v>
      </c>
      <c r="DM321" s="74">
        <f t="shared" si="87"/>
        <v>5044218.75</v>
      </c>
      <c r="DN321" s="74">
        <f t="shared" si="87"/>
        <v>5044218.75</v>
      </c>
      <c r="DO321" s="74">
        <f t="shared" si="87"/>
        <v>5044218.75</v>
      </c>
      <c r="DP321" s="74">
        <f t="shared" si="87"/>
        <v>5044218.75</v>
      </c>
      <c r="DQ321" s="74">
        <f t="shared" si="87"/>
        <v>5044218.75</v>
      </c>
      <c r="DR321" s="74">
        <f t="shared" si="87"/>
        <v>5044218.75</v>
      </c>
      <c r="DS321" s="74">
        <f t="shared" si="87"/>
        <v>5044218.75</v>
      </c>
      <c r="DT321" s="74">
        <f t="shared" si="87"/>
        <v>5044218.75</v>
      </c>
      <c r="DU321" s="75">
        <f t="shared" si="87"/>
        <v>5044218.75</v>
      </c>
      <c r="DV321" s="97">
        <v>6050468.75</v>
      </c>
      <c r="DW321" s="97">
        <v>6050468.75</v>
      </c>
      <c r="DX321" s="97">
        <v>6050468.75</v>
      </c>
      <c r="DY321" s="97">
        <v>6050468.75</v>
      </c>
      <c r="DZ321" s="97">
        <v>6050468.75</v>
      </c>
      <c r="EA321" s="97">
        <v>6050468.75</v>
      </c>
      <c r="EB321" s="97">
        <v>6050468.75</v>
      </c>
      <c r="EC321" s="97">
        <v>6050468.75</v>
      </c>
      <c r="ED321" s="97">
        <v>6050468.75</v>
      </c>
      <c r="EE321" s="97">
        <v>6050468.75</v>
      </c>
      <c r="EF321" s="97">
        <v>6050468.75</v>
      </c>
      <c r="EG321" s="97">
        <v>6050468.75</v>
      </c>
      <c r="EH321" s="97">
        <v>9559635.4166666698</v>
      </c>
      <c r="EI321" s="97">
        <v>9559635.4166666698</v>
      </c>
      <c r="EJ321" s="97">
        <v>9559635.4166666698</v>
      </c>
      <c r="EK321" s="97">
        <v>9559635.4166666698</v>
      </c>
      <c r="EL321" s="97">
        <v>9559635.4166666698</v>
      </c>
      <c r="EM321" s="97">
        <v>9559635.4166666698</v>
      </c>
      <c r="EN321" s="97">
        <v>9559635.4166666698</v>
      </c>
      <c r="EO321" s="97">
        <v>9559635.4166666698</v>
      </c>
      <c r="EP321" s="97">
        <v>9559635.4166666698</v>
      </c>
      <c r="EQ321" s="97">
        <v>9559635.4166666698</v>
      </c>
      <c r="ER321" s="97">
        <v>9559635.4166666698</v>
      </c>
      <c r="ES321" s="97">
        <v>9559635.4166666698</v>
      </c>
      <c r="ET321" s="106">
        <v>6651000</v>
      </c>
      <c r="EU321" s="106">
        <v>6651000</v>
      </c>
      <c r="EV321" s="106">
        <v>6651000</v>
      </c>
      <c r="EW321" s="106">
        <v>6651000</v>
      </c>
      <c r="EX321" s="106">
        <v>6651000</v>
      </c>
      <c r="EY321" s="106">
        <v>6651000</v>
      </c>
      <c r="EZ321" s="106">
        <v>6651000</v>
      </c>
      <c r="FA321" s="106">
        <v>6651000</v>
      </c>
      <c r="FB321" s="106">
        <v>7394520.9775</v>
      </c>
      <c r="FC321" s="106">
        <v>7394520.9775</v>
      </c>
      <c r="FD321" s="106">
        <v>7394520.9775</v>
      </c>
      <c r="FE321" s="106">
        <v>7394520.9775</v>
      </c>
      <c r="FF321" s="106">
        <v>6747975</v>
      </c>
      <c r="FG321" s="106">
        <v>6749275</v>
      </c>
      <c r="FH321" s="106">
        <v>6749275</v>
      </c>
      <c r="FI321" s="106">
        <v>6749275</v>
      </c>
      <c r="FJ321" s="106">
        <v>6749275</v>
      </c>
      <c r="FK321" s="106">
        <v>6749275</v>
      </c>
      <c r="FL321" s="106">
        <v>6749275</v>
      </c>
      <c r="FM321" s="106">
        <v>6749275</v>
      </c>
      <c r="FN321" s="106">
        <v>6749275</v>
      </c>
      <c r="FO321" s="106">
        <v>6749275</v>
      </c>
      <c r="FP321" s="106">
        <v>6749275</v>
      </c>
      <c r="FQ321" s="106">
        <v>6749275</v>
      </c>
      <c r="FR321" s="106">
        <v>6448137.3300000001</v>
      </c>
      <c r="FS321" s="106">
        <v>7174722.5199999996</v>
      </c>
      <c r="FT321" s="106">
        <v>6752335.3300000001</v>
      </c>
      <c r="FU321" s="106">
        <v>6378584.3399999999</v>
      </c>
      <c r="FV321" s="106">
        <v>5976072.2199999997</v>
      </c>
      <c r="FW321" s="106">
        <v>7400021.1799999997</v>
      </c>
      <c r="FX321" s="106">
        <v>7400021.1799999997</v>
      </c>
      <c r="FY321" s="106">
        <v>7400021.1799999997</v>
      </c>
      <c r="FZ321" s="106">
        <v>7400021.1799999997</v>
      </c>
      <c r="GA321" s="106">
        <v>7400021.1799999997</v>
      </c>
      <c r="GB321" s="106">
        <v>7400021.1799999997</v>
      </c>
      <c r="GC321" s="106">
        <v>7400021.1799999997</v>
      </c>
      <c r="GE321" s="101">
        <f>SUM(FR321:GC321)</f>
        <v>84530000</v>
      </c>
    </row>
    <row r="322" spans="1:187">
      <c r="C322" s="59" t="s">
        <v>6</v>
      </c>
      <c r="D322" s="59" t="str">
        <f t="shared" ref="D322:D328" si="88">+CONCATENATE(D113,"p")</f>
        <v>4211p</v>
      </c>
      <c r="E322" s="60" t="s">
        <v>421</v>
      </c>
      <c r="F322" s="67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9"/>
      <c r="R322" s="67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9"/>
      <c r="AD322" s="67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9"/>
      <c r="AP322" s="67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9"/>
      <c r="BB322" s="67"/>
      <c r="BC322" s="68"/>
      <c r="BD322" s="68"/>
      <c r="BE322" s="68"/>
      <c r="BF322" s="68"/>
      <c r="BG322" s="68"/>
      <c r="BH322" s="68"/>
      <c r="BI322" s="68"/>
      <c r="BJ322" s="68"/>
      <c r="BK322" s="68"/>
      <c r="BL322" s="68"/>
      <c r="BM322" s="69"/>
      <c r="BN322" s="67"/>
      <c r="BO322" s="68"/>
      <c r="BP322" s="68"/>
      <c r="BQ322" s="68"/>
      <c r="BR322" s="68"/>
      <c r="BS322" s="68"/>
      <c r="BT322" s="68"/>
      <c r="BU322" s="68"/>
      <c r="BV322" s="68"/>
      <c r="BW322" s="68"/>
      <c r="BX322" s="68"/>
      <c r="BY322" s="69"/>
      <c r="BZ322" s="67"/>
      <c r="CA322" s="68"/>
      <c r="CB322" s="68"/>
      <c r="CC322" s="68"/>
      <c r="CD322" s="68"/>
      <c r="CE322" s="68"/>
      <c r="CF322" s="68"/>
      <c r="CG322" s="68"/>
      <c r="CH322" s="68"/>
      <c r="CI322" s="68"/>
      <c r="CJ322" s="68"/>
      <c r="CK322" s="68"/>
      <c r="CL322" s="67">
        <v>432500</v>
      </c>
      <c r="CM322" s="68">
        <v>432500</v>
      </c>
      <c r="CN322" s="68">
        <v>432500</v>
      </c>
      <c r="CO322" s="68">
        <v>432500</v>
      </c>
      <c r="CP322" s="68">
        <v>432500</v>
      </c>
      <c r="CQ322" s="68">
        <v>432500</v>
      </c>
      <c r="CR322" s="68">
        <v>432500</v>
      </c>
      <c r="CS322" s="68">
        <v>432500</v>
      </c>
      <c r="CT322" s="68">
        <v>432500</v>
      </c>
      <c r="CU322" s="68">
        <v>432500</v>
      </c>
      <c r="CV322" s="68">
        <v>432500</v>
      </c>
      <c r="CW322" s="69">
        <v>432500</v>
      </c>
      <c r="CX322" s="107">
        <v>450000</v>
      </c>
      <c r="CY322" s="108">
        <v>450000</v>
      </c>
      <c r="CZ322" s="108">
        <v>450000</v>
      </c>
      <c r="DA322" s="108">
        <v>450000</v>
      </c>
      <c r="DB322" s="108">
        <v>450000</v>
      </c>
      <c r="DC322" s="108">
        <v>450000</v>
      </c>
      <c r="DD322" s="108">
        <v>450000</v>
      </c>
      <c r="DE322" s="108">
        <v>450000</v>
      </c>
      <c r="DF322" s="108">
        <v>450000</v>
      </c>
      <c r="DG322" s="108">
        <v>450000</v>
      </c>
      <c r="DH322" s="108">
        <v>450000</v>
      </c>
      <c r="DI322" s="109">
        <v>450000</v>
      </c>
      <c r="DJ322" s="67">
        <v>425000</v>
      </c>
      <c r="DK322" s="68">
        <v>425000</v>
      </c>
      <c r="DL322" s="68">
        <v>425000</v>
      </c>
      <c r="DM322" s="68">
        <v>425000</v>
      </c>
      <c r="DN322" s="68">
        <v>425000</v>
      </c>
      <c r="DO322" s="68">
        <v>425000</v>
      </c>
      <c r="DP322" s="68">
        <v>425000</v>
      </c>
      <c r="DQ322" s="68">
        <v>425000</v>
      </c>
      <c r="DR322" s="68">
        <v>425000</v>
      </c>
      <c r="DS322" s="68">
        <v>425000</v>
      </c>
      <c r="DT322" s="68">
        <v>425000</v>
      </c>
      <c r="DU322" s="69">
        <v>425000</v>
      </c>
      <c r="DV322" s="83"/>
      <c r="DW322" s="83"/>
      <c r="DX322" s="83"/>
      <c r="DY322" s="83"/>
      <c r="DZ322" s="83"/>
      <c r="EA322" s="83"/>
      <c r="EB322" s="83"/>
      <c r="EC322" s="83"/>
      <c r="ED322" s="83"/>
      <c r="EE322" s="83"/>
      <c r="EF322" s="83"/>
      <c r="EG322" s="83"/>
      <c r="EH322" s="83"/>
      <c r="EI322" s="61"/>
      <c r="EJ322" s="61"/>
      <c r="EK322" s="61"/>
      <c r="EL322" s="61"/>
      <c r="EM322" s="61"/>
      <c r="EN322" s="61"/>
      <c r="EO322" s="61"/>
      <c r="EP322" s="61"/>
      <c r="EQ322" s="61"/>
      <c r="ER322" s="61"/>
      <c r="ES322" s="61"/>
      <c r="FR322" s="63"/>
      <c r="FS322" s="63"/>
      <c r="FT322" s="63"/>
      <c r="FU322" s="63"/>
      <c r="FV322" s="63"/>
      <c r="FW322" s="63"/>
      <c r="FX322" s="63"/>
      <c r="FY322" s="63"/>
      <c r="FZ322" s="63"/>
      <c r="GA322" s="63"/>
      <c r="GB322" s="63"/>
      <c r="GC322" s="63"/>
      <c r="GE322" s="102"/>
    </row>
    <row r="323" spans="1:187">
      <c r="D323" s="59" t="str">
        <f t="shared" si="88"/>
        <v>4212p</v>
      </c>
      <c r="E323" s="60" t="s">
        <v>422</v>
      </c>
      <c r="F323" s="67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9"/>
      <c r="R323" s="67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9"/>
      <c r="AD323" s="67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9"/>
      <c r="AP323" s="67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9"/>
      <c r="BB323" s="67"/>
      <c r="BC323" s="68"/>
      <c r="BD323" s="68"/>
      <c r="BE323" s="68"/>
      <c r="BF323" s="68"/>
      <c r="BG323" s="68"/>
      <c r="BH323" s="68"/>
      <c r="BI323" s="68"/>
      <c r="BJ323" s="68"/>
      <c r="BK323" s="68"/>
      <c r="BL323" s="68"/>
      <c r="BM323" s="69"/>
      <c r="BN323" s="67"/>
      <c r="BO323" s="68"/>
      <c r="BP323" s="68"/>
      <c r="BQ323" s="68"/>
      <c r="BR323" s="68"/>
      <c r="BS323" s="68"/>
      <c r="BT323" s="68"/>
      <c r="BU323" s="68"/>
      <c r="BV323" s="68"/>
      <c r="BW323" s="68"/>
      <c r="BX323" s="68"/>
      <c r="BY323" s="69"/>
      <c r="BZ323" s="67"/>
      <c r="CA323" s="68"/>
      <c r="CB323" s="68"/>
      <c r="CC323" s="68"/>
      <c r="CD323" s="68"/>
      <c r="CE323" s="68"/>
      <c r="CF323" s="68"/>
      <c r="CG323" s="68"/>
      <c r="CH323" s="68"/>
      <c r="CI323" s="68"/>
      <c r="CJ323" s="68"/>
      <c r="CK323" s="68"/>
      <c r="CL323" s="67">
        <v>725000</v>
      </c>
      <c r="CM323" s="68">
        <v>725000</v>
      </c>
      <c r="CN323" s="68">
        <v>725000</v>
      </c>
      <c r="CO323" s="68">
        <v>725000</v>
      </c>
      <c r="CP323" s="68">
        <v>725000</v>
      </c>
      <c r="CQ323" s="68">
        <v>725000</v>
      </c>
      <c r="CR323" s="68">
        <v>725000</v>
      </c>
      <c r="CS323" s="68">
        <v>725000</v>
      </c>
      <c r="CT323" s="68">
        <v>725000</v>
      </c>
      <c r="CU323" s="68">
        <v>725000</v>
      </c>
      <c r="CV323" s="68">
        <v>725000</v>
      </c>
      <c r="CW323" s="69">
        <v>725000</v>
      </c>
      <c r="CX323" s="107">
        <v>693333.33333333302</v>
      </c>
      <c r="CY323" s="108">
        <v>693333.33333333302</v>
      </c>
      <c r="CZ323" s="108">
        <v>693333.33333333302</v>
      </c>
      <c r="DA323" s="108">
        <v>693333.33333333302</v>
      </c>
      <c r="DB323" s="108">
        <v>693333.33333333302</v>
      </c>
      <c r="DC323" s="108">
        <v>693333.33333333302</v>
      </c>
      <c r="DD323" s="108">
        <v>693333.33333333302</v>
      </c>
      <c r="DE323" s="108">
        <v>693333.33333333302</v>
      </c>
      <c r="DF323" s="108">
        <v>693333.33333333302</v>
      </c>
      <c r="DG323" s="108">
        <v>693333.33333333302</v>
      </c>
      <c r="DH323" s="108">
        <v>693333.33333333302</v>
      </c>
      <c r="DI323" s="109">
        <v>693333.33333333302</v>
      </c>
      <c r="DJ323" s="67">
        <v>691666.66666666698</v>
      </c>
      <c r="DK323" s="68">
        <v>691666.66666666698</v>
      </c>
      <c r="DL323" s="68">
        <v>691666.66666666698</v>
      </c>
      <c r="DM323" s="68">
        <v>691666.66666666698</v>
      </c>
      <c r="DN323" s="68">
        <v>691666.66666666698</v>
      </c>
      <c r="DO323" s="68">
        <v>691666.66666666698</v>
      </c>
      <c r="DP323" s="68">
        <v>691666.66666666698</v>
      </c>
      <c r="DQ323" s="68">
        <v>691666.66666666698</v>
      </c>
      <c r="DR323" s="68">
        <v>691666.66666666698</v>
      </c>
      <c r="DS323" s="68">
        <v>691666.66666666698</v>
      </c>
      <c r="DT323" s="68">
        <v>691666.66666666698</v>
      </c>
      <c r="DU323" s="69">
        <v>691666.66666666698</v>
      </c>
      <c r="DV323" s="83"/>
      <c r="DW323" s="83"/>
      <c r="DX323" s="83"/>
      <c r="DY323" s="83"/>
      <c r="DZ323" s="83"/>
      <c r="EA323" s="83"/>
      <c r="EB323" s="83"/>
      <c r="EC323" s="83"/>
      <c r="ED323" s="83"/>
      <c r="EE323" s="83"/>
      <c r="EF323" s="83"/>
      <c r="EG323" s="83"/>
      <c r="EH323" s="83"/>
      <c r="EI323" s="61"/>
      <c r="EJ323" s="61"/>
      <c r="EK323" s="61"/>
      <c r="EL323" s="61"/>
      <c r="EM323" s="61"/>
      <c r="EN323" s="61"/>
      <c r="EO323" s="61"/>
      <c r="EP323" s="61"/>
      <c r="EQ323" s="61"/>
      <c r="ER323" s="61"/>
      <c r="ES323" s="61"/>
      <c r="FR323" s="63"/>
      <c r="FS323" s="63"/>
      <c r="FT323" s="63"/>
      <c r="FU323" s="63"/>
      <c r="FV323" s="63"/>
      <c r="FW323" s="63"/>
      <c r="FX323" s="63"/>
      <c r="FY323" s="63"/>
      <c r="FZ323" s="63"/>
      <c r="GA323" s="63"/>
      <c r="GB323" s="63"/>
      <c r="GC323" s="63"/>
      <c r="GE323" s="102"/>
    </row>
    <row r="324" spans="1:187" ht="30">
      <c r="D324" s="59" t="str">
        <f t="shared" si="88"/>
        <v>4213p</v>
      </c>
      <c r="E324" s="60" t="s">
        <v>423</v>
      </c>
      <c r="F324" s="67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9"/>
      <c r="R324" s="67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9"/>
      <c r="AD324" s="67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9"/>
      <c r="AP324" s="67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9"/>
      <c r="BB324" s="67"/>
      <c r="BC324" s="68"/>
      <c r="BD324" s="68"/>
      <c r="BE324" s="68"/>
      <c r="BF324" s="68"/>
      <c r="BG324" s="68"/>
      <c r="BH324" s="68"/>
      <c r="BI324" s="68"/>
      <c r="BJ324" s="68"/>
      <c r="BK324" s="68"/>
      <c r="BL324" s="68"/>
      <c r="BM324" s="69"/>
      <c r="BN324" s="67"/>
      <c r="BO324" s="68"/>
      <c r="BP324" s="68"/>
      <c r="BQ324" s="68"/>
      <c r="BR324" s="68"/>
      <c r="BS324" s="68"/>
      <c r="BT324" s="68"/>
      <c r="BU324" s="68"/>
      <c r="BV324" s="68"/>
      <c r="BW324" s="68"/>
      <c r="BX324" s="68"/>
      <c r="BY324" s="69"/>
      <c r="BZ324" s="67"/>
      <c r="CA324" s="68"/>
      <c r="CB324" s="68"/>
      <c r="CC324" s="68"/>
      <c r="CD324" s="68"/>
      <c r="CE324" s="68"/>
      <c r="CF324" s="68"/>
      <c r="CG324" s="68"/>
      <c r="CH324" s="68"/>
      <c r="CI324" s="68"/>
      <c r="CJ324" s="68"/>
      <c r="CK324" s="68"/>
      <c r="CL324" s="67">
        <v>1500000</v>
      </c>
      <c r="CM324" s="68">
        <v>1500000</v>
      </c>
      <c r="CN324" s="68">
        <v>1500000</v>
      </c>
      <c r="CO324" s="68">
        <v>1500000</v>
      </c>
      <c r="CP324" s="68">
        <v>1500000</v>
      </c>
      <c r="CQ324" s="68">
        <v>1500000</v>
      </c>
      <c r="CR324" s="68">
        <v>1500000</v>
      </c>
      <c r="CS324" s="68">
        <v>1500000</v>
      </c>
      <c r="CT324" s="68">
        <v>1500000</v>
      </c>
      <c r="CU324" s="68">
        <v>1500000</v>
      </c>
      <c r="CV324" s="68">
        <v>1500000</v>
      </c>
      <c r="CW324" s="69">
        <v>1500000</v>
      </c>
      <c r="CX324" s="107">
        <v>1416666.66666667</v>
      </c>
      <c r="CY324" s="108">
        <v>1416666.66666667</v>
      </c>
      <c r="CZ324" s="108">
        <v>1416666.66666667</v>
      </c>
      <c r="DA324" s="108">
        <v>1416666.66666667</v>
      </c>
      <c r="DB324" s="108">
        <v>1416666.66666667</v>
      </c>
      <c r="DC324" s="108">
        <v>1416666.66666667</v>
      </c>
      <c r="DD324" s="108">
        <v>1416666.66666667</v>
      </c>
      <c r="DE324" s="108">
        <v>1416666.66666667</v>
      </c>
      <c r="DF324" s="108">
        <v>1416666.66666667</v>
      </c>
      <c r="DG324" s="108">
        <v>1416666.66666667</v>
      </c>
      <c r="DH324" s="108">
        <v>1416666.66666667</v>
      </c>
      <c r="DI324" s="109">
        <v>1416666.66666667</v>
      </c>
      <c r="DJ324" s="67">
        <v>1408333.33333333</v>
      </c>
      <c r="DK324" s="68">
        <v>1408333.33333333</v>
      </c>
      <c r="DL324" s="68">
        <v>1408333.33333333</v>
      </c>
      <c r="DM324" s="68">
        <v>1408333.33333333</v>
      </c>
      <c r="DN324" s="68">
        <v>1408333.33333333</v>
      </c>
      <c r="DO324" s="68">
        <v>1408333.33333333</v>
      </c>
      <c r="DP324" s="68">
        <v>1408333.33333333</v>
      </c>
      <c r="DQ324" s="68">
        <v>1408333.33333333</v>
      </c>
      <c r="DR324" s="68">
        <v>1408333.33333333</v>
      </c>
      <c r="DS324" s="68">
        <v>1408333.33333333</v>
      </c>
      <c r="DT324" s="68">
        <v>1408333.33333333</v>
      </c>
      <c r="DU324" s="69">
        <v>1408333.33333333</v>
      </c>
      <c r="DV324" s="83"/>
      <c r="DW324" s="83"/>
      <c r="DX324" s="83"/>
      <c r="DY324" s="83"/>
      <c r="DZ324" s="83"/>
      <c r="EA324" s="83"/>
      <c r="EB324" s="83"/>
      <c r="EC324" s="83"/>
      <c r="ED324" s="83"/>
      <c r="EE324" s="83"/>
      <c r="EF324" s="83"/>
      <c r="EG324" s="83"/>
      <c r="EH324" s="83"/>
      <c r="EI324" s="61"/>
      <c r="EJ324" s="61"/>
      <c r="EK324" s="61"/>
      <c r="EL324" s="61"/>
      <c r="EM324" s="61"/>
      <c r="EN324" s="61"/>
      <c r="EO324" s="61"/>
      <c r="EP324" s="61"/>
      <c r="EQ324" s="61"/>
      <c r="ER324" s="61"/>
      <c r="ES324" s="61"/>
      <c r="FR324" s="63"/>
      <c r="FS324" s="63"/>
      <c r="FT324" s="63"/>
      <c r="FU324" s="63"/>
      <c r="FV324" s="63"/>
      <c r="FW324" s="63"/>
      <c r="FX324" s="63"/>
      <c r="FY324" s="63"/>
      <c r="FZ324" s="63"/>
      <c r="GA324" s="63"/>
      <c r="GB324" s="63"/>
      <c r="GC324" s="63"/>
      <c r="GE324" s="102"/>
    </row>
    <row r="325" spans="1:187">
      <c r="D325" s="59" t="str">
        <f t="shared" si="88"/>
        <v>4214p</v>
      </c>
      <c r="E325" s="60" t="s">
        <v>424</v>
      </c>
      <c r="F325" s="67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9"/>
      <c r="R325" s="67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9"/>
      <c r="AD325" s="67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9"/>
      <c r="AP325" s="67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9"/>
      <c r="BB325" s="67"/>
      <c r="BC325" s="68"/>
      <c r="BD325" s="68"/>
      <c r="BE325" s="68"/>
      <c r="BF325" s="68"/>
      <c r="BG325" s="68"/>
      <c r="BH325" s="68"/>
      <c r="BI325" s="68"/>
      <c r="BJ325" s="68"/>
      <c r="BK325" s="68"/>
      <c r="BL325" s="68"/>
      <c r="BM325" s="69"/>
      <c r="BN325" s="67"/>
      <c r="BO325" s="68"/>
      <c r="BP325" s="68"/>
      <c r="BQ325" s="68"/>
      <c r="BR325" s="68"/>
      <c r="BS325" s="68"/>
      <c r="BT325" s="68"/>
      <c r="BU325" s="68"/>
      <c r="BV325" s="68"/>
      <c r="BW325" s="68"/>
      <c r="BX325" s="68"/>
      <c r="BY325" s="69"/>
      <c r="BZ325" s="67"/>
      <c r="CA325" s="68"/>
      <c r="CB325" s="68"/>
      <c r="CC325" s="68"/>
      <c r="CD325" s="68"/>
      <c r="CE325" s="68"/>
      <c r="CF325" s="68"/>
      <c r="CG325" s="68"/>
      <c r="CH325" s="68"/>
      <c r="CI325" s="68"/>
      <c r="CJ325" s="68"/>
      <c r="CK325" s="68"/>
      <c r="CL325" s="67">
        <v>1458333.33333333</v>
      </c>
      <c r="CM325" s="68">
        <v>1458333.33333333</v>
      </c>
      <c r="CN325" s="68">
        <v>1458333.33333333</v>
      </c>
      <c r="CO325" s="68">
        <v>1458333.33333333</v>
      </c>
      <c r="CP325" s="68">
        <v>1458333.33333333</v>
      </c>
      <c r="CQ325" s="68">
        <v>1458333.33333333</v>
      </c>
      <c r="CR325" s="68">
        <v>1458333.33333333</v>
      </c>
      <c r="CS325" s="68">
        <v>1458333.33333333</v>
      </c>
      <c r="CT325" s="68">
        <v>1458333.33333333</v>
      </c>
      <c r="CU325" s="68">
        <v>1458333.33333333</v>
      </c>
      <c r="CV325" s="68">
        <v>1458333.33333333</v>
      </c>
      <c r="CW325" s="69">
        <v>1458333.33333333</v>
      </c>
      <c r="CX325" s="107">
        <v>1333333.33333333</v>
      </c>
      <c r="CY325" s="108">
        <v>1333333.33333333</v>
      </c>
      <c r="CZ325" s="108">
        <v>1333333.33333333</v>
      </c>
      <c r="DA325" s="108">
        <v>1333333.33333333</v>
      </c>
      <c r="DB325" s="108">
        <v>1333333.33333333</v>
      </c>
      <c r="DC325" s="108">
        <v>1333333.33333333</v>
      </c>
      <c r="DD325" s="108">
        <v>1333333.33333333</v>
      </c>
      <c r="DE325" s="108">
        <v>1333333.33333333</v>
      </c>
      <c r="DF325" s="108">
        <v>1333333.33333333</v>
      </c>
      <c r="DG325" s="108">
        <v>1333333.33333333</v>
      </c>
      <c r="DH325" s="108">
        <v>1333333.33333333</v>
      </c>
      <c r="DI325" s="109">
        <v>1333333.33333333</v>
      </c>
      <c r="DJ325" s="67">
        <v>1366666.66666667</v>
      </c>
      <c r="DK325" s="68">
        <v>1366666.66666667</v>
      </c>
      <c r="DL325" s="68">
        <v>1366666.66666667</v>
      </c>
      <c r="DM325" s="68">
        <v>1366666.66666667</v>
      </c>
      <c r="DN325" s="68">
        <v>1366666.66666667</v>
      </c>
      <c r="DO325" s="68">
        <v>1366666.66666667</v>
      </c>
      <c r="DP325" s="68">
        <v>1366666.66666667</v>
      </c>
      <c r="DQ325" s="68">
        <v>1366666.66666667</v>
      </c>
      <c r="DR325" s="68">
        <v>1366666.66666667</v>
      </c>
      <c r="DS325" s="68">
        <v>1366666.66666667</v>
      </c>
      <c r="DT325" s="68">
        <v>1366666.66666667</v>
      </c>
      <c r="DU325" s="69">
        <v>1366666.66666667</v>
      </c>
      <c r="DV325" s="83"/>
      <c r="DW325" s="83"/>
      <c r="DX325" s="83"/>
      <c r="DY325" s="83"/>
      <c r="DZ325" s="83"/>
      <c r="EA325" s="83"/>
      <c r="EB325" s="83"/>
      <c r="EC325" s="83"/>
      <c r="ED325" s="83"/>
      <c r="EE325" s="83"/>
      <c r="EF325" s="83"/>
      <c r="EG325" s="83"/>
      <c r="EH325" s="83"/>
      <c r="EI325" s="61"/>
      <c r="EJ325" s="61"/>
      <c r="EK325" s="61"/>
      <c r="EL325" s="61"/>
      <c r="EM325" s="61"/>
      <c r="EN325" s="61"/>
      <c r="EO325" s="61"/>
      <c r="EP325" s="61"/>
      <c r="EQ325" s="61"/>
      <c r="ER325" s="61"/>
      <c r="ES325" s="61"/>
      <c r="FR325" s="63"/>
      <c r="FS325" s="63"/>
      <c r="FT325" s="63"/>
      <c r="FU325" s="63"/>
      <c r="FV325" s="63"/>
      <c r="FW325" s="63"/>
      <c r="FX325" s="63"/>
      <c r="FY325" s="63"/>
      <c r="FZ325" s="63"/>
      <c r="GA325" s="63"/>
      <c r="GB325" s="63"/>
      <c r="GC325" s="63"/>
      <c r="GE325" s="102"/>
    </row>
    <row r="326" spans="1:187">
      <c r="D326" s="59" t="str">
        <f t="shared" si="88"/>
        <v>4215p</v>
      </c>
      <c r="E326" s="60" t="s">
        <v>425</v>
      </c>
      <c r="F326" s="67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9"/>
      <c r="R326" s="67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9"/>
      <c r="AD326" s="67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9"/>
      <c r="AP326" s="67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9"/>
      <c r="BB326" s="67"/>
      <c r="BC326" s="68"/>
      <c r="BD326" s="68"/>
      <c r="BE326" s="68"/>
      <c r="BF326" s="68"/>
      <c r="BG326" s="68"/>
      <c r="BH326" s="68"/>
      <c r="BI326" s="68"/>
      <c r="BJ326" s="68"/>
      <c r="BK326" s="68"/>
      <c r="BL326" s="68"/>
      <c r="BM326" s="69"/>
      <c r="BN326" s="67"/>
      <c r="BO326" s="68"/>
      <c r="BP326" s="68"/>
      <c r="BQ326" s="68"/>
      <c r="BR326" s="68"/>
      <c r="BS326" s="68"/>
      <c r="BT326" s="68"/>
      <c r="BU326" s="68"/>
      <c r="BV326" s="68"/>
      <c r="BW326" s="68"/>
      <c r="BX326" s="68"/>
      <c r="BY326" s="69"/>
      <c r="BZ326" s="67"/>
      <c r="CA326" s="68"/>
      <c r="CB326" s="68"/>
      <c r="CC326" s="68"/>
      <c r="CD326" s="68"/>
      <c r="CE326" s="68"/>
      <c r="CF326" s="68"/>
      <c r="CG326" s="68"/>
      <c r="CH326" s="68"/>
      <c r="CI326" s="68"/>
      <c r="CJ326" s="68"/>
      <c r="CK326" s="68"/>
      <c r="CL326" s="67">
        <v>665750</v>
      </c>
      <c r="CM326" s="68">
        <v>665750</v>
      </c>
      <c r="CN326" s="68">
        <v>665750</v>
      </c>
      <c r="CO326" s="68">
        <v>665750</v>
      </c>
      <c r="CP326" s="68">
        <v>665750</v>
      </c>
      <c r="CQ326" s="68">
        <v>665750</v>
      </c>
      <c r="CR326" s="68">
        <v>665750</v>
      </c>
      <c r="CS326" s="68">
        <v>665750</v>
      </c>
      <c r="CT326" s="68">
        <v>665750</v>
      </c>
      <c r="CU326" s="68">
        <v>665750</v>
      </c>
      <c r="CV326" s="68">
        <v>665750</v>
      </c>
      <c r="CW326" s="69">
        <v>665750</v>
      </c>
      <c r="CX326" s="107">
        <v>681250</v>
      </c>
      <c r="CY326" s="108">
        <v>681250</v>
      </c>
      <c r="CZ326" s="108">
        <v>681250</v>
      </c>
      <c r="DA326" s="108">
        <v>681250</v>
      </c>
      <c r="DB326" s="108">
        <v>681250</v>
      </c>
      <c r="DC326" s="108">
        <v>681250</v>
      </c>
      <c r="DD326" s="108">
        <v>681250</v>
      </c>
      <c r="DE326" s="108">
        <v>681250</v>
      </c>
      <c r="DF326" s="108">
        <v>681250</v>
      </c>
      <c r="DG326" s="108">
        <v>681250</v>
      </c>
      <c r="DH326" s="108">
        <v>681250</v>
      </c>
      <c r="DI326" s="109">
        <v>681250</v>
      </c>
      <c r="DJ326" s="67">
        <v>833333.33333333302</v>
      </c>
      <c r="DK326" s="68">
        <v>833333.33333333302</v>
      </c>
      <c r="DL326" s="68">
        <v>833333.33333333302</v>
      </c>
      <c r="DM326" s="68">
        <v>833333.33333333302</v>
      </c>
      <c r="DN326" s="68">
        <v>833333.33333333302</v>
      </c>
      <c r="DO326" s="68">
        <v>833333.33333333302</v>
      </c>
      <c r="DP326" s="68">
        <v>833333.33333333302</v>
      </c>
      <c r="DQ326" s="68">
        <v>833333.33333333302</v>
      </c>
      <c r="DR326" s="68">
        <v>833333.33333333302</v>
      </c>
      <c r="DS326" s="68">
        <v>833333.33333333302</v>
      </c>
      <c r="DT326" s="68">
        <v>833333.33333333302</v>
      </c>
      <c r="DU326" s="69">
        <v>833333.33333333302</v>
      </c>
      <c r="DV326" s="83"/>
      <c r="DW326" s="83"/>
      <c r="DX326" s="83"/>
      <c r="DY326" s="83"/>
      <c r="DZ326" s="83"/>
      <c r="EA326" s="83"/>
      <c r="EB326" s="83"/>
      <c r="EC326" s="83"/>
      <c r="ED326" s="83"/>
      <c r="EE326" s="83"/>
      <c r="EF326" s="83"/>
      <c r="EG326" s="83"/>
      <c r="EH326" s="83"/>
      <c r="EI326" s="61"/>
      <c r="EJ326" s="61"/>
      <c r="EK326" s="61"/>
      <c r="EL326" s="61"/>
      <c r="EM326" s="61"/>
      <c r="EN326" s="61"/>
      <c r="EO326" s="61"/>
      <c r="EP326" s="61"/>
      <c r="EQ326" s="61"/>
      <c r="ER326" s="61"/>
      <c r="ES326" s="61"/>
      <c r="FR326" s="63"/>
      <c r="FS326" s="63"/>
      <c r="FT326" s="63"/>
      <c r="FU326" s="63"/>
      <c r="FV326" s="63"/>
      <c r="FW326" s="63"/>
      <c r="FX326" s="63"/>
      <c r="FY326" s="63"/>
      <c r="FZ326" s="63"/>
      <c r="GA326" s="63"/>
      <c r="GB326" s="63"/>
      <c r="GC326" s="63"/>
      <c r="GE326" s="102"/>
    </row>
    <row r="327" spans="1:187" ht="30">
      <c r="D327" s="59" t="str">
        <f t="shared" si="88"/>
        <v>4216p</v>
      </c>
      <c r="E327" s="60" t="s">
        <v>426</v>
      </c>
      <c r="F327" s="67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9"/>
      <c r="R327" s="67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9"/>
      <c r="AD327" s="67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9"/>
      <c r="AP327" s="67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9"/>
      <c r="BB327" s="67"/>
      <c r="BC327" s="68"/>
      <c r="BD327" s="68"/>
      <c r="BE327" s="68"/>
      <c r="BF327" s="68"/>
      <c r="BG327" s="68"/>
      <c r="BH327" s="68"/>
      <c r="BI327" s="68"/>
      <c r="BJ327" s="68"/>
      <c r="BK327" s="68"/>
      <c r="BL327" s="68"/>
      <c r="BM327" s="69"/>
      <c r="BN327" s="67"/>
      <c r="BO327" s="68"/>
      <c r="BP327" s="68"/>
      <c r="BQ327" s="68"/>
      <c r="BR327" s="68"/>
      <c r="BS327" s="68"/>
      <c r="BT327" s="68"/>
      <c r="BU327" s="68"/>
      <c r="BV327" s="68"/>
      <c r="BW327" s="68"/>
      <c r="BX327" s="68"/>
      <c r="BY327" s="69"/>
      <c r="BZ327" s="67"/>
      <c r="CA327" s="68"/>
      <c r="CB327" s="68"/>
      <c r="CC327" s="68"/>
      <c r="CD327" s="68"/>
      <c r="CE327" s="68"/>
      <c r="CF327" s="68"/>
      <c r="CG327" s="68"/>
      <c r="CH327" s="68"/>
      <c r="CI327" s="68"/>
      <c r="CJ327" s="68"/>
      <c r="CK327" s="68"/>
      <c r="CL327" s="67">
        <v>50833.333333333299</v>
      </c>
      <c r="CM327" s="68">
        <v>50833.333333333299</v>
      </c>
      <c r="CN327" s="68">
        <v>50833.333333333299</v>
      </c>
      <c r="CO327" s="68">
        <v>50833.333333333299</v>
      </c>
      <c r="CP327" s="68">
        <v>50833.333333333299</v>
      </c>
      <c r="CQ327" s="68">
        <v>50833.333333333299</v>
      </c>
      <c r="CR327" s="68">
        <v>50833.333333333299</v>
      </c>
      <c r="CS327" s="68">
        <v>50833.333333333299</v>
      </c>
      <c r="CT327" s="68">
        <v>50833.333333333299</v>
      </c>
      <c r="CU327" s="68">
        <v>50833.333333333299</v>
      </c>
      <c r="CV327" s="68">
        <v>50833.333333333299</v>
      </c>
      <c r="CW327" s="69">
        <v>50833.333333333299</v>
      </c>
      <c r="CX327" s="107">
        <v>54166.666666666701</v>
      </c>
      <c r="CY327" s="108">
        <v>54166.666666666701</v>
      </c>
      <c r="CZ327" s="108">
        <v>54166.666666666701</v>
      </c>
      <c r="DA327" s="108">
        <v>54166.666666666701</v>
      </c>
      <c r="DB327" s="108">
        <v>54166.666666666701</v>
      </c>
      <c r="DC327" s="108">
        <v>54166.666666666701</v>
      </c>
      <c r="DD327" s="108">
        <v>54166.666666666701</v>
      </c>
      <c r="DE327" s="108">
        <v>54166.666666666701</v>
      </c>
      <c r="DF327" s="108">
        <v>54166.666666666701</v>
      </c>
      <c r="DG327" s="108">
        <v>54166.666666666701</v>
      </c>
      <c r="DH327" s="108">
        <v>54166.666666666701</v>
      </c>
      <c r="DI327" s="109">
        <v>54166.666666666701</v>
      </c>
      <c r="DJ327" s="67">
        <v>50000</v>
      </c>
      <c r="DK327" s="68">
        <v>50000</v>
      </c>
      <c r="DL327" s="68">
        <v>50000</v>
      </c>
      <c r="DM327" s="68">
        <v>50000</v>
      </c>
      <c r="DN327" s="68">
        <v>50000</v>
      </c>
      <c r="DO327" s="68">
        <v>50000</v>
      </c>
      <c r="DP327" s="68">
        <v>50000</v>
      </c>
      <c r="DQ327" s="68">
        <v>50000</v>
      </c>
      <c r="DR327" s="68">
        <v>50000</v>
      </c>
      <c r="DS327" s="68">
        <v>50000</v>
      </c>
      <c r="DT327" s="68">
        <v>50000</v>
      </c>
      <c r="DU327" s="69">
        <v>50000</v>
      </c>
      <c r="DV327" s="83"/>
      <c r="DW327" s="83"/>
      <c r="DX327" s="83"/>
      <c r="DY327" s="83"/>
      <c r="DZ327" s="83"/>
      <c r="EA327" s="83"/>
      <c r="EB327" s="83"/>
      <c r="EC327" s="83"/>
      <c r="ED327" s="83"/>
      <c r="EE327" s="83"/>
      <c r="EF327" s="83"/>
      <c r="EG327" s="83"/>
      <c r="EH327" s="83"/>
      <c r="EI327" s="61"/>
      <c r="EJ327" s="61"/>
      <c r="EK327" s="61"/>
      <c r="EL327" s="61"/>
      <c r="EM327" s="61"/>
      <c r="EN327" s="61"/>
      <c r="EO327" s="61"/>
      <c r="EP327" s="61"/>
      <c r="EQ327" s="61"/>
      <c r="ER327" s="61"/>
      <c r="ES327" s="61"/>
      <c r="FR327" s="63"/>
      <c r="FS327" s="63"/>
      <c r="FT327" s="63"/>
      <c r="FU327" s="63"/>
      <c r="FV327" s="63"/>
      <c r="FW327" s="63"/>
      <c r="FX327" s="63"/>
      <c r="FY327" s="63"/>
      <c r="FZ327" s="63"/>
      <c r="GA327" s="63"/>
      <c r="GB327" s="63"/>
      <c r="GC327" s="63"/>
      <c r="GE327" s="102"/>
    </row>
    <row r="328" spans="1:187" ht="30">
      <c r="D328" s="59" t="str">
        <f t="shared" si="88"/>
        <v>4217p</v>
      </c>
      <c r="E328" s="60" t="s">
        <v>427</v>
      </c>
      <c r="F328" s="67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9"/>
      <c r="R328" s="67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9"/>
      <c r="AD328" s="67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9"/>
      <c r="AP328" s="67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9"/>
      <c r="BB328" s="67"/>
      <c r="BC328" s="68"/>
      <c r="BD328" s="68"/>
      <c r="BE328" s="68"/>
      <c r="BF328" s="68"/>
      <c r="BG328" s="68"/>
      <c r="BH328" s="68"/>
      <c r="BI328" s="68"/>
      <c r="BJ328" s="68"/>
      <c r="BK328" s="68"/>
      <c r="BL328" s="68"/>
      <c r="BM328" s="69"/>
      <c r="BN328" s="67"/>
      <c r="BO328" s="68"/>
      <c r="BP328" s="68"/>
      <c r="BQ328" s="68"/>
      <c r="BR328" s="68"/>
      <c r="BS328" s="68"/>
      <c r="BT328" s="68"/>
      <c r="BU328" s="68"/>
      <c r="BV328" s="68"/>
      <c r="BW328" s="68"/>
      <c r="BX328" s="68"/>
      <c r="BY328" s="69"/>
      <c r="BZ328" s="67"/>
      <c r="CA328" s="68"/>
      <c r="CB328" s="68"/>
      <c r="CC328" s="68"/>
      <c r="CD328" s="68"/>
      <c r="CE328" s="68"/>
      <c r="CF328" s="68"/>
      <c r="CG328" s="68"/>
      <c r="CH328" s="68"/>
      <c r="CI328" s="68"/>
      <c r="CJ328" s="68"/>
      <c r="CK328" s="68"/>
      <c r="CL328" s="67">
        <v>251666.66666666701</v>
      </c>
      <c r="CM328" s="68">
        <v>251666.66666666701</v>
      </c>
      <c r="CN328" s="68">
        <v>251666.66666666701</v>
      </c>
      <c r="CO328" s="68">
        <v>251666.66666666701</v>
      </c>
      <c r="CP328" s="68">
        <v>251666.66666666701</v>
      </c>
      <c r="CQ328" s="68">
        <v>251666.66666666701</v>
      </c>
      <c r="CR328" s="68">
        <v>251666.66666666701</v>
      </c>
      <c r="CS328" s="68">
        <v>251666.66666666701</v>
      </c>
      <c r="CT328" s="68">
        <v>251666.66666666701</v>
      </c>
      <c r="CU328" s="68">
        <v>251666.66666666701</v>
      </c>
      <c r="CV328" s="68">
        <v>251666.66666666701</v>
      </c>
      <c r="CW328" s="69">
        <v>251666.66666666701</v>
      </c>
      <c r="CX328" s="107">
        <v>258333.33333333299</v>
      </c>
      <c r="CY328" s="108">
        <v>258333.33333333299</v>
      </c>
      <c r="CZ328" s="108">
        <v>258333.33333333299</v>
      </c>
      <c r="DA328" s="108">
        <v>258333.33333333299</v>
      </c>
      <c r="DB328" s="108">
        <v>258333.33333333299</v>
      </c>
      <c r="DC328" s="108">
        <v>258333.33333333299</v>
      </c>
      <c r="DD328" s="108">
        <v>258333.33333333299</v>
      </c>
      <c r="DE328" s="108">
        <v>258333.33333333299</v>
      </c>
      <c r="DF328" s="108">
        <v>258333.33333333299</v>
      </c>
      <c r="DG328" s="108">
        <v>258333.33333333299</v>
      </c>
      <c r="DH328" s="108">
        <v>258333.33333333299</v>
      </c>
      <c r="DI328" s="109">
        <v>258333.33333333299</v>
      </c>
      <c r="DJ328" s="67">
        <v>269218.75</v>
      </c>
      <c r="DK328" s="68">
        <v>269218.75</v>
      </c>
      <c r="DL328" s="68">
        <v>269218.75</v>
      </c>
      <c r="DM328" s="68">
        <v>269218.75</v>
      </c>
      <c r="DN328" s="68">
        <v>269218.75</v>
      </c>
      <c r="DO328" s="68">
        <v>269218.75</v>
      </c>
      <c r="DP328" s="68">
        <v>269218.75</v>
      </c>
      <c r="DQ328" s="68">
        <v>269218.75</v>
      </c>
      <c r="DR328" s="68">
        <v>269218.75</v>
      </c>
      <c r="DS328" s="68">
        <v>269218.75</v>
      </c>
      <c r="DT328" s="68">
        <v>269218.75</v>
      </c>
      <c r="DU328" s="69">
        <v>269218.75</v>
      </c>
      <c r="DV328" s="83"/>
      <c r="DW328" s="83"/>
      <c r="DX328" s="83"/>
      <c r="DY328" s="83"/>
      <c r="DZ328" s="83"/>
      <c r="EA328" s="83"/>
      <c r="EB328" s="83"/>
      <c r="EC328" s="83"/>
      <c r="ED328" s="83"/>
      <c r="EE328" s="83"/>
      <c r="EF328" s="83"/>
      <c r="EG328" s="83"/>
      <c r="EH328" s="83"/>
      <c r="EI328" s="61"/>
      <c r="EJ328" s="61"/>
      <c r="EK328" s="61"/>
      <c r="EL328" s="61"/>
      <c r="EM328" s="61"/>
      <c r="EN328" s="61"/>
      <c r="EO328" s="61"/>
      <c r="EP328" s="61"/>
      <c r="EQ328" s="61"/>
      <c r="ER328" s="61"/>
      <c r="ES328" s="61"/>
      <c r="FR328" s="63"/>
      <c r="FS328" s="63"/>
      <c r="FT328" s="63"/>
      <c r="FU328" s="63"/>
      <c r="FV328" s="63"/>
      <c r="FW328" s="63"/>
      <c r="FX328" s="63"/>
      <c r="FY328" s="63"/>
      <c r="FZ328" s="63"/>
      <c r="GA328" s="63"/>
      <c r="GB328" s="63"/>
      <c r="GC328" s="63"/>
      <c r="GE328" s="102"/>
    </row>
    <row r="329" spans="1:187" ht="30">
      <c r="D329" s="59" t="s">
        <v>613</v>
      </c>
      <c r="E329" s="60" t="s">
        <v>614</v>
      </c>
      <c r="F329" s="67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9"/>
      <c r="R329" s="67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9"/>
      <c r="AD329" s="67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9"/>
      <c r="AP329" s="67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9"/>
      <c r="BB329" s="67"/>
      <c r="BC329" s="68"/>
      <c r="BD329" s="68"/>
      <c r="BE329" s="68"/>
      <c r="BF329" s="68"/>
      <c r="BG329" s="68"/>
      <c r="BH329" s="68"/>
      <c r="BI329" s="68"/>
      <c r="BJ329" s="68"/>
      <c r="BK329" s="68"/>
      <c r="BL329" s="68"/>
      <c r="BM329" s="69"/>
      <c r="BN329" s="67"/>
      <c r="BO329" s="68"/>
      <c r="BP329" s="68"/>
      <c r="BQ329" s="68"/>
      <c r="BR329" s="68"/>
      <c r="BS329" s="68"/>
      <c r="BT329" s="68"/>
      <c r="BU329" s="68"/>
      <c r="BV329" s="68"/>
      <c r="BW329" s="68"/>
      <c r="BX329" s="68"/>
      <c r="BY329" s="69"/>
      <c r="BZ329" s="67"/>
      <c r="CA329" s="68"/>
      <c r="CB329" s="68"/>
      <c r="CC329" s="68"/>
      <c r="CD329" s="68"/>
      <c r="CE329" s="68"/>
      <c r="CF329" s="68"/>
      <c r="CG329" s="68"/>
      <c r="CH329" s="68"/>
      <c r="CI329" s="68"/>
      <c r="CJ329" s="68"/>
      <c r="CK329" s="68"/>
      <c r="CL329" s="67"/>
      <c r="CM329" s="68"/>
      <c r="CN329" s="68"/>
      <c r="CO329" s="68"/>
      <c r="CP329" s="68"/>
      <c r="CQ329" s="68"/>
      <c r="CR329" s="68"/>
      <c r="CS329" s="68"/>
      <c r="CT329" s="68"/>
      <c r="CU329" s="68"/>
      <c r="CV329" s="68"/>
      <c r="CW329" s="69"/>
      <c r="CX329" s="107"/>
      <c r="CY329" s="108"/>
      <c r="CZ329" s="108"/>
      <c r="DA329" s="108"/>
      <c r="DB329" s="108"/>
      <c r="DC329" s="108"/>
      <c r="DD329" s="108"/>
      <c r="DE329" s="108"/>
      <c r="DF329" s="108"/>
      <c r="DG329" s="108"/>
      <c r="DH329" s="108"/>
      <c r="DI329" s="109"/>
      <c r="DJ329" s="67"/>
      <c r="DK329" s="68"/>
      <c r="DL329" s="68"/>
      <c r="DM329" s="68"/>
      <c r="DN329" s="68"/>
      <c r="DO329" s="68"/>
      <c r="DP329" s="68"/>
      <c r="DQ329" s="68"/>
      <c r="DR329" s="68"/>
      <c r="DS329" s="68"/>
      <c r="DT329" s="68"/>
      <c r="DU329" s="69"/>
      <c r="DV329" s="83"/>
      <c r="DW329" s="83"/>
      <c r="DX329" s="83"/>
      <c r="DY329" s="83"/>
      <c r="DZ329" s="83"/>
      <c r="EA329" s="83"/>
      <c r="EB329" s="83"/>
      <c r="EC329" s="83"/>
      <c r="ED329" s="83"/>
      <c r="EE329" s="83"/>
      <c r="EF329" s="83"/>
      <c r="EG329" s="83"/>
      <c r="EH329" s="83"/>
      <c r="EI329" s="61"/>
      <c r="EJ329" s="61"/>
      <c r="EK329" s="61"/>
      <c r="EL329" s="61"/>
      <c r="EM329" s="61"/>
      <c r="EN329" s="61"/>
      <c r="EO329" s="61"/>
      <c r="EP329" s="61"/>
      <c r="EQ329" s="61"/>
      <c r="ER329" s="61"/>
      <c r="ES329" s="61"/>
      <c r="FR329" s="63"/>
      <c r="FS329" s="63"/>
      <c r="FT329" s="63"/>
      <c r="FU329" s="63"/>
      <c r="FV329" s="63"/>
      <c r="FW329" s="63"/>
      <c r="FX329" s="63"/>
      <c r="FY329" s="63"/>
      <c r="FZ329" s="63"/>
      <c r="GA329" s="63"/>
      <c r="GB329" s="63"/>
      <c r="GC329" s="63"/>
      <c r="GE329" s="102"/>
    </row>
    <row r="330" spans="1:187" s="2" customFormat="1">
      <c r="A330" s="71"/>
      <c r="B330" s="71"/>
      <c r="C330" s="71">
        <v>422</v>
      </c>
      <c r="D330" s="71" t="str">
        <f t="shared" ref="D330:D361" si="89">+CONCATENATE(D121,"p")</f>
        <v>422p</v>
      </c>
      <c r="E330" s="72" t="s">
        <v>158</v>
      </c>
      <c r="F330" s="73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5"/>
      <c r="R330" s="73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5"/>
      <c r="AD330" s="73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5"/>
      <c r="AP330" s="73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5"/>
      <c r="BB330" s="73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5"/>
      <c r="BN330" s="73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5"/>
      <c r="BZ330" s="73"/>
      <c r="CA330" s="74"/>
      <c r="CB330" s="74"/>
      <c r="CC330" s="74"/>
      <c r="CD330" s="74"/>
      <c r="CE330" s="74"/>
      <c r="CF330" s="74"/>
      <c r="CG330" s="74"/>
      <c r="CH330" s="74"/>
      <c r="CI330" s="74"/>
      <c r="CJ330" s="74"/>
      <c r="CK330" s="74"/>
      <c r="CL330" s="73">
        <f t="shared" ref="CL330:CX330" si="90">+SUM(CL331:CL335)</f>
        <v>1280004.16666667</v>
      </c>
      <c r="CM330" s="74">
        <f t="shared" si="90"/>
        <v>1280004.16666667</v>
      </c>
      <c r="CN330" s="74">
        <f t="shared" si="90"/>
        <v>1280004.16666667</v>
      </c>
      <c r="CO330" s="74">
        <f t="shared" si="90"/>
        <v>1280004.16666667</v>
      </c>
      <c r="CP330" s="74">
        <f t="shared" si="90"/>
        <v>1280004.16666667</v>
      </c>
      <c r="CQ330" s="74">
        <f t="shared" si="90"/>
        <v>1280004.16666667</v>
      </c>
      <c r="CR330" s="74">
        <f t="shared" si="90"/>
        <v>1280004.16666667</v>
      </c>
      <c r="CS330" s="74">
        <f t="shared" si="90"/>
        <v>1280004.16666667</v>
      </c>
      <c r="CT330" s="74">
        <f t="shared" si="90"/>
        <v>1280004.16666667</v>
      </c>
      <c r="CU330" s="74">
        <f t="shared" si="90"/>
        <v>1280004.16666667</v>
      </c>
      <c r="CV330" s="74">
        <f t="shared" si="90"/>
        <v>1280004.16666667</v>
      </c>
      <c r="CW330" s="75">
        <f t="shared" si="90"/>
        <v>1280004.16666667</v>
      </c>
      <c r="CX330" s="110">
        <f t="shared" si="90"/>
        <v>1438177</v>
      </c>
      <c r="CY330" s="111">
        <f t="shared" ref="CY330:DJ330" si="91">+SUM(CY331:CY335)</f>
        <v>1438177</v>
      </c>
      <c r="CZ330" s="111">
        <f t="shared" si="91"/>
        <v>1438177</v>
      </c>
      <c r="DA330" s="111">
        <f t="shared" si="91"/>
        <v>1438177</v>
      </c>
      <c r="DB330" s="111">
        <f t="shared" si="91"/>
        <v>1438177</v>
      </c>
      <c r="DC330" s="111">
        <f t="shared" si="91"/>
        <v>1438177</v>
      </c>
      <c r="DD330" s="111">
        <f t="shared" si="91"/>
        <v>1438177</v>
      </c>
      <c r="DE330" s="111">
        <f t="shared" si="91"/>
        <v>1438177</v>
      </c>
      <c r="DF330" s="111">
        <f t="shared" si="91"/>
        <v>1438177</v>
      </c>
      <c r="DG330" s="111">
        <f t="shared" si="91"/>
        <v>1438177</v>
      </c>
      <c r="DH330" s="111">
        <f t="shared" si="91"/>
        <v>1438177</v>
      </c>
      <c r="DI330" s="112">
        <f t="shared" si="91"/>
        <v>1438177</v>
      </c>
      <c r="DJ330" s="73">
        <f t="shared" si="91"/>
        <v>1620000</v>
      </c>
      <c r="DK330" s="74">
        <f t="shared" ref="DK330:DU330" si="92">+SUM(DK331:DK335)</f>
        <v>1620000</v>
      </c>
      <c r="DL330" s="74">
        <f t="shared" si="92"/>
        <v>1620000</v>
      </c>
      <c r="DM330" s="74">
        <f t="shared" si="92"/>
        <v>1620000</v>
      </c>
      <c r="DN330" s="74">
        <f t="shared" si="92"/>
        <v>1620000</v>
      </c>
      <c r="DO330" s="74">
        <f t="shared" si="92"/>
        <v>1620000</v>
      </c>
      <c r="DP330" s="74">
        <f t="shared" si="92"/>
        <v>1620000</v>
      </c>
      <c r="DQ330" s="74">
        <f t="shared" si="92"/>
        <v>1620000</v>
      </c>
      <c r="DR330" s="74">
        <f t="shared" si="92"/>
        <v>1620000</v>
      </c>
      <c r="DS330" s="74">
        <f t="shared" si="92"/>
        <v>1620000</v>
      </c>
      <c r="DT330" s="74">
        <f t="shared" si="92"/>
        <v>1620000</v>
      </c>
      <c r="DU330" s="75">
        <f t="shared" si="92"/>
        <v>1620000</v>
      </c>
      <c r="DV330" s="97">
        <v>1900841.66666667</v>
      </c>
      <c r="DW330" s="97">
        <v>1900841.66666667</v>
      </c>
      <c r="DX330" s="97">
        <v>1900841.66666667</v>
      </c>
      <c r="DY330" s="97">
        <v>1900841.66666667</v>
      </c>
      <c r="DZ330" s="97">
        <v>1900841.66666667</v>
      </c>
      <c r="EA330" s="97">
        <v>1900841.66666667</v>
      </c>
      <c r="EB330" s="97">
        <v>1900841.66666667</v>
      </c>
      <c r="EC330" s="97">
        <v>1900841.66666667</v>
      </c>
      <c r="ED330" s="97">
        <v>1900841.66666667</v>
      </c>
      <c r="EE330" s="97">
        <v>1900841.66666667</v>
      </c>
      <c r="EF330" s="97">
        <v>1900841.66666667</v>
      </c>
      <c r="EG330" s="97">
        <v>1900841.66666667</v>
      </c>
      <c r="EH330" s="97">
        <v>1716373.33333333</v>
      </c>
      <c r="EI330" s="97">
        <v>1716373.33333333</v>
      </c>
      <c r="EJ330" s="97">
        <v>1716373.33333333</v>
      </c>
      <c r="EK330" s="97">
        <v>1716373.33333333</v>
      </c>
      <c r="EL330" s="97">
        <v>1716373.33333333</v>
      </c>
      <c r="EM330" s="97">
        <v>1716373.33333333</v>
      </c>
      <c r="EN330" s="97">
        <v>1716373.33333333</v>
      </c>
      <c r="EO330" s="97">
        <v>1716373.33333333</v>
      </c>
      <c r="EP330" s="97">
        <v>1716373.33333333</v>
      </c>
      <c r="EQ330" s="97">
        <v>1716373.33333333</v>
      </c>
      <c r="ER330" s="97">
        <v>1716373.33333333</v>
      </c>
      <c r="ES330" s="97">
        <v>1716373.33333333</v>
      </c>
      <c r="ET330" s="106">
        <v>1699899.96</v>
      </c>
      <c r="EU330" s="106">
        <v>1699899.96</v>
      </c>
      <c r="EV330" s="106">
        <v>1699899.96</v>
      </c>
      <c r="EW330" s="106">
        <v>1699899.96</v>
      </c>
      <c r="EX330" s="106">
        <v>1699899.96</v>
      </c>
      <c r="EY330" s="106">
        <v>1699899.96</v>
      </c>
      <c r="EZ330" s="106">
        <v>1699899.96</v>
      </c>
      <c r="FA330" s="106">
        <v>1699899.96</v>
      </c>
      <c r="FB330" s="106">
        <v>924899.95999999798</v>
      </c>
      <c r="FC330" s="106">
        <v>924899.95999999798</v>
      </c>
      <c r="FD330" s="106">
        <v>924899.95999999798</v>
      </c>
      <c r="FE330" s="106">
        <v>924899.95999999798</v>
      </c>
      <c r="FF330" s="106">
        <v>1236031.8</v>
      </c>
      <c r="FG330" s="106">
        <v>1236031.8700000001</v>
      </c>
      <c r="FH330" s="106">
        <v>1236031.8700000001</v>
      </c>
      <c r="FI330" s="106">
        <v>1236031.8700000001</v>
      </c>
      <c r="FJ330" s="106">
        <v>1236031.8700000001</v>
      </c>
      <c r="FK330" s="106">
        <v>1236031.8700000001</v>
      </c>
      <c r="FL330" s="106">
        <v>1236031.8700000001</v>
      </c>
      <c r="FM330" s="106">
        <v>1236031.8700000001</v>
      </c>
      <c r="FN330" s="106">
        <v>1236031.8700000001</v>
      </c>
      <c r="FO330" s="106">
        <v>2359394.0699999998</v>
      </c>
      <c r="FP330" s="106">
        <v>2359394.0699999998</v>
      </c>
      <c r="FQ330" s="106">
        <v>2359394.0699999998</v>
      </c>
      <c r="FR330" s="106">
        <v>54255.6</v>
      </c>
      <c r="FS330" s="106">
        <v>1607182</v>
      </c>
      <c r="FT330" s="106">
        <v>1602703.45</v>
      </c>
      <c r="FU330" s="106">
        <v>1448885.74</v>
      </c>
      <c r="FV330" s="106">
        <v>1413828.93</v>
      </c>
      <c r="FW330" s="106">
        <v>2033020.7142857099</v>
      </c>
      <c r="FX330" s="106">
        <v>2033020.7142857099</v>
      </c>
      <c r="FY330" s="106">
        <v>2033020.7142857099</v>
      </c>
      <c r="FZ330" s="106">
        <v>2033020.7142857099</v>
      </c>
      <c r="GA330" s="106">
        <v>2033020.7142857099</v>
      </c>
      <c r="GB330" s="106">
        <v>2033020.7142857099</v>
      </c>
      <c r="GC330" s="106">
        <v>2033020.7142857099</v>
      </c>
      <c r="GE330" s="101">
        <f>SUM(FR330:GC330)</f>
        <v>20358000.719999999</v>
      </c>
    </row>
    <row r="331" spans="1:187">
      <c r="D331" s="59" t="str">
        <f t="shared" si="89"/>
        <v>4221p</v>
      </c>
      <c r="E331" s="60" t="s">
        <v>429</v>
      </c>
      <c r="F331" s="67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9"/>
      <c r="R331" s="67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9"/>
      <c r="AD331" s="67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9"/>
      <c r="AP331" s="67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9"/>
      <c r="BB331" s="67"/>
      <c r="BC331" s="68"/>
      <c r="BD331" s="68"/>
      <c r="BE331" s="68"/>
      <c r="BF331" s="68"/>
      <c r="BG331" s="68"/>
      <c r="BH331" s="68"/>
      <c r="BI331" s="68"/>
      <c r="BJ331" s="68"/>
      <c r="BK331" s="68"/>
      <c r="BL331" s="68"/>
      <c r="BM331" s="69"/>
      <c r="BN331" s="67"/>
      <c r="BO331" s="68"/>
      <c r="BP331" s="68"/>
      <c r="BQ331" s="68"/>
      <c r="BR331" s="68"/>
      <c r="BS331" s="68"/>
      <c r="BT331" s="68"/>
      <c r="BU331" s="68"/>
      <c r="BV331" s="68"/>
      <c r="BW331" s="68"/>
      <c r="BX331" s="68"/>
      <c r="BY331" s="69"/>
      <c r="BZ331" s="67"/>
      <c r="CA331" s="68"/>
      <c r="CB331" s="68"/>
      <c r="CC331" s="68"/>
      <c r="CD331" s="68"/>
      <c r="CE331" s="68"/>
      <c r="CF331" s="68"/>
      <c r="CG331" s="68"/>
      <c r="CH331" s="68"/>
      <c r="CI331" s="68"/>
      <c r="CJ331" s="68"/>
      <c r="CK331" s="68"/>
      <c r="CL331" s="67"/>
      <c r="CM331" s="68"/>
      <c r="CN331" s="68"/>
      <c r="CO331" s="68"/>
      <c r="CP331" s="68"/>
      <c r="CQ331" s="68"/>
      <c r="CR331" s="68"/>
      <c r="CS331" s="68"/>
      <c r="CT331" s="68"/>
      <c r="CU331" s="68"/>
      <c r="CV331" s="68"/>
      <c r="CW331" s="69"/>
      <c r="CX331" s="107">
        <v>0</v>
      </c>
      <c r="CY331" s="108">
        <v>0</v>
      </c>
      <c r="CZ331" s="108">
        <v>0</v>
      </c>
      <c r="DA331" s="108">
        <v>0</v>
      </c>
      <c r="DB331" s="108">
        <v>0</v>
      </c>
      <c r="DC331" s="108">
        <v>0</v>
      </c>
      <c r="DD331" s="108">
        <v>0</v>
      </c>
      <c r="DE331" s="108">
        <v>0</v>
      </c>
      <c r="DF331" s="108">
        <v>0</v>
      </c>
      <c r="DG331" s="108">
        <v>0</v>
      </c>
      <c r="DH331" s="108">
        <v>0</v>
      </c>
      <c r="DI331" s="109">
        <v>0</v>
      </c>
      <c r="DJ331" s="67">
        <v>0</v>
      </c>
      <c r="DK331" s="68">
        <v>0</v>
      </c>
      <c r="DL331" s="68">
        <v>0</v>
      </c>
      <c r="DM331" s="68">
        <v>0</v>
      </c>
      <c r="DN331" s="68">
        <v>0</v>
      </c>
      <c r="DO331" s="68">
        <v>0</v>
      </c>
      <c r="DP331" s="68">
        <v>0</v>
      </c>
      <c r="DQ331" s="68">
        <v>0</v>
      </c>
      <c r="DR331" s="68">
        <v>0</v>
      </c>
      <c r="DS331" s="68">
        <v>0</v>
      </c>
      <c r="DT331" s="68">
        <v>0</v>
      </c>
      <c r="DU331" s="69">
        <v>0</v>
      </c>
      <c r="DV331" s="83"/>
      <c r="DW331" s="83"/>
      <c r="DX331" s="83"/>
      <c r="DY331" s="83"/>
      <c r="DZ331" s="83"/>
      <c r="EA331" s="83"/>
      <c r="EB331" s="83"/>
      <c r="EC331" s="83"/>
      <c r="ED331" s="83"/>
      <c r="EE331" s="83"/>
      <c r="EF331" s="83"/>
      <c r="EG331" s="83"/>
      <c r="EH331" s="83"/>
      <c r="EI331" s="61"/>
      <c r="EJ331" s="61"/>
      <c r="EK331" s="61"/>
      <c r="EL331" s="61"/>
      <c r="EM331" s="61"/>
      <c r="EN331" s="61"/>
      <c r="EO331" s="61"/>
      <c r="EP331" s="61"/>
      <c r="EQ331" s="61"/>
      <c r="ER331" s="61"/>
      <c r="ES331" s="61"/>
      <c r="FR331" s="63"/>
      <c r="FS331" s="63"/>
      <c r="FT331" s="63"/>
      <c r="FU331" s="63"/>
      <c r="FV331" s="63"/>
      <c r="FW331" s="63"/>
      <c r="FX331" s="63"/>
      <c r="FY331" s="63"/>
      <c r="FZ331" s="63"/>
      <c r="GA331" s="63"/>
      <c r="GB331" s="63"/>
      <c r="GC331" s="63"/>
      <c r="GE331" s="102"/>
    </row>
    <row r="332" spans="1:187" ht="30">
      <c r="D332" s="59" t="str">
        <f t="shared" si="89"/>
        <v>4222p</v>
      </c>
      <c r="E332" s="60" t="s">
        <v>430</v>
      </c>
      <c r="F332" s="67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9"/>
      <c r="R332" s="67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9"/>
      <c r="AD332" s="67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9"/>
      <c r="AP332" s="67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9"/>
      <c r="BB332" s="67"/>
      <c r="BC332" s="68"/>
      <c r="BD332" s="68"/>
      <c r="BE332" s="68"/>
      <c r="BF332" s="68"/>
      <c r="BG332" s="68"/>
      <c r="BH332" s="68"/>
      <c r="BI332" s="68"/>
      <c r="BJ332" s="68"/>
      <c r="BK332" s="68"/>
      <c r="BL332" s="68"/>
      <c r="BM332" s="69"/>
      <c r="BN332" s="67"/>
      <c r="BO332" s="68"/>
      <c r="BP332" s="68"/>
      <c r="BQ332" s="68"/>
      <c r="BR332" s="68"/>
      <c r="BS332" s="68"/>
      <c r="BT332" s="68"/>
      <c r="BU332" s="68"/>
      <c r="BV332" s="68"/>
      <c r="BW332" s="68"/>
      <c r="BX332" s="68"/>
      <c r="BY332" s="69"/>
      <c r="BZ332" s="67"/>
      <c r="CA332" s="68"/>
      <c r="CB332" s="68"/>
      <c r="CC332" s="68"/>
      <c r="CD332" s="68"/>
      <c r="CE332" s="68"/>
      <c r="CF332" s="68"/>
      <c r="CG332" s="68"/>
      <c r="CH332" s="68"/>
      <c r="CI332" s="68"/>
      <c r="CJ332" s="68"/>
      <c r="CK332" s="68"/>
      <c r="CL332" s="67">
        <v>238337.5</v>
      </c>
      <c r="CM332" s="68">
        <v>238337.5</v>
      </c>
      <c r="CN332" s="68">
        <v>238337.5</v>
      </c>
      <c r="CO332" s="68">
        <v>238337.5</v>
      </c>
      <c r="CP332" s="68">
        <v>238337.5</v>
      </c>
      <c r="CQ332" s="68">
        <v>238337.5</v>
      </c>
      <c r="CR332" s="68">
        <v>238337.5</v>
      </c>
      <c r="CS332" s="68">
        <v>238337.5</v>
      </c>
      <c r="CT332" s="68">
        <v>238337.5</v>
      </c>
      <c r="CU332" s="68">
        <v>238337.5</v>
      </c>
      <c r="CV332" s="68">
        <v>238337.5</v>
      </c>
      <c r="CW332" s="69">
        <v>238337.5</v>
      </c>
      <c r="CX332" s="107">
        <v>606785.68544768298</v>
      </c>
      <c r="CY332" s="108">
        <v>606785.68544768298</v>
      </c>
      <c r="CZ332" s="108">
        <v>606785.68544768298</v>
      </c>
      <c r="DA332" s="108">
        <v>606785.68544768298</v>
      </c>
      <c r="DB332" s="108">
        <v>606785.68544768298</v>
      </c>
      <c r="DC332" s="108">
        <v>606785.68544768298</v>
      </c>
      <c r="DD332" s="108">
        <v>606785.68544768298</v>
      </c>
      <c r="DE332" s="108">
        <v>606785.68544768298</v>
      </c>
      <c r="DF332" s="108">
        <v>606785.68544768298</v>
      </c>
      <c r="DG332" s="108">
        <v>606785.68544768298</v>
      </c>
      <c r="DH332" s="108">
        <v>606785.68544768298</v>
      </c>
      <c r="DI332" s="109">
        <v>606785.68544768298</v>
      </c>
      <c r="DJ332" s="67">
        <v>620000</v>
      </c>
      <c r="DK332" s="68">
        <v>620000</v>
      </c>
      <c r="DL332" s="68">
        <v>620000</v>
      </c>
      <c r="DM332" s="68">
        <v>620000</v>
      </c>
      <c r="DN332" s="68">
        <v>620000</v>
      </c>
      <c r="DO332" s="68">
        <v>620000</v>
      </c>
      <c r="DP332" s="68">
        <v>620000</v>
      </c>
      <c r="DQ332" s="68">
        <v>620000</v>
      </c>
      <c r="DR332" s="68">
        <v>620000</v>
      </c>
      <c r="DS332" s="68">
        <v>620000</v>
      </c>
      <c r="DT332" s="68">
        <v>620000</v>
      </c>
      <c r="DU332" s="69">
        <v>620000</v>
      </c>
      <c r="DV332" s="83"/>
      <c r="DW332" s="83"/>
      <c r="DX332" s="83"/>
      <c r="DY332" s="83"/>
      <c r="DZ332" s="83"/>
      <c r="EA332" s="83"/>
      <c r="EB332" s="83"/>
      <c r="EC332" s="83"/>
      <c r="ED332" s="83"/>
      <c r="EE332" s="83"/>
      <c r="EF332" s="83"/>
      <c r="EG332" s="83"/>
      <c r="EH332" s="83"/>
      <c r="EI332" s="61"/>
      <c r="EJ332" s="61"/>
      <c r="EK332" s="61"/>
      <c r="EL332" s="61"/>
      <c r="EM332" s="61"/>
      <c r="EN332" s="61"/>
      <c r="EO332" s="61"/>
      <c r="EP332" s="61"/>
      <c r="EQ332" s="61"/>
      <c r="ER332" s="61"/>
      <c r="ES332" s="61"/>
      <c r="FR332" s="63"/>
      <c r="FS332" s="63"/>
      <c r="FT332" s="63"/>
      <c r="FU332" s="63"/>
      <c r="FV332" s="63"/>
      <c r="FW332" s="63"/>
      <c r="FX332" s="63"/>
      <c r="FY332" s="63"/>
      <c r="FZ332" s="63"/>
      <c r="GA332" s="63"/>
      <c r="GB332" s="63"/>
      <c r="GC332" s="63"/>
      <c r="GE332" s="102"/>
    </row>
    <row r="333" spans="1:187">
      <c r="D333" s="59" t="str">
        <f t="shared" si="89"/>
        <v>4223p</v>
      </c>
      <c r="E333" s="60" t="s">
        <v>431</v>
      </c>
      <c r="F333" s="67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9"/>
      <c r="R333" s="67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9"/>
      <c r="AD333" s="67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9"/>
      <c r="AP333" s="67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9"/>
      <c r="BB333" s="67"/>
      <c r="BC333" s="68"/>
      <c r="BD333" s="68"/>
      <c r="BE333" s="68"/>
      <c r="BF333" s="68"/>
      <c r="BG333" s="68"/>
      <c r="BH333" s="68"/>
      <c r="BI333" s="68"/>
      <c r="BJ333" s="68"/>
      <c r="BK333" s="68"/>
      <c r="BL333" s="68"/>
      <c r="BM333" s="69"/>
      <c r="BN333" s="67"/>
      <c r="BO333" s="68"/>
      <c r="BP333" s="68"/>
      <c r="BQ333" s="68"/>
      <c r="BR333" s="68"/>
      <c r="BS333" s="68"/>
      <c r="BT333" s="68"/>
      <c r="BU333" s="68"/>
      <c r="BV333" s="68"/>
      <c r="BW333" s="68"/>
      <c r="BX333" s="68"/>
      <c r="BY333" s="69"/>
      <c r="BZ333" s="67"/>
      <c r="CA333" s="68"/>
      <c r="CB333" s="68"/>
      <c r="CC333" s="68"/>
      <c r="CD333" s="68"/>
      <c r="CE333" s="68"/>
      <c r="CF333" s="68"/>
      <c r="CG333" s="68"/>
      <c r="CH333" s="68"/>
      <c r="CI333" s="68"/>
      <c r="CJ333" s="68"/>
      <c r="CK333" s="68"/>
      <c r="CL333" s="67"/>
      <c r="CM333" s="68"/>
      <c r="CN333" s="68"/>
      <c r="CO333" s="68"/>
      <c r="CP333" s="68"/>
      <c r="CQ333" s="68"/>
      <c r="CR333" s="68"/>
      <c r="CS333" s="68"/>
      <c r="CT333" s="68"/>
      <c r="CU333" s="68"/>
      <c r="CV333" s="68"/>
      <c r="CW333" s="69"/>
      <c r="CX333" s="107">
        <v>0</v>
      </c>
      <c r="CY333" s="108">
        <v>0</v>
      </c>
      <c r="CZ333" s="108">
        <v>0</v>
      </c>
      <c r="DA333" s="108">
        <v>0</v>
      </c>
      <c r="DB333" s="108">
        <v>0</v>
      </c>
      <c r="DC333" s="108">
        <v>0</v>
      </c>
      <c r="DD333" s="108">
        <v>0</v>
      </c>
      <c r="DE333" s="108">
        <v>0</v>
      </c>
      <c r="DF333" s="108">
        <v>0</v>
      </c>
      <c r="DG333" s="108">
        <v>0</v>
      </c>
      <c r="DH333" s="108">
        <v>0</v>
      </c>
      <c r="DI333" s="109">
        <v>0</v>
      </c>
      <c r="DJ333" s="67">
        <v>0</v>
      </c>
      <c r="DK333" s="68">
        <v>0</v>
      </c>
      <c r="DL333" s="68">
        <v>0</v>
      </c>
      <c r="DM333" s="68">
        <v>0</v>
      </c>
      <c r="DN333" s="68">
        <v>0</v>
      </c>
      <c r="DO333" s="68">
        <v>0</v>
      </c>
      <c r="DP333" s="68">
        <v>0</v>
      </c>
      <c r="DQ333" s="68">
        <v>0</v>
      </c>
      <c r="DR333" s="68">
        <v>0</v>
      </c>
      <c r="DS333" s="68">
        <v>0</v>
      </c>
      <c r="DT333" s="68">
        <v>0</v>
      </c>
      <c r="DU333" s="69">
        <v>0</v>
      </c>
      <c r="DV333" s="83"/>
      <c r="DW333" s="83"/>
      <c r="DX333" s="83"/>
      <c r="DY333" s="83"/>
      <c r="DZ333" s="83"/>
      <c r="EA333" s="83"/>
      <c r="EB333" s="83"/>
      <c r="EC333" s="83"/>
      <c r="ED333" s="83"/>
      <c r="EE333" s="83"/>
      <c r="EF333" s="83"/>
      <c r="EG333" s="83"/>
      <c r="EH333" s="83"/>
      <c r="EI333" s="61"/>
      <c r="EJ333" s="61"/>
      <c r="EK333" s="61"/>
      <c r="EL333" s="61"/>
      <c r="EM333" s="61"/>
      <c r="EN333" s="61"/>
      <c r="EO333" s="61"/>
      <c r="EP333" s="61"/>
      <c r="EQ333" s="61"/>
      <c r="ER333" s="61"/>
      <c r="ES333" s="61"/>
      <c r="FR333" s="63"/>
      <c r="FS333" s="63"/>
      <c r="FT333" s="63"/>
      <c r="FU333" s="63"/>
      <c r="FV333" s="63"/>
      <c r="FW333" s="63"/>
      <c r="FX333" s="63"/>
      <c r="FY333" s="63"/>
      <c r="FZ333" s="63"/>
      <c r="GA333" s="63"/>
      <c r="GB333" s="63"/>
      <c r="GC333" s="63"/>
      <c r="GE333" s="102"/>
    </row>
    <row r="334" spans="1:187">
      <c r="D334" s="59" t="str">
        <f t="shared" si="89"/>
        <v>4224p</v>
      </c>
      <c r="E334" s="60" t="s">
        <v>432</v>
      </c>
      <c r="F334" s="67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9"/>
      <c r="R334" s="67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9"/>
      <c r="AD334" s="67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9"/>
      <c r="AP334" s="67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9"/>
      <c r="BB334" s="67"/>
      <c r="BC334" s="68"/>
      <c r="BD334" s="68"/>
      <c r="BE334" s="68"/>
      <c r="BF334" s="68"/>
      <c r="BG334" s="68"/>
      <c r="BH334" s="68"/>
      <c r="BI334" s="68"/>
      <c r="BJ334" s="68"/>
      <c r="BK334" s="68"/>
      <c r="BL334" s="68"/>
      <c r="BM334" s="69"/>
      <c r="BN334" s="67"/>
      <c r="BO334" s="68"/>
      <c r="BP334" s="68"/>
      <c r="BQ334" s="68"/>
      <c r="BR334" s="68"/>
      <c r="BS334" s="68"/>
      <c r="BT334" s="68"/>
      <c r="BU334" s="68"/>
      <c r="BV334" s="68"/>
      <c r="BW334" s="68"/>
      <c r="BX334" s="68"/>
      <c r="BY334" s="69"/>
      <c r="BZ334" s="67"/>
      <c r="CA334" s="68"/>
      <c r="CB334" s="68"/>
      <c r="CC334" s="68"/>
      <c r="CD334" s="68"/>
      <c r="CE334" s="68"/>
      <c r="CF334" s="68"/>
      <c r="CG334" s="68"/>
      <c r="CH334" s="68"/>
      <c r="CI334" s="68"/>
      <c r="CJ334" s="68"/>
      <c r="CK334" s="68"/>
      <c r="CL334" s="67">
        <v>1041666.66666667</v>
      </c>
      <c r="CM334" s="68">
        <v>1041666.66666667</v>
      </c>
      <c r="CN334" s="68">
        <v>1041666.66666667</v>
      </c>
      <c r="CO334" s="68">
        <v>1041666.66666667</v>
      </c>
      <c r="CP334" s="68">
        <v>1041666.66666667</v>
      </c>
      <c r="CQ334" s="68">
        <v>1041666.66666667</v>
      </c>
      <c r="CR334" s="68">
        <v>1041666.66666667</v>
      </c>
      <c r="CS334" s="68">
        <v>1041666.66666667</v>
      </c>
      <c r="CT334" s="68">
        <v>1041666.66666667</v>
      </c>
      <c r="CU334" s="68">
        <v>1041666.66666667</v>
      </c>
      <c r="CV334" s="68">
        <v>1041666.66666667</v>
      </c>
      <c r="CW334" s="69">
        <v>1041666.66666667</v>
      </c>
      <c r="CX334" s="107">
        <v>831391.31455231702</v>
      </c>
      <c r="CY334" s="108">
        <v>831391.31455231702</v>
      </c>
      <c r="CZ334" s="108">
        <v>831391.31455231702</v>
      </c>
      <c r="DA334" s="108">
        <v>831391.31455231702</v>
      </c>
      <c r="DB334" s="108">
        <v>831391.31455231702</v>
      </c>
      <c r="DC334" s="108">
        <v>831391.31455231702</v>
      </c>
      <c r="DD334" s="108">
        <v>831391.31455231702</v>
      </c>
      <c r="DE334" s="108">
        <v>831391.31455231702</v>
      </c>
      <c r="DF334" s="108">
        <v>831391.31455231702</v>
      </c>
      <c r="DG334" s="108">
        <v>831391.31455231702</v>
      </c>
      <c r="DH334" s="108">
        <v>831391.31455231702</v>
      </c>
      <c r="DI334" s="109">
        <v>831391.31455231702</v>
      </c>
      <c r="DJ334" s="67">
        <v>1000000</v>
      </c>
      <c r="DK334" s="68">
        <v>1000000</v>
      </c>
      <c r="DL334" s="68">
        <v>1000000</v>
      </c>
      <c r="DM334" s="68">
        <v>1000000</v>
      </c>
      <c r="DN334" s="68">
        <v>1000000</v>
      </c>
      <c r="DO334" s="68">
        <v>1000000</v>
      </c>
      <c r="DP334" s="68">
        <v>1000000</v>
      </c>
      <c r="DQ334" s="68">
        <v>1000000</v>
      </c>
      <c r="DR334" s="68">
        <v>1000000</v>
      </c>
      <c r="DS334" s="68">
        <v>1000000</v>
      </c>
      <c r="DT334" s="68">
        <v>1000000</v>
      </c>
      <c r="DU334" s="69">
        <v>1000000</v>
      </c>
      <c r="DV334" s="83"/>
      <c r="DW334" s="83"/>
      <c r="DX334" s="83"/>
      <c r="DY334" s="83"/>
      <c r="DZ334" s="83"/>
      <c r="EA334" s="83"/>
      <c r="EB334" s="83"/>
      <c r="EC334" s="83"/>
      <c r="ED334" s="83"/>
      <c r="EE334" s="83"/>
      <c r="EF334" s="83"/>
      <c r="EG334" s="83"/>
      <c r="EH334" s="83"/>
      <c r="EI334" s="61"/>
      <c r="EJ334" s="61"/>
      <c r="EK334" s="61"/>
      <c r="EL334" s="61"/>
      <c r="EM334" s="61"/>
      <c r="EN334" s="61"/>
      <c r="EO334" s="61"/>
      <c r="EP334" s="61"/>
      <c r="EQ334" s="61"/>
      <c r="ER334" s="61"/>
      <c r="ES334" s="61"/>
      <c r="FR334" s="63"/>
      <c r="FS334" s="63"/>
      <c r="FT334" s="63"/>
      <c r="FU334" s="63"/>
      <c r="FV334" s="63"/>
      <c r="FW334" s="63"/>
      <c r="FX334" s="63"/>
      <c r="FY334" s="63"/>
      <c r="FZ334" s="63"/>
      <c r="GA334" s="63"/>
      <c r="GB334" s="63"/>
      <c r="GC334" s="63"/>
      <c r="GE334" s="102"/>
    </row>
    <row r="335" spans="1:187">
      <c r="D335" s="59" t="str">
        <f t="shared" si="89"/>
        <v>4225p</v>
      </c>
      <c r="E335" s="60" t="s">
        <v>420</v>
      </c>
      <c r="F335" s="67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9"/>
      <c r="R335" s="67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9"/>
      <c r="AD335" s="67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9"/>
      <c r="AP335" s="67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9"/>
      <c r="BB335" s="67"/>
      <c r="BC335" s="68"/>
      <c r="BD335" s="68"/>
      <c r="BE335" s="68"/>
      <c r="BF335" s="68"/>
      <c r="BG335" s="68"/>
      <c r="BH335" s="68"/>
      <c r="BI335" s="68"/>
      <c r="BJ335" s="68"/>
      <c r="BK335" s="68"/>
      <c r="BL335" s="68"/>
      <c r="BM335" s="69"/>
      <c r="BN335" s="67"/>
      <c r="BO335" s="68"/>
      <c r="BP335" s="68"/>
      <c r="BQ335" s="68"/>
      <c r="BR335" s="68"/>
      <c r="BS335" s="68"/>
      <c r="BT335" s="68"/>
      <c r="BU335" s="68"/>
      <c r="BV335" s="68"/>
      <c r="BW335" s="68"/>
      <c r="BX335" s="68"/>
      <c r="BY335" s="69"/>
      <c r="BZ335" s="67"/>
      <c r="CA335" s="68"/>
      <c r="CB335" s="68"/>
      <c r="CC335" s="68"/>
      <c r="CD335" s="68"/>
      <c r="CE335" s="68"/>
      <c r="CF335" s="68"/>
      <c r="CG335" s="68"/>
      <c r="CH335" s="68"/>
      <c r="CI335" s="68"/>
      <c r="CJ335" s="68"/>
      <c r="CK335" s="68"/>
      <c r="CL335" s="67"/>
      <c r="CM335" s="68"/>
      <c r="CN335" s="68"/>
      <c r="CO335" s="68"/>
      <c r="CP335" s="68"/>
      <c r="CQ335" s="68"/>
      <c r="CR335" s="68"/>
      <c r="CS335" s="68"/>
      <c r="CT335" s="68"/>
      <c r="CU335" s="68"/>
      <c r="CV335" s="68"/>
      <c r="CW335" s="69"/>
      <c r="CX335" s="107">
        <v>0</v>
      </c>
      <c r="CY335" s="108">
        <v>0</v>
      </c>
      <c r="CZ335" s="108">
        <v>0</v>
      </c>
      <c r="DA335" s="108">
        <v>0</v>
      </c>
      <c r="DB335" s="108">
        <v>0</v>
      </c>
      <c r="DC335" s="108">
        <v>0</v>
      </c>
      <c r="DD335" s="108">
        <v>0</v>
      </c>
      <c r="DE335" s="108">
        <v>0</v>
      </c>
      <c r="DF335" s="108">
        <v>0</v>
      </c>
      <c r="DG335" s="108">
        <v>0</v>
      </c>
      <c r="DH335" s="108">
        <v>0</v>
      </c>
      <c r="DI335" s="109">
        <v>0</v>
      </c>
      <c r="DJ335" s="67">
        <v>0</v>
      </c>
      <c r="DK335" s="68">
        <v>0</v>
      </c>
      <c r="DL335" s="68">
        <v>0</v>
      </c>
      <c r="DM335" s="68">
        <v>0</v>
      </c>
      <c r="DN335" s="68">
        <v>0</v>
      </c>
      <c r="DO335" s="68">
        <v>0</v>
      </c>
      <c r="DP335" s="68">
        <v>0</v>
      </c>
      <c r="DQ335" s="68">
        <v>0</v>
      </c>
      <c r="DR335" s="68">
        <v>0</v>
      </c>
      <c r="DS335" s="68">
        <v>0</v>
      </c>
      <c r="DT335" s="68">
        <v>0</v>
      </c>
      <c r="DU335" s="69">
        <v>0</v>
      </c>
      <c r="DV335" s="83"/>
      <c r="DW335" s="83"/>
      <c r="DX335" s="83"/>
      <c r="DY335" s="83"/>
      <c r="DZ335" s="83"/>
      <c r="EA335" s="83"/>
      <c r="EB335" s="83"/>
      <c r="EC335" s="83"/>
      <c r="ED335" s="83"/>
      <c r="EE335" s="83"/>
      <c r="EF335" s="83"/>
      <c r="EG335" s="83"/>
      <c r="EH335" s="83"/>
      <c r="EI335" s="61"/>
      <c r="EJ335" s="61"/>
      <c r="EK335" s="61"/>
      <c r="EL335" s="61"/>
      <c r="EM335" s="61"/>
      <c r="EN335" s="61"/>
      <c r="EO335" s="61"/>
      <c r="EP335" s="61"/>
      <c r="EQ335" s="61"/>
      <c r="ER335" s="61"/>
      <c r="ES335" s="61"/>
      <c r="FR335" s="63"/>
      <c r="FS335" s="63"/>
      <c r="FT335" s="63"/>
      <c r="FU335" s="63"/>
      <c r="FV335" s="63"/>
      <c r="FW335" s="63"/>
      <c r="FX335" s="63"/>
      <c r="FY335" s="63"/>
      <c r="FZ335" s="63"/>
      <c r="GA335" s="63"/>
      <c r="GB335" s="63"/>
      <c r="GC335" s="63"/>
      <c r="GE335" s="102"/>
    </row>
    <row r="336" spans="1:187" s="2" customFormat="1" ht="30">
      <c r="A336" s="71"/>
      <c r="B336" s="71"/>
      <c r="C336" s="71">
        <v>423</v>
      </c>
      <c r="D336" s="71" t="str">
        <f t="shared" si="89"/>
        <v>423p</v>
      </c>
      <c r="E336" s="72" t="s">
        <v>159</v>
      </c>
      <c r="F336" s="73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5"/>
      <c r="R336" s="73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5"/>
      <c r="AD336" s="73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5"/>
      <c r="AP336" s="73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5"/>
      <c r="BB336" s="73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5"/>
      <c r="BN336" s="73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5"/>
      <c r="BZ336" s="73"/>
      <c r="CA336" s="74"/>
      <c r="CB336" s="74"/>
      <c r="CC336" s="74"/>
      <c r="CD336" s="74"/>
      <c r="CE336" s="74"/>
      <c r="CF336" s="74"/>
      <c r="CG336" s="74"/>
      <c r="CH336" s="74"/>
      <c r="CI336" s="74"/>
      <c r="CJ336" s="74"/>
      <c r="CK336" s="74"/>
      <c r="CL336" s="73">
        <f t="shared" ref="CL336:CX336" si="93">+SUM(CL337:CL343)</f>
        <v>33408639.758333299</v>
      </c>
      <c r="CM336" s="74">
        <f t="shared" si="93"/>
        <v>33408639.758333299</v>
      </c>
      <c r="CN336" s="74">
        <f t="shared" si="93"/>
        <v>33408639.758333299</v>
      </c>
      <c r="CO336" s="74">
        <f t="shared" si="93"/>
        <v>33408639.758333299</v>
      </c>
      <c r="CP336" s="74">
        <f t="shared" si="93"/>
        <v>33408639.758333299</v>
      </c>
      <c r="CQ336" s="74">
        <f t="shared" si="93"/>
        <v>33408639.758333299</v>
      </c>
      <c r="CR336" s="74">
        <f t="shared" si="93"/>
        <v>33408639.758333299</v>
      </c>
      <c r="CS336" s="74">
        <f t="shared" si="93"/>
        <v>33408639.758333299</v>
      </c>
      <c r="CT336" s="74">
        <f t="shared" si="93"/>
        <v>33408639.758333299</v>
      </c>
      <c r="CU336" s="74">
        <f t="shared" si="93"/>
        <v>33408639.758333299</v>
      </c>
      <c r="CV336" s="74">
        <f t="shared" si="93"/>
        <v>33408639.758333299</v>
      </c>
      <c r="CW336" s="75">
        <f t="shared" si="93"/>
        <v>33408639.758333299</v>
      </c>
      <c r="CX336" s="110">
        <f t="shared" si="93"/>
        <v>33110022.9141667</v>
      </c>
      <c r="CY336" s="111">
        <f t="shared" ref="CY336:DJ336" si="94">+SUM(CY337:CY343)</f>
        <v>33110022.9141667</v>
      </c>
      <c r="CZ336" s="111">
        <f t="shared" si="94"/>
        <v>33110022.9141667</v>
      </c>
      <c r="DA336" s="111">
        <f t="shared" si="94"/>
        <v>33110022.9141667</v>
      </c>
      <c r="DB336" s="111">
        <f t="shared" si="94"/>
        <v>33110022.9141667</v>
      </c>
      <c r="DC336" s="111">
        <f t="shared" si="94"/>
        <v>33110022.9141667</v>
      </c>
      <c r="DD336" s="111">
        <f t="shared" si="94"/>
        <v>33110022.9141667</v>
      </c>
      <c r="DE336" s="111">
        <f t="shared" si="94"/>
        <v>33110022.9141667</v>
      </c>
      <c r="DF336" s="111">
        <f t="shared" si="94"/>
        <v>33110022.9141667</v>
      </c>
      <c r="DG336" s="111">
        <f t="shared" si="94"/>
        <v>33110022.9141667</v>
      </c>
      <c r="DH336" s="111">
        <f t="shared" si="94"/>
        <v>33110022.9141667</v>
      </c>
      <c r="DI336" s="112">
        <f t="shared" si="94"/>
        <v>33110022.9141667</v>
      </c>
      <c r="DJ336" s="73">
        <f t="shared" si="94"/>
        <v>33537908.333333299</v>
      </c>
      <c r="DK336" s="74">
        <f t="shared" ref="DK336:DU336" si="95">+SUM(DK337:DK343)</f>
        <v>33537908.333333299</v>
      </c>
      <c r="DL336" s="74">
        <f t="shared" si="95"/>
        <v>33537908.333333299</v>
      </c>
      <c r="DM336" s="74">
        <f t="shared" si="95"/>
        <v>33537908.333333299</v>
      </c>
      <c r="DN336" s="74">
        <f t="shared" si="95"/>
        <v>33537908.333333299</v>
      </c>
      <c r="DO336" s="74">
        <f t="shared" si="95"/>
        <v>33537908.333333299</v>
      </c>
      <c r="DP336" s="74">
        <f t="shared" si="95"/>
        <v>33537908.333333299</v>
      </c>
      <c r="DQ336" s="74">
        <f t="shared" si="95"/>
        <v>33537908.333333299</v>
      </c>
      <c r="DR336" s="74">
        <f t="shared" si="95"/>
        <v>33537908.333333299</v>
      </c>
      <c r="DS336" s="74">
        <f t="shared" si="95"/>
        <v>33537908.333333299</v>
      </c>
      <c r="DT336" s="74">
        <f t="shared" si="95"/>
        <v>33537908.333333299</v>
      </c>
      <c r="DU336" s="75">
        <f t="shared" si="95"/>
        <v>33537908.333333299</v>
      </c>
      <c r="DV336" s="74">
        <v>34500752.947499998</v>
      </c>
      <c r="DW336" s="74">
        <v>34500752.947499998</v>
      </c>
      <c r="DX336" s="74">
        <v>34500752.947499998</v>
      </c>
      <c r="DY336" s="74">
        <v>34500752.947499998</v>
      </c>
      <c r="DZ336" s="74">
        <v>34500752.947499998</v>
      </c>
      <c r="EA336" s="74">
        <v>34500752.947499998</v>
      </c>
      <c r="EB336" s="74">
        <v>34500752.947499998</v>
      </c>
      <c r="EC336" s="74">
        <v>34500752.947499998</v>
      </c>
      <c r="ED336" s="74">
        <v>34500752.947499998</v>
      </c>
      <c r="EE336" s="74">
        <v>34500752.947499998</v>
      </c>
      <c r="EF336" s="74">
        <v>34500752.947499998</v>
      </c>
      <c r="EG336" s="74">
        <v>34500752.947499998</v>
      </c>
      <c r="EH336" s="74">
        <v>34262500</v>
      </c>
      <c r="EI336" s="74">
        <v>34262500</v>
      </c>
      <c r="EJ336" s="74">
        <v>34262500</v>
      </c>
      <c r="EK336" s="74">
        <v>34262500</v>
      </c>
      <c r="EL336" s="74">
        <v>34262500</v>
      </c>
      <c r="EM336" s="74">
        <v>34262500</v>
      </c>
      <c r="EN336" s="74">
        <v>34262500</v>
      </c>
      <c r="EO336" s="74">
        <v>34262500</v>
      </c>
      <c r="EP336" s="74">
        <v>34262500</v>
      </c>
      <c r="EQ336" s="74">
        <v>34262500</v>
      </c>
      <c r="ER336" s="74">
        <v>34262500</v>
      </c>
      <c r="ES336" s="74">
        <v>34262500</v>
      </c>
      <c r="ET336" s="106">
        <v>35472732.535833299</v>
      </c>
      <c r="EU336" s="106">
        <v>35472732.535833299</v>
      </c>
      <c r="EV336" s="106">
        <v>35472732.535833299</v>
      </c>
      <c r="EW336" s="106">
        <v>35472732.535833299</v>
      </c>
      <c r="EX336" s="106">
        <v>35472732.535833299</v>
      </c>
      <c r="EY336" s="106">
        <v>35472732.535833299</v>
      </c>
      <c r="EZ336" s="106">
        <v>35472732.535833299</v>
      </c>
      <c r="FA336" s="106">
        <v>35472732.535833299</v>
      </c>
      <c r="FB336" s="106">
        <v>35472732.535833299</v>
      </c>
      <c r="FC336" s="106">
        <v>35472732.535833299</v>
      </c>
      <c r="FD336" s="106">
        <v>35472732.535833299</v>
      </c>
      <c r="FE336" s="106">
        <v>35472732.535833299</v>
      </c>
      <c r="FF336" s="106">
        <v>35752084.619999997</v>
      </c>
      <c r="FG336" s="106">
        <v>35752084.530000001</v>
      </c>
      <c r="FH336" s="106">
        <v>35752084.530000001</v>
      </c>
      <c r="FI336" s="106">
        <v>35752084.530000001</v>
      </c>
      <c r="FJ336" s="106">
        <v>35752084.530000001</v>
      </c>
      <c r="FK336" s="106">
        <v>35752084.530000001</v>
      </c>
      <c r="FL336" s="106">
        <v>35752084.530000001</v>
      </c>
      <c r="FM336" s="106">
        <v>35752084.530000001</v>
      </c>
      <c r="FN336" s="106">
        <v>35752084.530000001</v>
      </c>
      <c r="FO336" s="106">
        <v>35752084.530000001</v>
      </c>
      <c r="FP336" s="106">
        <v>35752084.530000001</v>
      </c>
      <c r="FQ336" s="106">
        <v>35752084.530000001</v>
      </c>
      <c r="FR336" s="106">
        <v>34875207.159999996</v>
      </c>
      <c r="FS336" s="106">
        <v>35344644.090000004</v>
      </c>
      <c r="FT336" s="106">
        <v>35520020</v>
      </c>
      <c r="FU336" s="106">
        <v>36212765.539999999</v>
      </c>
      <c r="FV336" s="106">
        <v>35322836.950000003</v>
      </c>
      <c r="FW336" s="106">
        <v>37842845.828571402</v>
      </c>
      <c r="FX336" s="106">
        <v>37842845.828571402</v>
      </c>
      <c r="FY336" s="106">
        <v>37842845.828571402</v>
      </c>
      <c r="FZ336" s="106">
        <v>37842845.828571402</v>
      </c>
      <c r="GA336" s="106">
        <v>37842845.828571402</v>
      </c>
      <c r="GB336" s="106">
        <v>37842845.828571402</v>
      </c>
      <c r="GC336" s="106">
        <v>37842845.828571402</v>
      </c>
      <c r="GE336" s="101">
        <f>SUM(FR336:GC336)</f>
        <v>442175394.54000002</v>
      </c>
    </row>
    <row r="337" spans="1:187">
      <c r="D337" s="59" t="str">
        <f t="shared" si="89"/>
        <v>4231p</v>
      </c>
      <c r="E337" s="60" t="s">
        <v>433</v>
      </c>
      <c r="F337" s="67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9"/>
      <c r="R337" s="67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9"/>
      <c r="AD337" s="67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9"/>
      <c r="AP337" s="67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9"/>
      <c r="BB337" s="67"/>
      <c r="BC337" s="68"/>
      <c r="BD337" s="68"/>
      <c r="BE337" s="68"/>
      <c r="BF337" s="68"/>
      <c r="BG337" s="68"/>
      <c r="BH337" s="68"/>
      <c r="BI337" s="68"/>
      <c r="BJ337" s="68"/>
      <c r="BK337" s="68"/>
      <c r="BL337" s="68"/>
      <c r="BM337" s="69"/>
      <c r="BN337" s="67"/>
      <c r="BO337" s="68"/>
      <c r="BP337" s="68"/>
      <c r="BQ337" s="68"/>
      <c r="BR337" s="68"/>
      <c r="BS337" s="68"/>
      <c r="BT337" s="68"/>
      <c r="BU337" s="68"/>
      <c r="BV337" s="68"/>
      <c r="BW337" s="68"/>
      <c r="BX337" s="68"/>
      <c r="BY337" s="69"/>
      <c r="BZ337" s="67"/>
      <c r="CA337" s="68"/>
      <c r="CB337" s="68"/>
      <c r="CC337" s="68"/>
      <c r="CD337" s="68"/>
      <c r="CE337" s="68"/>
      <c r="CF337" s="68"/>
      <c r="CG337" s="68"/>
      <c r="CH337" s="68"/>
      <c r="CI337" s="68"/>
      <c r="CJ337" s="68"/>
      <c r="CK337" s="68"/>
      <c r="CL337" s="67">
        <v>17362470.083333299</v>
      </c>
      <c r="CM337" s="68">
        <v>17362470.083333299</v>
      </c>
      <c r="CN337" s="68">
        <v>17362470.083333299</v>
      </c>
      <c r="CO337" s="68">
        <v>17362470.083333299</v>
      </c>
      <c r="CP337" s="68">
        <v>17362470.083333299</v>
      </c>
      <c r="CQ337" s="68">
        <v>17362470.083333299</v>
      </c>
      <c r="CR337" s="68">
        <v>17362470.083333299</v>
      </c>
      <c r="CS337" s="68">
        <v>17362470.083333299</v>
      </c>
      <c r="CT337" s="68">
        <v>17362470.083333299</v>
      </c>
      <c r="CU337" s="68">
        <v>17362470.083333299</v>
      </c>
      <c r="CV337" s="68">
        <v>17362470.083333299</v>
      </c>
      <c r="CW337" s="69">
        <v>17362470.083333299</v>
      </c>
      <c r="CX337" s="107">
        <v>18679724.210000001</v>
      </c>
      <c r="CY337" s="108">
        <v>18679724.210000001</v>
      </c>
      <c r="CZ337" s="108">
        <v>18679724.210000001</v>
      </c>
      <c r="DA337" s="108">
        <v>18679724.210000001</v>
      </c>
      <c r="DB337" s="108">
        <v>18679724.210000001</v>
      </c>
      <c r="DC337" s="108">
        <v>18679724.210000001</v>
      </c>
      <c r="DD337" s="108">
        <v>18679724.210000001</v>
      </c>
      <c r="DE337" s="108">
        <v>18679724.210000001</v>
      </c>
      <c r="DF337" s="108">
        <v>18679724.210000001</v>
      </c>
      <c r="DG337" s="108">
        <v>18679724.210000001</v>
      </c>
      <c r="DH337" s="108">
        <v>18679724.210000001</v>
      </c>
      <c r="DI337" s="109">
        <v>18679724.210000001</v>
      </c>
      <c r="DJ337" s="67">
        <v>19047125.850833301</v>
      </c>
      <c r="DK337" s="68">
        <v>19047125.850833301</v>
      </c>
      <c r="DL337" s="68">
        <v>19047125.850833301</v>
      </c>
      <c r="DM337" s="68">
        <v>19047125.850833301</v>
      </c>
      <c r="DN337" s="68">
        <v>19047125.850833301</v>
      </c>
      <c r="DO337" s="68">
        <v>19047125.850833301</v>
      </c>
      <c r="DP337" s="68">
        <v>19047125.850833301</v>
      </c>
      <c r="DQ337" s="68">
        <v>19047125.850833301</v>
      </c>
      <c r="DR337" s="68">
        <v>19047125.850833301</v>
      </c>
      <c r="DS337" s="68">
        <v>19047125.850833301</v>
      </c>
      <c r="DT337" s="68">
        <v>19047125.850833301</v>
      </c>
      <c r="DU337" s="69">
        <v>19047125.850833301</v>
      </c>
      <c r="DV337" s="83"/>
      <c r="DW337" s="83"/>
      <c r="DX337" s="83"/>
      <c r="DY337" s="83"/>
      <c r="DZ337" s="83"/>
      <c r="EA337" s="83"/>
      <c r="EB337" s="83"/>
      <c r="EC337" s="83"/>
      <c r="ED337" s="83"/>
      <c r="EE337" s="83"/>
      <c r="EF337" s="83"/>
      <c r="EG337" s="83"/>
      <c r="EH337" s="83"/>
      <c r="EI337" s="61"/>
      <c r="EJ337" s="61"/>
      <c r="EK337" s="61"/>
      <c r="EL337" s="61"/>
      <c r="EM337" s="61"/>
      <c r="EN337" s="61"/>
      <c r="EO337" s="61"/>
      <c r="EP337" s="61"/>
      <c r="EQ337" s="61"/>
      <c r="ER337" s="61"/>
      <c r="ES337" s="61"/>
      <c r="FR337" s="63"/>
      <c r="FS337" s="63"/>
      <c r="FT337" s="63"/>
      <c r="FU337" s="63"/>
      <c r="FV337" s="63"/>
      <c r="FW337" s="63"/>
      <c r="FX337" s="63"/>
      <c r="FY337" s="63"/>
      <c r="FZ337" s="63"/>
      <c r="GA337" s="63"/>
      <c r="GB337" s="63"/>
      <c r="GC337" s="63"/>
      <c r="GE337" s="102"/>
    </row>
    <row r="338" spans="1:187">
      <c r="D338" s="59" t="str">
        <f t="shared" si="89"/>
        <v>4232p</v>
      </c>
      <c r="E338" s="60" t="s">
        <v>434</v>
      </c>
      <c r="F338" s="67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9"/>
      <c r="R338" s="67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9"/>
      <c r="AD338" s="67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9"/>
      <c r="AP338" s="67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9"/>
      <c r="BB338" s="67"/>
      <c r="BC338" s="68"/>
      <c r="BD338" s="68"/>
      <c r="BE338" s="68"/>
      <c r="BF338" s="68"/>
      <c r="BG338" s="68"/>
      <c r="BH338" s="68"/>
      <c r="BI338" s="68"/>
      <c r="BJ338" s="68"/>
      <c r="BK338" s="68"/>
      <c r="BL338" s="68"/>
      <c r="BM338" s="69"/>
      <c r="BN338" s="67"/>
      <c r="BO338" s="68"/>
      <c r="BP338" s="68"/>
      <c r="BQ338" s="68"/>
      <c r="BR338" s="68"/>
      <c r="BS338" s="68"/>
      <c r="BT338" s="68"/>
      <c r="BU338" s="68"/>
      <c r="BV338" s="68"/>
      <c r="BW338" s="68"/>
      <c r="BX338" s="68"/>
      <c r="BY338" s="69"/>
      <c r="BZ338" s="67"/>
      <c r="CA338" s="68"/>
      <c r="CB338" s="68"/>
      <c r="CC338" s="68"/>
      <c r="CD338" s="68"/>
      <c r="CE338" s="68"/>
      <c r="CF338" s="68"/>
      <c r="CG338" s="68"/>
      <c r="CH338" s="68"/>
      <c r="CI338" s="68"/>
      <c r="CJ338" s="68"/>
      <c r="CK338" s="68"/>
      <c r="CL338" s="67">
        <v>6959019.6666666698</v>
      </c>
      <c r="CM338" s="68">
        <v>6959019.6666666698</v>
      </c>
      <c r="CN338" s="68">
        <v>6959019.6666666698</v>
      </c>
      <c r="CO338" s="68">
        <v>6959019.6666666698</v>
      </c>
      <c r="CP338" s="68">
        <v>6959019.6666666698</v>
      </c>
      <c r="CQ338" s="68">
        <v>6959019.6666666698</v>
      </c>
      <c r="CR338" s="68">
        <v>6959019.6666666698</v>
      </c>
      <c r="CS338" s="68">
        <v>6959019.6666666698</v>
      </c>
      <c r="CT338" s="68">
        <v>6959019.6666666698</v>
      </c>
      <c r="CU338" s="68">
        <v>6959019.6666666698</v>
      </c>
      <c r="CV338" s="68">
        <v>6959019.6666666698</v>
      </c>
      <c r="CW338" s="69">
        <v>6959019.6666666698</v>
      </c>
      <c r="CX338" s="107">
        <v>6037116.8783333302</v>
      </c>
      <c r="CY338" s="108">
        <v>6037116.8783333302</v>
      </c>
      <c r="CZ338" s="108">
        <v>6037116.8783333302</v>
      </c>
      <c r="DA338" s="108">
        <v>6037116.8783333302</v>
      </c>
      <c r="DB338" s="108">
        <v>6037116.8783333302</v>
      </c>
      <c r="DC338" s="108">
        <v>6037116.8783333302</v>
      </c>
      <c r="DD338" s="108">
        <v>6037116.8783333302</v>
      </c>
      <c r="DE338" s="108">
        <v>6037116.8783333302</v>
      </c>
      <c r="DF338" s="108">
        <v>6037116.8783333302</v>
      </c>
      <c r="DG338" s="108">
        <v>6037116.8783333302</v>
      </c>
      <c r="DH338" s="108">
        <v>6037116.8783333302</v>
      </c>
      <c r="DI338" s="109">
        <v>6037116.8783333302</v>
      </c>
      <c r="DJ338" s="67">
        <v>5964869.2575000003</v>
      </c>
      <c r="DK338" s="68">
        <v>5964869.2575000003</v>
      </c>
      <c r="DL338" s="68">
        <v>5964869.2575000003</v>
      </c>
      <c r="DM338" s="68">
        <v>5964869.2575000003</v>
      </c>
      <c r="DN338" s="68">
        <v>5964869.2575000003</v>
      </c>
      <c r="DO338" s="68">
        <v>5964869.2575000003</v>
      </c>
      <c r="DP338" s="68">
        <v>5964869.2575000003</v>
      </c>
      <c r="DQ338" s="68">
        <v>5964869.2575000003</v>
      </c>
      <c r="DR338" s="68">
        <v>5964869.2575000003</v>
      </c>
      <c r="DS338" s="68">
        <v>5964869.2575000003</v>
      </c>
      <c r="DT338" s="68">
        <v>5964869.2575000003</v>
      </c>
      <c r="DU338" s="69">
        <v>5964869.2575000003</v>
      </c>
      <c r="DV338" s="83"/>
      <c r="DW338" s="83"/>
      <c r="DX338" s="83"/>
      <c r="DY338" s="83"/>
      <c r="DZ338" s="83"/>
      <c r="EA338" s="83"/>
      <c r="EB338" s="83"/>
      <c r="EC338" s="83"/>
      <c r="ED338" s="83"/>
      <c r="EE338" s="83"/>
      <c r="EF338" s="83"/>
      <c r="EG338" s="83"/>
      <c r="EH338" s="83"/>
      <c r="EI338" s="61"/>
      <c r="EJ338" s="61"/>
      <c r="EK338" s="61"/>
      <c r="EL338" s="61"/>
      <c r="EM338" s="61"/>
      <c r="EN338" s="61"/>
      <c r="EO338" s="61"/>
      <c r="EP338" s="61"/>
      <c r="EQ338" s="61"/>
      <c r="ER338" s="61"/>
      <c r="ES338" s="61"/>
      <c r="FR338" s="63"/>
      <c r="FS338" s="63"/>
      <c r="FT338" s="63"/>
      <c r="FU338" s="63"/>
      <c r="FV338" s="63"/>
      <c r="FW338" s="63"/>
      <c r="FX338" s="63"/>
      <c r="FY338" s="63"/>
      <c r="FZ338" s="63"/>
      <c r="GA338" s="63"/>
      <c r="GB338" s="63"/>
      <c r="GC338" s="63"/>
      <c r="GE338" s="102"/>
    </row>
    <row r="339" spans="1:187">
      <c r="D339" s="59" t="str">
        <f t="shared" si="89"/>
        <v>4233p</v>
      </c>
      <c r="E339" s="60" t="s">
        <v>435</v>
      </c>
      <c r="F339" s="67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9"/>
      <c r="R339" s="67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9"/>
      <c r="AD339" s="67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9"/>
      <c r="AP339" s="67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9"/>
      <c r="BB339" s="67"/>
      <c r="BC339" s="68"/>
      <c r="BD339" s="68"/>
      <c r="BE339" s="68"/>
      <c r="BF339" s="68"/>
      <c r="BG339" s="68"/>
      <c r="BH339" s="68"/>
      <c r="BI339" s="68"/>
      <c r="BJ339" s="68"/>
      <c r="BK339" s="68"/>
      <c r="BL339" s="68"/>
      <c r="BM339" s="69"/>
      <c r="BN339" s="67"/>
      <c r="BO339" s="68"/>
      <c r="BP339" s="68"/>
      <c r="BQ339" s="68"/>
      <c r="BR339" s="68"/>
      <c r="BS339" s="68"/>
      <c r="BT339" s="68"/>
      <c r="BU339" s="68"/>
      <c r="BV339" s="68"/>
      <c r="BW339" s="68"/>
      <c r="BX339" s="68"/>
      <c r="BY339" s="69"/>
      <c r="BZ339" s="67"/>
      <c r="CA339" s="68"/>
      <c r="CB339" s="68"/>
      <c r="CC339" s="68"/>
      <c r="CD339" s="68"/>
      <c r="CE339" s="68"/>
      <c r="CF339" s="68"/>
      <c r="CG339" s="68"/>
      <c r="CH339" s="68"/>
      <c r="CI339" s="68"/>
      <c r="CJ339" s="68"/>
      <c r="CK339" s="68"/>
      <c r="CL339" s="67">
        <v>6982405.75</v>
      </c>
      <c r="CM339" s="68">
        <v>6982405.75</v>
      </c>
      <c r="CN339" s="68">
        <v>6982405.75</v>
      </c>
      <c r="CO339" s="68">
        <v>6982405.75</v>
      </c>
      <c r="CP339" s="68">
        <v>6982405.75</v>
      </c>
      <c r="CQ339" s="68">
        <v>6982405.75</v>
      </c>
      <c r="CR339" s="68">
        <v>6982405.75</v>
      </c>
      <c r="CS339" s="68">
        <v>6982405.75</v>
      </c>
      <c r="CT339" s="68">
        <v>6982405.75</v>
      </c>
      <c r="CU339" s="68">
        <v>6982405.75</v>
      </c>
      <c r="CV339" s="68">
        <v>6982405.75</v>
      </c>
      <c r="CW339" s="69">
        <v>6982405.75</v>
      </c>
      <c r="CX339" s="107">
        <v>6561091.7975000003</v>
      </c>
      <c r="CY339" s="108">
        <v>6561091.7975000003</v>
      </c>
      <c r="CZ339" s="108">
        <v>6561091.7975000003</v>
      </c>
      <c r="DA339" s="108">
        <v>6561091.7975000003</v>
      </c>
      <c r="DB339" s="108">
        <v>6561091.7975000003</v>
      </c>
      <c r="DC339" s="108">
        <v>6561091.7975000003</v>
      </c>
      <c r="DD339" s="108">
        <v>6561091.7975000003</v>
      </c>
      <c r="DE339" s="108">
        <v>6561091.7975000003</v>
      </c>
      <c r="DF339" s="108">
        <v>6561091.7975000003</v>
      </c>
      <c r="DG339" s="108">
        <v>6561091.7975000003</v>
      </c>
      <c r="DH339" s="108">
        <v>6561091.7975000003</v>
      </c>
      <c r="DI339" s="109">
        <v>6561091.7975000003</v>
      </c>
      <c r="DJ339" s="67">
        <v>6609745.8483333299</v>
      </c>
      <c r="DK339" s="68">
        <v>6609745.8483333299</v>
      </c>
      <c r="DL339" s="68">
        <v>6609745.8483333299</v>
      </c>
      <c r="DM339" s="68">
        <v>6609745.8483333299</v>
      </c>
      <c r="DN339" s="68">
        <v>6609745.8483333299</v>
      </c>
      <c r="DO339" s="68">
        <v>6609745.8483333299</v>
      </c>
      <c r="DP339" s="68">
        <v>6609745.8483333299</v>
      </c>
      <c r="DQ339" s="68">
        <v>6609745.8483333299</v>
      </c>
      <c r="DR339" s="68">
        <v>6609745.8483333299</v>
      </c>
      <c r="DS339" s="68">
        <v>6609745.8483333299</v>
      </c>
      <c r="DT339" s="68">
        <v>6609745.8483333299</v>
      </c>
      <c r="DU339" s="69">
        <v>6609745.8483333299</v>
      </c>
      <c r="DV339" s="83"/>
      <c r="DW339" s="83"/>
      <c r="DX339" s="83"/>
      <c r="DY339" s="83"/>
      <c r="DZ339" s="83"/>
      <c r="EA339" s="83"/>
      <c r="EB339" s="83"/>
      <c r="EC339" s="83"/>
      <c r="ED339" s="83"/>
      <c r="EE339" s="83"/>
      <c r="EF339" s="83"/>
      <c r="EG339" s="83"/>
      <c r="EH339" s="83"/>
      <c r="EI339" s="61"/>
      <c r="EJ339" s="61"/>
      <c r="EK339" s="61"/>
      <c r="EL339" s="61"/>
      <c r="EM339" s="61"/>
      <c r="EN339" s="61"/>
      <c r="EO339" s="61"/>
      <c r="EP339" s="61"/>
      <c r="EQ339" s="61"/>
      <c r="ER339" s="61"/>
      <c r="ES339" s="61"/>
      <c r="FR339" s="63"/>
      <c r="FS339" s="63"/>
      <c r="FT339" s="63"/>
      <c r="FU339" s="63"/>
      <c r="FV339" s="63"/>
      <c r="FW339" s="63"/>
      <c r="FX339" s="63"/>
      <c r="FY339" s="63"/>
      <c r="FZ339" s="63"/>
      <c r="GA339" s="63"/>
      <c r="GB339" s="63"/>
      <c r="GC339" s="63"/>
      <c r="GE339" s="102"/>
    </row>
    <row r="340" spans="1:187">
      <c r="D340" s="59" t="str">
        <f t="shared" si="89"/>
        <v>4234p</v>
      </c>
      <c r="E340" s="60" t="s">
        <v>141</v>
      </c>
      <c r="F340" s="67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9"/>
      <c r="R340" s="67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9"/>
      <c r="AD340" s="67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9"/>
      <c r="AP340" s="67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9"/>
      <c r="BB340" s="67"/>
      <c r="BC340" s="68"/>
      <c r="BD340" s="68"/>
      <c r="BE340" s="68"/>
      <c r="BF340" s="68"/>
      <c r="BG340" s="68"/>
      <c r="BH340" s="68"/>
      <c r="BI340" s="68"/>
      <c r="BJ340" s="68"/>
      <c r="BK340" s="68"/>
      <c r="BL340" s="68"/>
      <c r="BM340" s="69"/>
      <c r="BN340" s="67"/>
      <c r="BO340" s="68"/>
      <c r="BP340" s="68"/>
      <c r="BQ340" s="68"/>
      <c r="BR340" s="68"/>
      <c r="BS340" s="68"/>
      <c r="BT340" s="68"/>
      <c r="BU340" s="68"/>
      <c r="BV340" s="68"/>
      <c r="BW340" s="68"/>
      <c r="BX340" s="68"/>
      <c r="BY340" s="69"/>
      <c r="BZ340" s="67"/>
      <c r="CA340" s="68"/>
      <c r="CB340" s="68"/>
      <c r="CC340" s="68"/>
      <c r="CD340" s="68"/>
      <c r="CE340" s="68"/>
      <c r="CF340" s="68"/>
      <c r="CG340" s="68"/>
      <c r="CH340" s="68"/>
      <c r="CI340" s="68"/>
      <c r="CJ340" s="68"/>
      <c r="CK340" s="68"/>
      <c r="CL340" s="67">
        <v>1059053.83333333</v>
      </c>
      <c r="CM340" s="68">
        <v>1059053.83333333</v>
      </c>
      <c r="CN340" s="68">
        <v>1059053.83333333</v>
      </c>
      <c r="CO340" s="68">
        <v>1059053.83333333</v>
      </c>
      <c r="CP340" s="68">
        <v>1059053.83333333</v>
      </c>
      <c r="CQ340" s="68">
        <v>1059053.83333333</v>
      </c>
      <c r="CR340" s="68">
        <v>1059053.83333333</v>
      </c>
      <c r="CS340" s="68">
        <v>1059053.83333333</v>
      </c>
      <c r="CT340" s="68">
        <v>1059053.83333333</v>
      </c>
      <c r="CU340" s="68">
        <v>1059053.83333333</v>
      </c>
      <c r="CV340" s="68">
        <v>1059053.83333333</v>
      </c>
      <c r="CW340" s="69">
        <v>1059053.83333333</v>
      </c>
      <c r="CX340" s="107">
        <v>828921.01083333301</v>
      </c>
      <c r="CY340" s="108">
        <v>828921.01083333301</v>
      </c>
      <c r="CZ340" s="108">
        <v>828921.01083333301</v>
      </c>
      <c r="DA340" s="108">
        <v>828921.01083333301</v>
      </c>
      <c r="DB340" s="108">
        <v>828921.01083333301</v>
      </c>
      <c r="DC340" s="108">
        <v>828921.01083333301</v>
      </c>
      <c r="DD340" s="108">
        <v>828921.01083333301</v>
      </c>
      <c r="DE340" s="108">
        <v>828921.01083333301</v>
      </c>
      <c r="DF340" s="108">
        <v>828921.01083333301</v>
      </c>
      <c r="DG340" s="108">
        <v>828921.01083333301</v>
      </c>
      <c r="DH340" s="108">
        <v>828921.01083333301</v>
      </c>
      <c r="DI340" s="109">
        <v>828921.01083333301</v>
      </c>
      <c r="DJ340" s="67">
        <v>873475.01166666695</v>
      </c>
      <c r="DK340" s="68">
        <v>873475.01166666695</v>
      </c>
      <c r="DL340" s="68">
        <v>873475.01166666695</v>
      </c>
      <c r="DM340" s="68">
        <v>873475.01166666695</v>
      </c>
      <c r="DN340" s="68">
        <v>873475.01166666695</v>
      </c>
      <c r="DO340" s="68">
        <v>873475.01166666695</v>
      </c>
      <c r="DP340" s="68">
        <v>873475.01166666695</v>
      </c>
      <c r="DQ340" s="68">
        <v>873475.01166666695</v>
      </c>
      <c r="DR340" s="68">
        <v>873475.01166666695</v>
      </c>
      <c r="DS340" s="68">
        <v>873475.01166666695</v>
      </c>
      <c r="DT340" s="68">
        <v>873475.01166666695</v>
      </c>
      <c r="DU340" s="69">
        <v>873475.01166666695</v>
      </c>
      <c r="DV340" s="83"/>
      <c r="DW340" s="83"/>
      <c r="DX340" s="83"/>
      <c r="DY340" s="83"/>
      <c r="DZ340" s="83"/>
      <c r="EA340" s="83"/>
      <c r="EB340" s="83"/>
      <c r="EC340" s="83"/>
      <c r="ED340" s="83"/>
      <c r="EE340" s="83"/>
      <c r="EF340" s="83"/>
      <c r="EG340" s="83"/>
      <c r="EH340" s="83"/>
      <c r="EI340" s="61"/>
      <c r="EJ340" s="61"/>
      <c r="EK340" s="61"/>
      <c r="EL340" s="61"/>
      <c r="EM340" s="61"/>
      <c r="EN340" s="61"/>
      <c r="EO340" s="61"/>
      <c r="EP340" s="61"/>
      <c r="EQ340" s="61"/>
      <c r="ER340" s="61"/>
      <c r="ES340" s="61"/>
      <c r="FR340" s="63"/>
      <c r="FS340" s="63"/>
      <c r="FT340" s="63"/>
      <c r="FU340" s="63"/>
      <c r="FV340" s="63"/>
      <c r="FW340" s="63"/>
      <c r="FX340" s="63"/>
      <c r="FY340" s="63"/>
      <c r="FZ340" s="63"/>
      <c r="GA340" s="63"/>
      <c r="GB340" s="63"/>
      <c r="GC340" s="63"/>
      <c r="GE340" s="102"/>
    </row>
    <row r="341" spans="1:187">
      <c r="D341" s="59" t="str">
        <f t="shared" si="89"/>
        <v>4235p</v>
      </c>
      <c r="E341" s="60" t="s">
        <v>436</v>
      </c>
      <c r="F341" s="67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9"/>
      <c r="R341" s="67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9"/>
      <c r="AD341" s="67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9"/>
      <c r="AP341" s="67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9"/>
      <c r="BB341" s="67"/>
      <c r="BC341" s="68"/>
      <c r="BD341" s="68"/>
      <c r="BE341" s="68"/>
      <c r="BF341" s="68"/>
      <c r="BG341" s="68"/>
      <c r="BH341" s="68"/>
      <c r="BI341" s="68"/>
      <c r="BJ341" s="68"/>
      <c r="BK341" s="68"/>
      <c r="BL341" s="68"/>
      <c r="BM341" s="69"/>
      <c r="BN341" s="67"/>
      <c r="BO341" s="68"/>
      <c r="BP341" s="68"/>
      <c r="BQ341" s="68"/>
      <c r="BR341" s="68"/>
      <c r="BS341" s="68"/>
      <c r="BT341" s="68"/>
      <c r="BU341" s="68"/>
      <c r="BV341" s="68"/>
      <c r="BW341" s="68"/>
      <c r="BX341" s="68"/>
      <c r="BY341" s="69"/>
      <c r="BZ341" s="67"/>
      <c r="CA341" s="68"/>
      <c r="CB341" s="68"/>
      <c r="CC341" s="68"/>
      <c r="CD341" s="68"/>
      <c r="CE341" s="68"/>
      <c r="CF341" s="68"/>
      <c r="CG341" s="68"/>
      <c r="CH341" s="68"/>
      <c r="CI341" s="68"/>
      <c r="CJ341" s="68"/>
      <c r="CK341" s="68"/>
      <c r="CL341" s="67">
        <v>324063.75</v>
      </c>
      <c r="CM341" s="68">
        <v>324063.75</v>
      </c>
      <c r="CN341" s="68">
        <v>324063.75</v>
      </c>
      <c r="CO341" s="68">
        <v>324063.75</v>
      </c>
      <c r="CP341" s="68">
        <v>324063.75</v>
      </c>
      <c r="CQ341" s="68">
        <v>324063.75</v>
      </c>
      <c r="CR341" s="68">
        <v>324063.75</v>
      </c>
      <c r="CS341" s="68">
        <v>324063.75</v>
      </c>
      <c r="CT341" s="68">
        <v>324063.75</v>
      </c>
      <c r="CU341" s="68">
        <v>324063.75</v>
      </c>
      <c r="CV341" s="68">
        <v>324063.75</v>
      </c>
      <c r="CW341" s="69">
        <v>324063.75</v>
      </c>
      <c r="CX341" s="107">
        <v>213409.87</v>
      </c>
      <c r="CY341" s="108">
        <v>213409.87</v>
      </c>
      <c r="CZ341" s="108">
        <v>213409.87</v>
      </c>
      <c r="DA341" s="108">
        <v>213409.87</v>
      </c>
      <c r="DB341" s="108">
        <v>213409.87</v>
      </c>
      <c r="DC341" s="108">
        <v>213409.87</v>
      </c>
      <c r="DD341" s="108">
        <v>213409.87</v>
      </c>
      <c r="DE341" s="108">
        <v>213409.87</v>
      </c>
      <c r="DF341" s="108">
        <v>213409.87</v>
      </c>
      <c r="DG341" s="108">
        <v>213409.87</v>
      </c>
      <c r="DH341" s="108">
        <v>213409.87</v>
      </c>
      <c r="DI341" s="109">
        <v>213409.87</v>
      </c>
      <c r="DJ341" s="67">
        <v>220426.52416666699</v>
      </c>
      <c r="DK341" s="68">
        <v>220426.52416666699</v>
      </c>
      <c r="DL341" s="68">
        <v>220426.52416666699</v>
      </c>
      <c r="DM341" s="68">
        <v>220426.52416666699</v>
      </c>
      <c r="DN341" s="68">
        <v>220426.52416666699</v>
      </c>
      <c r="DO341" s="68">
        <v>220426.52416666699</v>
      </c>
      <c r="DP341" s="68">
        <v>220426.52416666699</v>
      </c>
      <c r="DQ341" s="68">
        <v>220426.52416666699</v>
      </c>
      <c r="DR341" s="68">
        <v>220426.52416666699</v>
      </c>
      <c r="DS341" s="68">
        <v>220426.52416666699</v>
      </c>
      <c r="DT341" s="68">
        <v>220426.52416666699</v>
      </c>
      <c r="DU341" s="69">
        <v>220426.52416666699</v>
      </c>
      <c r="DV341" s="83"/>
      <c r="DW341" s="83"/>
      <c r="DX341" s="83"/>
      <c r="DY341" s="83"/>
      <c r="DZ341" s="83"/>
      <c r="EA341" s="83"/>
      <c r="EB341" s="83"/>
      <c r="EC341" s="83"/>
      <c r="ED341" s="83"/>
      <c r="EE341" s="83"/>
      <c r="EF341" s="83"/>
      <c r="EG341" s="83"/>
      <c r="EH341" s="83"/>
      <c r="EI341" s="61"/>
      <c r="EJ341" s="61"/>
      <c r="EK341" s="61"/>
      <c r="EL341" s="61"/>
      <c r="EM341" s="61"/>
      <c r="EN341" s="61"/>
      <c r="EO341" s="61"/>
      <c r="EP341" s="61"/>
      <c r="EQ341" s="61"/>
      <c r="ER341" s="61"/>
      <c r="ES341" s="61"/>
      <c r="FR341" s="63"/>
      <c r="FS341" s="63"/>
      <c r="FT341" s="63"/>
      <c r="FU341" s="63"/>
      <c r="FV341" s="63"/>
      <c r="FW341" s="63"/>
      <c r="FX341" s="63"/>
      <c r="FY341" s="63"/>
      <c r="FZ341" s="63"/>
      <c r="GA341" s="63"/>
      <c r="GB341" s="63"/>
      <c r="GC341" s="63"/>
      <c r="GE341" s="102"/>
    </row>
    <row r="342" spans="1:187">
      <c r="D342" s="59" t="str">
        <f t="shared" si="89"/>
        <v>4236p</v>
      </c>
      <c r="E342" s="60" t="s">
        <v>437</v>
      </c>
      <c r="F342" s="67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9"/>
      <c r="R342" s="67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9"/>
      <c r="AD342" s="67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9"/>
      <c r="AP342" s="67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9"/>
      <c r="BB342" s="67"/>
      <c r="BC342" s="68"/>
      <c r="BD342" s="68"/>
      <c r="BE342" s="68"/>
      <c r="BF342" s="68"/>
      <c r="BG342" s="68"/>
      <c r="BH342" s="68"/>
      <c r="BI342" s="68"/>
      <c r="BJ342" s="68"/>
      <c r="BK342" s="68"/>
      <c r="BL342" s="68"/>
      <c r="BM342" s="69"/>
      <c r="BN342" s="67"/>
      <c r="BO342" s="68"/>
      <c r="BP342" s="68"/>
      <c r="BQ342" s="68"/>
      <c r="BR342" s="68"/>
      <c r="BS342" s="68"/>
      <c r="BT342" s="68"/>
      <c r="BU342" s="68"/>
      <c r="BV342" s="68"/>
      <c r="BW342" s="68"/>
      <c r="BX342" s="68"/>
      <c r="BY342" s="69"/>
      <c r="BZ342" s="67"/>
      <c r="CA342" s="68"/>
      <c r="CB342" s="68"/>
      <c r="CC342" s="68"/>
      <c r="CD342" s="68"/>
      <c r="CE342" s="68"/>
      <c r="CF342" s="68"/>
      <c r="CG342" s="68"/>
      <c r="CH342" s="68"/>
      <c r="CI342" s="68"/>
      <c r="CJ342" s="68"/>
      <c r="CK342" s="68"/>
      <c r="CL342" s="67">
        <v>721626.67500000005</v>
      </c>
      <c r="CM342" s="68">
        <v>721626.67500000005</v>
      </c>
      <c r="CN342" s="68">
        <v>721626.67500000005</v>
      </c>
      <c r="CO342" s="68">
        <v>721626.67500000005</v>
      </c>
      <c r="CP342" s="68">
        <v>721626.67500000005</v>
      </c>
      <c r="CQ342" s="68">
        <v>721626.67500000005</v>
      </c>
      <c r="CR342" s="68">
        <v>721626.67500000005</v>
      </c>
      <c r="CS342" s="68">
        <v>721626.67500000005</v>
      </c>
      <c r="CT342" s="68">
        <v>721626.67500000005</v>
      </c>
      <c r="CU342" s="68">
        <v>721626.67500000005</v>
      </c>
      <c r="CV342" s="68">
        <v>721626.67500000005</v>
      </c>
      <c r="CW342" s="69">
        <v>721626.67500000005</v>
      </c>
      <c r="CX342" s="107">
        <v>789759.14749999996</v>
      </c>
      <c r="CY342" s="108">
        <v>789759.14749999996</v>
      </c>
      <c r="CZ342" s="108">
        <v>789759.14749999996</v>
      </c>
      <c r="DA342" s="108">
        <v>789759.14749999996</v>
      </c>
      <c r="DB342" s="108">
        <v>789759.14749999996</v>
      </c>
      <c r="DC342" s="108">
        <v>789759.14749999996</v>
      </c>
      <c r="DD342" s="108">
        <v>789759.14749999996</v>
      </c>
      <c r="DE342" s="108">
        <v>789759.14749999996</v>
      </c>
      <c r="DF342" s="108">
        <v>789759.14749999996</v>
      </c>
      <c r="DG342" s="108">
        <v>789759.14749999996</v>
      </c>
      <c r="DH342" s="108">
        <v>789759.14749999996</v>
      </c>
      <c r="DI342" s="109">
        <v>789759.14749999996</v>
      </c>
      <c r="DJ342" s="67">
        <v>822265.84083333297</v>
      </c>
      <c r="DK342" s="68">
        <v>822265.84083333297</v>
      </c>
      <c r="DL342" s="68">
        <v>822265.84083333297</v>
      </c>
      <c r="DM342" s="68">
        <v>822265.84083333297</v>
      </c>
      <c r="DN342" s="68">
        <v>822265.84083333297</v>
      </c>
      <c r="DO342" s="68">
        <v>822265.84083333297</v>
      </c>
      <c r="DP342" s="68">
        <v>822265.84083333297</v>
      </c>
      <c r="DQ342" s="68">
        <v>822265.84083333297</v>
      </c>
      <c r="DR342" s="68">
        <v>822265.84083333297</v>
      </c>
      <c r="DS342" s="68">
        <v>822265.84083333297</v>
      </c>
      <c r="DT342" s="68">
        <v>822265.84083333297</v>
      </c>
      <c r="DU342" s="69">
        <v>822265.84083333297</v>
      </c>
      <c r="DV342" s="83"/>
      <c r="DW342" s="83"/>
      <c r="DX342" s="83"/>
      <c r="DY342" s="83"/>
      <c r="DZ342" s="83"/>
      <c r="EA342" s="83"/>
      <c r="EB342" s="83"/>
      <c r="EC342" s="83"/>
      <c r="ED342" s="83"/>
      <c r="EE342" s="83"/>
      <c r="EF342" s="83"/>
      <c r="EG342" s="83"/>
      <c r="EH342" s="83"/>
      <c r="EI342" s="61"/>
      <c r="EJ342" s="61"/>
      <c r="EK342" s="61"/>
      <c r="EL342" s="61"/>
      <c r="EM342" s="61"/>
      <c r="EN342" s="61"/>
      <c r="EO342" s="61"/>
      <c r="EP342" s="61"/>
      <c r="EQ342" s="61"/>
      <c r="ER342" s="61"/>
      <c r="ES342" s="61"/>
      <c r="FR342" s="63"/>
      <c r="FS342" s="63"/>
      <c r="FT342" s="63"/>
      <c r="FU342" s="63"/>
      <c r="FV342" s="63"/>
      <c r="FW342" s="63"/>
      <c r="FX342" s="63"/>
      <c r="FY342" s="63"/>
      <c r="FZ342" s="63"/>
      <c r="GA342" s="63"/>
      <c r="GB342" s="63"/>
      <c r="GC342" s="63"/>
      <c r="GE342" s="102"/>
    </row>
    <row r="343" spans="1:187" ht="30">
      <c r="D343" s="59" t="str">
        <f t="shared" si="89"/>
        <v>4237p</v>
      </c>
      <c r="E343" s="60" t="s">
        <v>438</v>
      </c>
      <c r="F343" s="67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9"/>
      <c r="R343" s="67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9"/>
      <c r="AD343" s="67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9"/>
      <c r="AP343" s="67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9"/>
      <c r="BB343" s="67"/>
      <c r="BC343" s="68"/>
      <c r="BD343" s="68"/>
      <c r="BE343" s="68"/>
      <c r="BF343" s="68"/>
      <c r="BG343" s="68"/>
      <c r="BH343" s="68"/>
      <c r="BI343" s="68"/>
      <c r="BJ343" s="68"/>
      <c r="BK343" s="68"/>
      <c r="BL343" s="68"/>
      <c r="BM343" s="69"/>
      <c r="BN343" s="67"/>
      <c r="BO343" s="68"/>
      <c r="BP343" s="68"/>
      <c r="BQ343" s="68"/>
      <c r="BR343" s="68"/>
      <c r="BS343" s="68"/>
      <c r="BT343" s="68"/>
      <c r="BU343" s="68"/>
      <c r="BV343" s="68"/>
      <c r="BW343" s="68"/>
      <c r="BX343" s="68"/>
      <c r="BY343" s="69"/>
      <c r="BZ343" s="67"/>
      <c r="CA343" s="68"/>
      <c r="CB343" s="68"/>
      <c r="CC343" s="68"/>
      <c r="CD343" s="68"/>
      <c r="CE343" s="68"/>
      <c r="CF343" s="68"/>
      <c r="CG343" s="68"/>
      <c r="CH343" s="68"/>
      <c r="CI343" s="68"/>
      <c r="CJ343" s="68"/>
      <c r="CK343" s="68"/>
      <c r="CL343" s="67"/>
      <c r="CM343" s="68"/>
      <c r="CN343" s="68"/>
      <c r="CO343" s="68"/>
      <c r="CP343" s="68"/>
      <c r="CQ343" s="68"/>
      <c r="CR343" s="68"/>
      <c r="CS343" s="68"/>
      <c r="CT343" s="68"/>
      <c r="CU343" s="68"/>
      <c r="CV343" s="68"/>
      <c r="CW343" s="69"/>
      <c r="CX343" s="107">
        <v>0</v>
      </c>
      <c r="CY343" s="108">
        <v>0</v>
      </c>
      <c r="CZ343" s="108">
        <v>0</v>
      </c>
      <c r="DA343" s="108">
        <v>0</v>
      </c>
      <c r="DB343" s="108">
        <v>0</v>
      </c>
      <c r="DC343" s="108">
        <v>0</v>
      </c>
      <c r="DD343" s="108">
        <v>0</v>
      </c>
      <c r="DE343" s="108">
        <v>0</v>
      </c>
      <c r="DF343" s="108">
        <v>0</v>
      </c>
      <c r="DG343" s="108">
        <v>0</v>
      </c>
      <c r="DH343" s="108">
        <v>0</v>
      </c>
      <c r="DI343" s="109">
        <v>0</v>
      </c>
      <c r="DJ343" s="67">
        <v>0</v>
      </c>
      <c r="DK343" s="68">
        <v>0</v>
      </c>
      <c r="DL343" s="68">
        <v>0</v>
      </c>
      <c r="DM343" s="68">
        <v>0</v>
      </c>
      <c r="DN343" s="68">
        <v>0</v>
      </c>
      <c r="DO343" s="68">
        <v>0</v>
      </c>
      <c r="DP343" s="68">
        <v>0</v>
      </c>
      <c r="DQ343" s="68">
        <v>0</v>
      </c>
      <c r="DR343" s="68">
        <v>0</v>
      </c>
      <c r="DS343" s="68">
        <v>0</v>
      </c>
      <c r="DT343" s="68">
        <v>0</v>
      </c>
      <c r="DU343" s="69">
        <v>0</v>
      </c>
      <c r="DV343" s="83"/>
      <c r="DW343" s="83"/>
      <c r="DX343" s="83"/>
      <c r="DY343" s="83"/>
      <c r="DZ343" s="83"/>
      <c r="EA343" s="83"/>
      <c r="EB343" s="83"/>
      <c r="EC343" s="83"/>
      <c r="ED343" s="83"/>
      <c r="EE343" s="83"/>
      <c r="EF343" s="83"/>
      <c r="EG343" s="83"/>
      <c r="EH343" s="83"/>
      <c r="EI343" s="61"/>
      <c r="EJ343" s="61"/>
      <c r="EK343" s="61"/>
      <c r="EL343" s="61"/>
      <c r="EM343" s="61"/>
      <c r="EN343" s="61"/>
      <c r="EO343" s="61"/>
      <c r="EP343" s="61"/>
      <c r="EQ343" s="61"/>
      <c r="ER343" s="61"/>
      <c r="ES343" s="61"/>
      <c r="FR343" s="63"/>
      <c r="FS343" s="63"/>
      <c r="FT343" s="63"/>
      <c r="FU343" s="63"/>
      <c r="FV343" s="63"/>
      <c r="FW343" s="63"/>
      <c r="FX343" s="63"/>
      <c r="FY343" s="63"/>
      <c r="FZ343" s="63"/>
      <c r="GA343" s="63"/>
      <c r="GB343" s="63"/>
      <c r="GC343" s="63"/>
      <c r="GE343" s="102"/>
    </row>
    <row r="344" spans="1:187" s="2" customFormat="1" ht="30">
      <c r="A344" s="71"/>
      <c r="B344" s="71"/>
      <c r="C344" s="71">
        <v>424</v>
      </c>
      <c r="D344" s="71" t="str">
        <f t="shared" si="89"/>
        <v>424p</v>
      </c>
      <c r="E344" s="72" t="s">
        <v>160</v>
      </c>
      <c r="F344" s="73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5"/>
      <c r="R344" s="73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5"/>
      <c r="AD344" s="73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5"/>
      <c r="AP344" s="73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5"/>
      <c r="BB344" s="73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5"/>
      <c r="BN344" s="73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5"/>
      <c r="BZ344" s="73"/>
      <c r="CA344" s="74"/>
      <c r="CB344" s="74"/>
      <c r="CC344" s="74"/>
      <c r="CD344" s="74"/>
      <c r="CE344" s="74"/>
      <c r="CF344" s="74"/>
      <c r="CG344" s="74"/>
      <c r="CH344" s="74"/>
      <c r="CI344" s="74"/>
      <c r="CJ344" s="74"/>
      <c r="CK344" s="74"/>
      <c r="CL344" s="73">
        <f t="shared" ref="CL344:CX344" si="96">+CL345</f>
        <v>1133333.33333333</v>
      </c>
      <c r="CM344" s="74">
        <f t="shared" si="96"/>
        <v>1133333.33333333</v>
      </c>
      <c r="CN344" s="74">
        <f t="shared" si="96"/>
        <v>1133333.33333333</v>
      </c>
      <c r="CO344" s="74">
        <f t="shared" si="96"/>
        <v>1133333.33333333</v>
      </c>
      <c r="CP344" s="74">
        <f t="shared" si="96"/>
        <v>1133333.33333333</v>
      </c>
      <c r="CQ344" s="74">
        <f t="shared" si="96"/>
        <v>1133333.33333333</v>
      </c>
      <c r="CR344" s="74">
        <f t="shared" si="96"/>
        <v>1133333.33333333</v>
      </c>
      <c r="CS344" s="74">
        <f t="shared" si="96"/>
        <v>1133333.33333333</v>
      </c>
      <c r="CT344" s="74">
        <f t="shared" si="96"/>
        <v>1133333.33333333</v>
      </c>
      <c r="CU344" s="74">
        <f t="shared" si="96"/>
        <v>1133333.33333333</v>
      </c>
      <c r="CV344" s="74">
        <f t="shared" si="96"/>
        <v>1133333.33333333</v>
      </c>
      <c r="CW344" s="75">
        <f t="shared" si="96"/>
        <v>1133333.33333333</v>
      </c>
      <c r="CX344" s="110">
        <f t="shared" si="96"/>
        <v>1208333.33333333</v>
      </c>
      <c r="CY344" s="111">
        <f t="shared" ref="CY344:DJ344" si="97">+CY345</f>
        <v>1208333.33333333</v>
      </c>
      <c r="CZ344" s="111">
        <f t="shared" si="97"/>
        <v>1208333.33333333</v>
      </c>
      <c r="DA344" s="111">
        <f t="shared" si="97"/>
        <v>1208333.33333333</v>
      </c>
      <c r="DB344" s="111">
        <f t="shared" si="97"/>
        <v>1208333.33333333</v>
      </c>
      <c r="DC344" s="111">
        <f t="shared" si="97"/>
        <v>1208333.33333333</v>
      </c>
      <c r="DD344" s="111">
        <f t="shared" si="97"/>
        <v>1208333.33333333</v>
      </c>
      <c r="DE344" s="111">
        <f t="shared" si="97"/>
        <v>1208333.33333333</v>
      </c>
      <c r="DF344" s="111">
        <f t="shared" si="97"/>
        <v>1208333.33333333</v>
      </c>
      <c r="DG344" s="111">
        <f t="shared" si="97"/>
        <v>1208333.33333333</v>
      </c>
      <c r="DH344" s="111">
        <f t="shared" si="97"/>
        <v>1208333.33333333</v>
      </c>
      <c r="DI344" s="112">
        <f t="shared" si="97"/>
        <v>1208333.33333333</v>
      </c>
      <c r="DJ344" s="73">
        <f t="shared" si="97"/>
        <v>1250000</v>
      </c>
      <c r="DK344" s="74">
        <f t="shared" ref="DK344:DU344" si="98">+DK345</f>
        <v>1250000</v>
      </c>
      <c r="DL344" s="74">
        <f t="shared" si="98"/>
        <v>1250000</v>
      </c>
      <c r="DM344" s="74">
        <f t="shared" si="98"/>
        <v>1250000</v>
      </c>
      <c r="DN344" s="74">
        <f t="shared" si="98"/>
        <v>1250000</v>
      </c>
      <c r="DO344" s="74">
        <f t="shared" si="98"/>
        <v>1250000</v>
      </c>
      <c r="DP344" s="74">
        <f t="shared" si="98"/>
        <v>1250000</v>
      </c>
      <c r="DQ344" s="74">
        <f t="shared" si="98"/>
        <v>1250000</v>
      </c>
      <c r="DR344" s="74">
        <f t="shared" si="98"/>
        <v>1250000</v>
      </c>
      <c r="DS344" s="74">
        <f t="shared" si="98"/>
        <v>1250000</v>
      </c>
      <c r="DT344" s="74">
        <f t="shared" si="98"/>
        <v>1250000</v>
      </c>
      <c r="DU344" s="75">
        <f t="shared" si="98"/>
        <v>1250000</v>
      </c>
      <c r="DV344" s="74">
        <v>1250083.33333333</v>
      </c>
      <c r="DW344" s="74">
        <v>1250083.33333333</v>
      </c>
      <c r="DX344" s="74">
        <v>1250083.33333333</v>
      </c>
      <c r="DY344" s="74">
        <v>1250083.33333333</v>
      </c>
      <c r="DZ344" s="74">
        <v>1250083.33333333</v>
      </c>
      <c r="EA344" s="74">
        <v>1250083.33333333</v>
      </c>
      <c r="EB344" s="74">
        <v>1250083.33333333</v>
      </c>
      <c r="EC344" s="74">
        <v>1250083.33333333</v>
      </c>
      <c r="ED344" s="74">
        <v>1250083.33333333</v>
      </c>
      <c r="EE344" s="74">
        <v>1250083.33333333</v>
      </c>
      <c r="EF344" s="74">
        <v>1250083.33333333</v>
      </c>
      <c r="EG344" s="74">
        <v>1250083.33333333</v>
      </c>
      <c r="EH344" s="74">
        <v>1327583.33333333</v>
      </c>
      <c r="EI344" s="74">
        <v>1327583.33333333</v>
      </c>
      <c r="EJ344" s="74">
        <v>1327583.33333333</v>
      </c>
      <c r="EK344" s="74">
        <v>1327583.33333333</v>
      </c>
      <c r="EL344" s="74">
        <v>1327583.33333333</v>
      </c>
      <c r="EM344" s="74">
        <v>1327583.33333333</v>
      </c>
      <c r="EN344" s="74">
        <v>1327583.33333333</v>
      </c>
      <c r="EO344" s="74">
        <v>1327583.33333333</v>
      </c>
      <c r="EP344" s="74">
        <v>1327583.33333333</v>
      </c>
      <c r="EQ344" s="74">
        <v>1327583.33333333</v>
      </c>
      <c r="ER344" s="74">
        <v>1327583.33333333</v>
      </c>
      <c r="ES344" s="74">
        <v>1327583.33333333</v>
      </c>
      <c r="ET344" s="106">
        <v>1375008.33333333</v>
      </c>
      <c r="EU344" s="106">
        <v>1375008.33333333</v>
      </c>
      <c r="EV344" s="106">
        <v>1375008.33333333</v>
      </c>
      <c r="EW344" s="106">
        <v>1375008.33333333</v>
      </c>
      <c r="EX344" s="106">
        <v>1375008.33333333</v>
      </c>
      <c r="EY344" s="106">
        <v>1375008.33333333</v>
      </c>
      <c r="EZ344" s="106">
        <v>1375008.33333333</v>
      </c>
      <c r="FA344" s="106">
        <v>1375008.33333333</v>
      </c>
      <c r="FB344" s="106">
        <v>2000008.33333333</v>
      </c>
      <c r="FC344" s="106">
        <v>2000008.33333333</v>
      </c>
      <c r="FD344" s="106">
        <v>2000008.33333333</v>
      </c>
      <c r="FE344" s="106">
        <v>2000008.33333333</v>
      </c>
      <c r="FF344" s="106">
        <v>1583341.74</v>
      </c>
      <c r="FG344" s="106">
        <v>1583341.66</v>
      </c>
      <c r="FH344" s="106">
        <v>1583341.66</v>
      </c>
      <c r="FI344" s="106">
        <v>1583341.66</v>
      </c>
      <c r="FJ344" s="106">
        <v>1583341.66</v>
      </c>
      <c r="FK344" s="106">
        <v>1583341.66</v>
      </c>
      <c r="FL344" s="106">
        <v>1583341.66</v>
      </c>
      <c r="FM344" s="106">
        <v>1583341.66</v>
      </c>
      <c r="FN344" s="106">
        <v>1583341.66</v>
      </c>
      <c r="FO344" s="106">
        <v>1583341.66</v>
      </c>
      <c r="FP344" s="106">
        <v>1583341.66</v>
      </c>
      <c r="FQ344" s="106">
        <v>1583341.66</v>
      </c>
      <c r="FR344" s="106">
        <v>1621388.9</v>
      </c>
      <c r="FS344" s="106">
        <v>1831428.58</v>
      </c>
      <c r="FT344" s="106">
        <v>1595368.45</v>
      </c>
      <c r="FU344" s="106">
        <v>2107330.88</v>
      </c>
      <c r="FV344" s="106">
        <v>1443795.73</v>
      </c>
      <c r="FW344" s="106">
        <v>1628669.78</v>
      </c>
      <c r="FX344" s="106">
        <v>1628669.78</v>
      </c>
      <c r="FY344" s="106">
        <v>1628669.78</v>
      </c>
      <c r="FZ344" s="106">
        <v>1628669.78</v>
      </c>
      <c r="GA344" s="106">
        <v>1628669.78</v>
      </c>
      <c r="GB344" s="106">
        <v>1628669.78</v>
      </c>
      <c r="GC344" s="106">
        <v>1628669.78</v>
      </c>
      <c r="GE344" s="101">
        <f>SUM(FR344:GC344)</f>
        <v>20000001</v>
      </c>
    </row>
    <row r="345" spans="1:187">
      <c r="D345" s="59" t="str">
        <f t="shared" si="89"/>
        <v>4241p</v>
      </c>
      <c r="E345" s="60" t="s">
        <v>439</v>
      </c>
      <c r="F345" s="67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9"/>
      <c r="R345" s="67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9"/>
      <c r="AD345" s="67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9"/>
      <c r="AP345" s="67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9"/>
      <c r="BB345" s="67"/>
      <c r="BC345" s="68"/>
      <c r="BD345" s="68"/>
      <c r="BE345" s="68"/>
      <c r="BF345" s="68"/>
      <c r="BG345" s="68"/>
      <c r="BH345" s="68"/>
      <c r="BI345" s="68"/>
      <c r="BJ345" s="68"/>
      <c r="BK345" s="68"/>
      <c r="BL345" s="68"/>
      <c r="BM345" s="69"/>
      <c r="BN345" s="67"/>
      <c r="BO345" s="68"/>
      <c r="BP345" s="68"/>
      <c r="BQ345" s="68"/>
      <c r="BR345" s="68"/>
      <c r="BS345" s="68"/>
      <c r="BT345" s="68"/>
      <c r="BU345" s="68"/>
      <c r="BV345" s="68"/>
      <c r="BW345" s="68"/>
      <c r="BX345" s="68"/>
      <c r="BY345" s="69"/>
      <c r="BZ345" s="67"/>
      <c r="CA345" s="68"/>
      <c r="CB345" s="68"/>
      <c r="CC345" s="68"/>
      <c r="CD345" s="68"/>
      <c r="CE345" s="68"/>
      <c r="CF345" s="68"/>
      <c r="CG345" s="68"/>
      <c r="CH345" s="68"/>
      <c r="CI345" s="68"/>
      <c r="CJ345" s="68"/>
      <c r="CK345" s="68"/>
      <c r="CL345" s="67">
        <v>1133333.33333333</v>
      </c>
      <c r="CM345" s="68">
        <v>1133333.33333333</v>
      </c>
      <c r="CN345" s="68">
        <v>1133333.33333333</v>
      </c>
      <c r="CO345" s="68">
        <v>1133333.33333333</v>
      </c>
      <c r="CP345" s="68">
        <v>1133333.33333333</v>
      </c>
      <c r="CQ345" s="68">
        <v>1133333.33333333</v>
      </c>
      <c r="CR345" s="68">
        <v>1133333.33333333</v>
      </c>
      <c r="CS345" s="68">
        <v>1133333.33333333</v>
      </c>
      <c r="CT345" s="68">
        <v>1133333.33333333</v>
      </c>
      <c r="CU345" s="68">
        <v>1133333.33333333</v>
      </c>
      <c r="CV345" s="68">
        <v>1133333.33333333</v>
      </c>
      <c r="CW345" s="69">
        <v>1133333.33333333</v>
      </c>
      <c r="CX345" s="107">
        <v>1208333.33333333</v>
      </c>
      <c r="CY345" s="108">
        <v>1208333.33333333</v>
      </c>
      <c r="CZ345" s="108">
        <v>1208333.33333333</v>
      </c>
      <c r="DA345" s="108">
        <v>1208333.33333333</v>
      </c>
      <c r="DB345" s="108">
        <v>1208333.33333333</v>
      </c>
      <c r="DC345" s="108">
        <v>1208333.33333333</v>
      </c>
      <c r="DD345" s="108">
        <v>1208333.33333333</v>
      </c>
      <c r="DE345" s="108">
        <v>1208333.33333333</v>
      </c>
      <c r="DF345" s="108">
        <v>1208333.33333333</v>
      </c>
      <c r="DG345" s="108">
        <v>1208333.33333333</v>
      </c>
      <c r="DH345" s="108">
        <v>1208333.33333333</v>
      </c>
      <c r="DI345" s="109">
        <v>1208333.33333333</v>
      </c>
      <c r="DJ345" s="67">
        <v>1250000</v>
      </c>
      <c r="DK345" s="68">
        <v>1250000</v>
      </c>
      <c r="DL345" s="68">
        <v>1250000</v>
      </c>
      <c r="DM345" s="68">
        <v>1250000</v>
      </c>
      <c r="DN345" s="68">
        <v>1250000</v>
      </c>
      <c r="DO345" s="68">
        <v>1250000</v>
      </c>
      <c r="DP345" s="68">
        <v>1250000</v>
      </c>
      <c r="DQ345" s="68">
        <v>1250000</v>
      </c>
      <c r="DR345" s="68">
        <v>1250000</v>
      </c>
      <c r="DS345" s="68">
        <v>1250000</v>
      </c>
      <c r="DT345" s="68">
        <v>1250000</v>
      </c>
      <c r="DU345" s="69">
        <v>1250000</v>
      </c>
      <c r="DV345" s="83"/>
      <c r="DW345" s="83"/>
      <c r="DX345" s="83"/>
      <c r="DY345" s="83"/>
      <c r="DZ345" s="83"/>
      <c r="EA345" s="83"/>
      <c r="EB345" s="83"/>
      <c r="EC345" s="83"/>
      <c r="ED345" s="83"/>
      <c r="EE345" s="83"/>
      <c r="EF345" s="83"/>
      <c r="EG345" s="83"/>
      <c r="EH345" s="83"/>
      <c r="EI345" s="83"/>
      <c r="EJ345" s="83"/>
      <c r="EK345" s="83"/>
      <c r="EL345" s="83"/>
      <c r="EM345" s="83"/>
      <c r="EN345" s="83"/>
      <c r="EO345" s="83"/>
      <c r="EP345" s="83"/>
      <c r="EQ345" s="83"/>
      <c r="ER345" s="83"/>
      <c r="ES345" s="83"/>
      <c r="FR345" s="63"/>
      <c r="FS345" s="63"/>
      <c r="FT345" s="63"/>
      <c r="FU345" s="63"/>
      <c r="FV345" s="63"/>
      <c r="FW345" s="63"/>
      <c r="FX345" s="63"/>
      <c r="FY345" s="63"/>
      <c r="FZ345" s="63"/>
      <c r="GA345" s="63"/>
      <c r="GB345" s="63"/>
      <c r="GC345" s="63"/>
      <c r="GE345" s="102"/>
    </row>
    <row r="346" spans="1:187" s="2" customFormat="1" ht="30">
      <c r="A346" s="71"/>
      <c r="B346" s="71"/>
      <c r="C346" s="71">
        <v>425</v>
      </c>
      <c r="D346" s="71" t="str">
        <f t="shared" si="89"/>
        <v>425p</v>
      </c>
      <c r="E346" s="72" t="s">
        <v>161</v>
      </c>
      <c r="F346" s="73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5"/>
      <c r="R346" s="73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5"/>
      <c r="AD346" s="73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5"/>
      <c r="AP346" s="73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5"/>
      <c r="BB346" s="73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5"/>
      <c r="BN346" s="73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5"/>
      <c r="BZ346" s="73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3">
        <f t="shared" ref="CL346:CX346" si="99">+SUM(CL347:CL349)</f>
        <v>583333.33333333302</v>
      </c>
      <c r="CM346" s="74">
        <f t="shared" si="99"/>
        <v>583333.33333333302</v>
      </c>
      <c r="CN346" s="74">
        <f t="shared" si="99"/>
        <v>583333.33333333302</v>
      </c>
      <c r="CO346" s="74">
        <f t="shared" si="99"/>
        <v>583333.33333333302</v>
      </c>
      <c r="CP346" s="74">
        <f t="shared" si="99"/>
        <v>583333.33333333302</v>
      </c>
      <c r="CQ346" s="74">
        <f t="shared" si="99"/>
        <v>583333.33333333302</v>
      </c>
      <c r="CR346" s="74">
        <f t="shared" si="99"/>
        <v>583333.33333333302</v>
      </c>
      <c r="CS346" s="74">
        <f t="shared" si="99"/>
        <v>583333.33333333302</v>
      </c>
      <c r="CT346" s="74">
        <f t="shared" si="99"/>
        <v>583333.33333333302</v>
      </c>
      <c r="CU346" s="74">
        <f t="shared" si="99"/>
        <v>583333.33333333302</v>
      </c>
      <c r="CV346" s="74">
        <f t="shared" si="99"/>
        <v>583333.33333333302</v>
      </c>
      <c r="CW346" s="75">
        <f t="shared" si="99"/>
        <v>583333.33333333302</v>
      </c>
      <c r="CX346" s="110">
        <f t="shared" si="99"/>
        <v>583333.33333333302</v>
      </c>
      <c r="CY346" s="111">
        <f t="shared" ref="CY346:DJ346" si="100">+SUM(CY347:CY349)</f>
        <v>583333.33333333302</v>
      </c>
      <c r="CZ346" s="111">
        <f t="shared" si="100"/>
        <v>583333.33333333302</v>
      </c>
      <c r="DA346" s="111">
        <f t="shared" si="100"/>
        <v>583333.33333333302</v>
      </c>
      <c r="DB346" s="111">
        <f t="shared" si="100"/>
        <v>583333.33333333302</v>
      </c>
      <c r="DC346" s="111">
        <f t="shared" si="100"/>
        <v>583333.33333333302</v>
      </c>
      <c r="DD346" s="111">
        <f t="shared" si="100"/>
        <v>583333.33333333302</v>
      </c>
      <c r="DE346" s="111">
        <f t="shared" si="100"/>
        <v>583333.33333333302</v>
      </c>
      <c r="DF346" s="111">
        <f t="shared" si="100"/>
        <v>583333.33333333302</v>
      </c>
      <c r="DG346" s="111">
        <f t="shared" si="100"/>
        <v>583333.33333333302</v>
      </c>
      <c r="DH346" s="111">
        <f t="shared" si="100"/>
        <v>583333.33333333302</v>
      </c>
      <c r="DI346" s="112">
        <f t="shared" si="100"/>
        <v>583333.33333333302</v>
      </c>
      <c r="DJ346" s="73">
        <f t="shared" si="100"/>
        <v>618333.33333333302</v>
      </c>
      <c r="DK346" s="74">
        <f t="shared" ref="DK346:DU346" si="101">+SUM(DK347:DK349)</f>
        <v>618333.33333333302</v>
      </c>
      <c r="DL346" s="74">
        <f t="shared" si="101"/>
        <v>618333.33333333302</v>
      </c>
      <c r="DM346" s="74">
        <f t="shared" si="101"/>
        <v>618333.33333333302</v>
      </c>
      <c r="DN346" s="74">
        <f t="shared" si="101"/>
        <v>618333.33333333302</v>
      </c>
      <c r="DO346" s="74">
        <f t="shared" si="101"/>
        <v>618333.33333333302</v>
      </c>
      <c r="DP346" s="74">
        <f t="shared" si="101"/>
        <v>618333.33333333302</v>
      </c>
      <c r="DQ346" s="74">
        <f t="shared" si="101"/>
        <v>618333.33333333302</v>
      </c>
      <c r="DR346" s="74">
        <f t="shared" si="101"/>
        <v>618333.33333333302</v>
      </c>
      <c r="DS346" s="74">
        <f t="shared" si="101"/>
        <v>618333.33333333302</v>
      </c>
      <c r="DT346" s="74">
        <f t="shared" si="101"/>
        <v>618333.33333333302</v>
      </c>
      <c r="DU346" s="75">
        <f t="shared" si="101"/>
        <v>618333.33333333302</v>
      </c>
      <c r="DV346" s="74">
        <v>663871.66666666698</v>
      </c>
      <c r="DW346" s="74">
        <v>663871.66666666698</v>
      </c>
      <c r="DX346" s="74">
        <v>663871.66666666698</v>
      </c>
      <c r="DY346" s="74">
        <v>663871.66666666698</v>
      </c>
      <c r="DZ346" s="74">
        <v>663871.66666666698</v>
      </c>
      <c r="EA346" s="74">
        <v>663871.66666666698</v>
      </c>
      <c r="EB346" s="74">
        <v>663871.66666666698</v>
      </c>
      <c r="EC346" s="74">
        <v>663871.66666666698</v>
      </c>
      <c r="ED346" s="74">
        <v>663871.66666666698</v>
      </c>
      <c r="EE346" s="74">
        <v>663871.66666666698</v>
      </c>
      <c r="EF346" s="74">
        <v>663871.66666666698</v>
      </c>
      <c r="EG346" s="74">
        <v>663871.66666666698</v>
      </c>
      <c r="EH346" s="74">
        <v>710416.66666666698</v>
      </c>
      <c r="EI346" s="74">
        <v>710416.66666666698</v>
      </c>
      <c r="EJ346" s="74">
        <v>710416.66666666698</v>
      </c>
      <c r="EK346" s="74">
        <v>710416.66666666698</v>
      </c>
      <c r="EL346" s="74">
        <v>710416.66666666698</v>
      </c>
      <c r="EM346" s="74">
        <v>710416.66666666698</v>
      </c>
      <c r="EN346" s="74">
        <v>710416.66666666698</v>
      </c>
      <c r="EO346" s="74">
        <v>710416.66666666698</v>
      </c>
      <c r="EP346" s="74">
        <v>710416.66666666698</v>
      </c>
      <c r="EQ346" s="74">
        <v>710416.66666666698</v>
      </c>
      <c r="ER346" s="74">
        <v>710416.66666666698</v>
      </c>
      <c r="ES346" s="74">
        <v>710416.66666666698</v>
      </c>
      <c r="ET346" s="106">
        <v>752083.33333333302</v>
      </c>
      <c r="EU346" s="106">
        <v>752083.33333333302</v>
      </c>
      <c r="EV346" s="106">
        <v>752083.33333333302</v>
      </c>
      <c r="EW346" s="106">
        <v>752083.33333333302</v>
      </c>
      <c r="EX346" s="106">
        <v>752083.33333333302</v>
      </c>
      <c r="EY346" s="106">
        <v>752083.33333333302</v>
      </c>
      <c r="EZ346" s="106">
        <v>752083.33333333302</v>
      </c>
      <c r="FA346" s="106">
        <v>752083.33333333302</v>
      </c>
      <c r="FB346" s="106">
        <v>2039583.33333333</v>
      </c>
      <c r="FC346" s="106">
        <v>2039583.33333333</v>
      </c>
      <c r="FD346" s="106">
        <v>2039583.33333333</v>
      </c>
      <c r="FE346" s="106">
        <v>2039583.33333333</v>
      </c>
      <c r="FF346" s="106">
        <v>885416.75</v>
      </c>
      <c r="FG346" s="106">
        <v>885416.75</v>
      </c>
      <c r="FH346" s="106">
        <v>885416.75</v>
      </c>
      <c r="FI346" s="106">
        <v>885416.75</v>
      </c>
      <c r="FJ346" s="106">
        <v>885416.75</v>
      </c>
      <c r="FK346" s="106">
        <v>885416.75</v>
      </c>
      <c r="FL346" s="106">
        <v>885416.75</v>
      </c>
      <c r="FM346" s="106">
        <v>885416.75</v>
      </c>
      <c r="FN346" s="106">
        <v>885416.75</v>
      </c>
      <c r="FO346" s="106">
        <v>885416.75</v>
      </c>
      <c r="FP346" s="106">
        <v>885416.75</v>
      </c>
      <c r="FQ346" s="106">
        <v>885416.75</v>
      </c>
      <c r="FR346" s="106">
        <v>745429.25</v>
      </c>
      <c r="FS346" s="106">
        <v>838710.44</v>
      </c>
      <c r="FT346" s="106">
        <v>906787.09</v>
      </c>
      <c r="FU346" s="106">
        <v>680647.83</v>
      </c>
      <c r="FV346" s="106">
        <v>705326.14</v>
      </c>
      <c r="FW346" s="106">
        <v>964014.32142857101</v>
      </c>
      <c r="FX346" s="106">
        <v>964014.32142857101</v>
      </c>
      <c r="FY346" s="106">
        <v>964014.32142857101</v>
      </c>
      <c r="FZ346" s="106">
        <v>964014.32142857101</v>
      </c>
      <c r="GA346" s="106">
        <v>964014.32142857101</v>
      </c>
      <c r="GB346" s="106">
        <v>964014.32142857101</v>
      </c>
      <c r="GC346" s="106">
        <v>964014.32142857101</v>
      </c>
      <c r="GE346" s="101">
        <f>SUM(FR346:GC346)</f>
        <v>10625001</v>
      </c>
    </row>
    <row r="347" spans="1:187">
      <c r="D347" s="59" t="str">
        <f t="shared" si="89"/>
        <v>4251p</v>
      </c>
      <c r="E347" s="60" t="s">
        <v>440</v>
      </c>
      <c r="F347" s="67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9"/>
      <c r="R347" s="67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9"/>
      <c r="AD347" s="67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9"/>
      <c r="AP347" s="67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9"/>
      <c r="BB347" s="67"/>
      <c r="BC347" s="68"/>
      <c r="BD347" s="68"/>
      <c r="BE347" s="68"/>
      <c r="BF347" s="68"/>
      <c r="BG347" s="68"/>
      <c r="BH347" s="68"/>
      <c r="BI347" s="68"/>
      <c r="BJ347" s="68"/>
      <c r="BK347" s="68"/>
      <c r="BL347" s="68"/>
      <c r="BM347" s="69"/>
      <c r="BN347" s="67"/>
      <c r="BO347" s="68"/>
      <c r="BP347" s="68"/>
      <c r="BQ347" s="68"/>
      <c r="BR347" s="68"/>
      <c r="BS347" s="68"/>
      <c r="BT347" s="68"/>
      <c r="BU347" s="68"/>
      <c r="BV347" s="68"/>
      <c r="BW347" s="68"/>
      <c r="BX347" s="68"/>
      <c r="BY347" s="69"/>
      <c r="BZ347" s="67"/>
      <c r="CA347" s="68"/>
      <c r="CB347" s="68"/>
      <c r="CC347" s="68"/>
      <c r="CD347" s="68"/>
      <c r="CE347" s="68"/>
      <c r="CF347" s="68"/>
      <c r="CG347" s="68"/>
      <c r="CH347" s="68"/>
      <c r="CI347" s="68"/>
      <c r="CJ347" s="68"/>
      <c r="CK347" s="68"/>
      <c r="CL347" s="67">
        <v>108333.33333333299</v>
      </c>
      <c r="CM347" s="68">
        <v>108333.33333333299</v>
      </c>
      <c r="CN347" s="68">
        <v>108333.33333333299</v>
      </c>
      <c r="CO347" s="68">
        <v>108333.33333333299</v>
      </c>
      <c r="CP347" s="68">
        <v>108333.33333333299</v>
      </c>
      <c r="CQ347" s="68">
        <v>108333.33333333299</v>
      </c>
      <c r="CR347" s="68">
        <v>108333.33333333299</v>
      </c>
      <c r="CS347" s="68">
        <v>108333.33333333299</v>
      </c>
      <c r="CT347" s="68">
        <v>108333.33333333299</v>
      </c>
      <c r="CU347" s="68">
        <v>108333.33333333299</v>
      </c>
      <c r="CV347" s="68">
        <v>108333.33333333299</v>
      </c>
      <c r="CW347" s="69">
        <v>108333.33333333299</v>
      </c>
      <c r="CX347" s="107">
        <v>108333.33333333299</v>
      </c>
      <c r="CY347" s="108">
        <v>108333.33333333299</v>
      </c>
      <c r="CZ347" s="108">
        <v>108333.33333333299</v>
      </c>
      <c r="DA347" s="108">
        <v>108333.33333333299</v>
      </c>
      <c r="DB347" s="108">
        <v>108333.33333333299</v>
      </c>
      <c r="DC347" s="108">
        <v>108333.33333333299</v>
      </c>
      <c r="DD347" s="108">
        <v>108333.33333333299</v>
      </c>
      <c r="DE347" s="108">
        <v>108333.33333333299</v>
      </c>
      <c r="DF347" s="108">
        <v>108333.33333333299</v>
      </c>
      <c r="DG347" s="108">
        <v>108333.33333333299</v>
      </c>
      <c r="DH347" s="108">
        <v>108333.33333333299</v>
      </c>
      <c r="DI347" s="109">
        <v>108333.33333333299</v>
      </c>
      <c r="DJ347" s="67">
        <v>114166.66666666701</v>
      </c>
      <c r="DK347" s="68">
        <v>114166.66666666701</v>
      </c>
      <c r="DL347" s="68">
        <v>114166.66666666701</v>
      </c>
      <c r="DM347" s="68">
        <v>114166.66666666701</v>
      </c>
      <c r="DN347" s="68">
        <v>114166.66666666701</v>
      </c>
      <c r="DO347" s="68">
        <v>114166.66666666701</v>
      </c>
      <c r="DP347" s="68">
        <v>114166.66666666701</v>
      </c>
      <c r="DQ347" s="68">
        <v>114166.66666666701</v>
      </c>
      <c r="DR347" s="68">
        <v>114166.66666666701</v>
      </c>
      <c r="DS347" s="68">
        <v>114166.66666666701</v>
      </c>
      <c r="DT347" s="68">
        <v>114166.66666666701</v>
      </c>
      <c r="DU347" s="69">
        <v>114166.66666666701</v>
      </c>
      <c r="DV347" s="83"/>
      <c r="DW347" s="83"/>
      <c r="DX347" s="83"/>
      <c r="DY347" s="83"/>
      <c r="DZ347" s="83"/>
      <c r="EA347" s="83"/>
      <c r="EB347" s="83"/>
      <c r="EC347" s="83"/>
      <c r="ED347" s="83"/>
      <c r="EE347" s="83"/>
      <c r="EF347" s="83"/>
      <c r="EG347" s="83"/>
      <c r="EH347" s="83"/>
      <c r="EI347" s="61"/>
      <c r="EJ347" s="61"/>
      <c r="EK347" s="61"/>
      <c r="EL347" s="61"/>
      <c r="EM347" s="61"/>
      <c r="EN347" s="61"/>
      <c r="EO347" s="61"/>
      <c r="EP347" s="61"/>
      <c r="EQ347" s="61"/>
      <c r="ER347" s="61"/>
      <c r="ES347" s="61"/>
      <c r="FR347" s="63"/>
      <c r="FS347" s="63"/>
      <c r="FT347" s="63"/>
      <c r="FU347" s="63"/>
      <c r="FV347" s="63"/>
      <c r="FW347" s="63"/>
      <c r="FX347" s="63"/>
      <c r="FY347" s="63"/>
      <c r="FZ347" s="63"/>
      <c r="GA347" s="63"/>
      <c r="GB347" s="63"/>
      <c r="GC347" s="63"/>
      <c r="GE347" s="102"/>
    </row>
    <row r="348" spans="1:187" ht="30">
      <c r="D348" s="59" t="str">
        <f t="shared" si="89"/>
        <v>4252p</v>
      </c>
      <c r="E348" s="60" t="s">
        <v>441</v>
      </c>
      <c r="F348" s="67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9"/>
      <c r="R348" s="67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9"/>
      <c r="AD348" s="67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9"/>
      <c r="AP348" s="67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9"/>
      <c r="BB348" s="67"/>
      <c r="BC348" s="68"/>
      <c r="BD348" s="68"/>
      <c r="BE348" s="68"/>
      <c r="BF348" s="68"/>
      <c r="BG348" s="68"/>
      <c r="BH348" s="68"/>
      <c r="BI348" s="68"/>
      <c r="BJ348" s="68"/>
      <c r="BK348" s="68"/>
      <c r="BL348" s="68"/>
      <c r="BM348" s="69"/>
      <c r="BN348" s="67"/>
      <c r="BO348" s="68"/>
      <c r="BP348" s="68"/>
      <c r="BQ348" s="68"/>
      <c r="BR348" s="68"/>
      <c r="BS348" s="68"/>
      <c r="BT348" s="68"/>
      <c r="BU348" s="68"/>
      <c r="BV348" s="68"/>
      <c r="BW348" s="68"/>
      <c r="BX348" s="68"/>
      <c r="BY348" s="69"/>
      <c r="BZ348" s="67"/>
      <c r="CA348" s="68"/>
      <c r="CB348" s="68"/>
      <c r="CC348" s="68"/>
      <c r="CD348" s="68"/>
      <c r="CE348" s="68"/>
      <c r="CF348" s="68"/>
      <c r="CG348" s="68"/>
      <c r="CH348" s="68"/>
      <c r="CI348" s="68"/>
      <c r="CJ348" s="68"/>
      <c r="CK348" s="68"/>
      <c r="CL348" s="67">
        <v>193750</v>
      </c>
      <c r="CM348" s="68">
        <v>193750</v>
      </c>
      <c r="CN348" s="68">
        <v>193750</v>
      </c>
      <c r="CO348" s="68">
        <v>193750</v>
      </c>
      <c r="CP348" s="68">
        <v>193750</v>
      </c>
      <c r="CQ348" s="68">
        <v>193750</v>
      </c>
      <c r="CR348" s="68">
        <v>193750</v>
      </c>
      <c r="CS348" s="68">
        <v>193750</v>
      </c>
      <c r="CT348" s="68">
        <v>193750</v>
      </c>
      <c r="CU348" s="68">
        <v>193750</v>
      </c>
      <c r="CV348" s="68">
        <v>193750</v>
      </c>
      <c r="CW348" s="69">
        <v>193750</v>
      </c>
      <c r="CX348" s="107">
        <v>193750</v>
      </c>
      <c r="CY348" s="108">
        <v>193750</v>
      </c>
      <c r="CZ348" s="108">
        <v>193750</v>
      </c>
      <c r="DA348" s="108">
        <v>193750</v>
      </c>
      <c r="DB348" s="108">
        <v>193750</v>
      </c>
      <c r="DC348" s="108">
        <v>193750</v>
      </c>
      <c r="DD348" s="108">
        <v>193750</v>
      </c>
      <c r="DE348" s="108">
        <v>193750</v>
      </c>
      <c r="DF348" s="108">
        <v>193750</v>
      </c>
      <c r="DG348" s="108">
        <v>193750</v>
      </c>
      <c r="DH348" s="108">
        <v>193750</v>
      </c>
      <c r="DI348" s="109">
        <v>193750</v>
      </c>
      <c r="DJ348" s="67">
        <v>202083.33333333299</v>
      </c>
      <c r="DK348" s="68">
        <v>202083.33333333299</v>
      </c>
      <c r="DL348" s="68">
        <v>202083.33333333299</v>
      </c>
      <c r="DM348" s="68">
        <v>202083.33333333299</v>
      </c>
      <c r="DN348" s="68">
        <v>202083.33333333299</v>
      </c>
      <c r="DO348" s="68">
        <v>202083.33333333299</v>
      </c>
      <c r="DP348" s="68">
        <v>202083.33333333299</v>
      </c>
      <c r="DQ348" s="68">
        <v>202083.33333333299</v>
      </c>
      <c r="DR348" s="68">
        <v>202083.33333333299</v>
      </c>
      <c r="DS348" s="68">
        <v>202083.33333333299</v>
      </c>
      <c r="DT348" s="68">
        <v>202083.33333333299</v>
      </c>
      <c r="DU348" s="69">
        <v>202083.33333333299</v>
      </c>
      <c r="DV348" s="83"/>
      <c r="DW348" s="83"/>
      <c r="DX348" s="83"/>
      <c r="DY348" s="83"/>
      <c r="DZ348" s="83"/>
      <c r="EA348" s="83"/>
      <c r="EB348" s="83"/>
      <c r="EC348" s="83"/>
      <c r="ED348" s="83"/>
      <c r="EE348" s="83"/>
      <c r="EF348" s="83"/>
      <c r="EG348" s="83"/>
      <c r="EH348" s="83"/>
      <c r="EI348" s="61"/>
      <c r="EJ348" s="61"/>
      <c r="EK348" s="61"/>
      <c r="EL348" s="61"/>
      <c r="EM348" s="61"/>
      <c r="EN348" s="61"/>
      <c r="EO348" s="61"/>
      <c r="EP348" s="61"/>
      <c r="EQ348" s="61"/>
      <c r="ER348" s="61"/>
      <c r="ES348" s="61"/>
      <c r="FR348" s="63"/>
      <c r="FS348" s="63"/>
      <c r="FT348" s="63"/>
      <c r="FU348" s="63"/>
      <c r="FV348" s="63"/>
      <c r="FW348" s="63"/>
      <c r="FX348" s="63"/>
      <c r="FY348" s="63"/>
      <c r="FZ348" s="63"/>
      <c r="GA348" s="63"/>
      <c r="GB348" s="63"/>
      <c r="GC348" s="63"/>
      <c r="GE348" s="102"/>
    </row>
    <row r="349" spans="1:187" ht="30">
      <c r="D349" s="59" t="str">
        <f t="shared" si="89"/>
        <v>4253p</v>
      </c>
      <c r="E349" s="60" t="s">
        <v>442</v>
      </c>
      <c r="F349" s="67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9"/>
      <c r="R349" s="67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9"/>
      <c r="AD349" s="67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9"/>
      <c r="AP349" s="67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9"/>
      <c r="BB349" s="67"/>
      <c r="BC349" s="68"/>
      <c r="BD349" s="68"/>
      <c r="BE349" s="68"/>
      <c r="BF349" s="68"/>
      <c r="BG349" s="68"/>
      <c r="BH349" s="68"/>
      <c r="BI349" s="68"/>
      <c r="BJ349" s="68"/>
      <c r="BK349" s="68"/>
      <c r="BL349" s="68"/>
      <c r="BM349" s="69"/>
      <c r="BN349" s="67"/>
      <c r="BO349" s="68"/>
      <c r="BP349" s="68"/>
      <c r="BQ349" s="68"/>
      <c r="BR349" s="68"/>
      <c r="BS349" s="68"/>
      <c r="BT349" s="68"/>
      <c r="BU349" s="68"/>
      <c r="BV349" s="68"/>
      <c r="BW349" s="68"/>
      <c r="BX349" s="68"/>
      <c r="BY349" s="69"/>
      <c r="BZ349" s="67"/>
      <c r="CA349" s="68"/>
      <c r="CB349" s="68"/>
      <c r="CC349" s="68"/>
      <c r="CD349" s="68"/>
      <c r="CE349" s="68"/>
      <c r="CF349" s="68"/>
      <c r="CG349" s="68"/>
      <c r="CH349" s="68"/>
      <c r="CI349" s="68"/>
      <c r="CJ349" s="68"/>
      <c r="CK349" s="68"/>
      <c r="CL349" s="67">
        <v>281250</v>
      </c>
      <c r="CM349" s="68">
        <v>281250</v>
      </c>
      <c r="CN349" s="68">
        <v>281250</v>
      </c>
      <c r="CO349" s="68">
        <v>281250</v>
      </c>
      <c r="CP349" s="68">
        <v>281250</v>
      </c>
      <c r="CQ349" s="68">
        <v>281250</v>
      </c>
      <c r="CR349" s="68">
        <v>281250</v>
      </c>
      <c r="CS349" s="68">
        <v>281250</v>
      </c>
      <c r="CT349" s="68">
        <v>281250</v>
      </c>
      <c r="CU349" s="68">
        <v>281250</v>
      </c>
      <c r="CV349" s="68">
        <v>281250</v>
      </c>
      <c r="CW349" s="69">
        <v>281250</v>
      </c>
      <c r="CX349" s="107">
        <v>281250</v>
      </c>
      <c r="CY349" s="108">
        <v>281250</v>
      </c>
      <c r="CZ349" s="108">
        <v>281250</v>
      </c>
      <c r="DA349" s="108">
        <v>281250</v>
      </c>
      <c r="DB349" s="108">
        <v>281250</v>
      </c>
      <c r="DC349" s="108">
        <v>281250</v>
      </c>
      <c r="DD349" s="108">
        <v>281250</v>
      </c>
      <c r="DE349" s="108">
        <v>281250</v>
      </c>
      <c r="DF349" s="108">
        <v>281250</v>
      </c>
      <c r="DG349" s="108">
        <v>281250</v>
      </c>
      <c r="DH349" s="108">
        <v>281250</v>
      </c>
      <c r="DI349" s="109">
        <v>281250</v>
      </c>
      <c r="DJ349" s="67">
        <v>302083.33333333302</v>
      </c>
      <c r="DK349" s="68">
        <v>302083.33333333302</v>
      </c>
      <c r="DL349" s="68">
        <v>302083.33333333302</v>
      </c>
      <c r="DM349" s="68">
        <v>302083.33333333302</v>
      </c>
      <c r="DN349" s="68">
        <v>302083.33333333302</v>
      </c>
      <c r="DO349" s="68">
        <v>302083.33333333302</v>
      </c>
      <c r="DP349" s="68">
        <v>302083.33333333302</v>
      </c>
      <c r="DQ349" s="68">
        <v>302083.33333333302</v>
      </c>
      <c r="DR349" s="68">
        <v>302083.33333333302</v>
      </c>
      <c r="DS349" s="68">
        <v>302083.33333333302</v>
      </c>
      <c r="DT349" s="68">
        <v>302083.33333333302</v>
      </c>
      <c r="DU349" s="69">
        <v>302083.33333333302</v>
      </c>
      <c r="DV349" s="83"/>
      <c r="DW349" s="83"/>
      <c r="DX349" s="83"/>
      <c r="DY349" s="83"/>
      <c r="DZ349" s="83"/>
      <c r="EA349" s="83"/>
      <c r="EB349" s="83"/>
      <c r="EC349" s="83"/>
      <c r="ED349" s="83"/>
      <c r="EE349" s="83"/>
      <c r="EF349" s="83"/>
      <c r="EG349" s="83"/>
      <c r="EH349" s="83"/>
      <c r="EI349" s="61"/>
      <c r="EJ349" s="61"/>
      <c r="EK349" s="61"/>
      <c r="EL349" s="61"/>
      <c r="EM349" s="61"/>
      <c r="EN349" s="61"/>
      <c r="EO349" s="61"/>
      <c r="EP349" s="61"/>
      <c r="EQ349" s="61"/>
      <c r="ER349" s="61"/>
      <c r="ES349" s="61"/>
      <c r="FF349" s="63"/>
      <c r="FR349" s="63"/>
      <c r="FS349" s="63"/>
      <c r="FT349" s="63"/>
      <c r="FU349" s="63"/>
      <c r="FV349" s="63"/>
      <c r="FW349" s="63"/>
      <c r="FX349" s="63"/>
      <c r="FY349" s="63"/>
      <c r="FZ349" s="63"/>
      <c r="GA349" s="63"/>
      <c r="GB349" s="63"/>
      <c r="GC349" s="63"/>
      <c r="GE349" s="102"/>
    </row>
    <row r="350" spans="1:187" s="2" customFormat="1" ht="45">
      <c r="A350" s="71" t="s">
        <v>6</v>
      </c>
      <c r="B350" s="71">
        <v>43</v>
      </c>
      <c r="C350" s="71"/>
      <c r="D350" s="71" t="str">
        <f t="shared" si="89"/>
        <v>43p</v>
      </c>
      <c r="E350" s="72" t="s">
        <v>162</v>
      </c>
      <c r="F350" s="73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5"/>
      <c r="R350" s="73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5"/>
      <c r="AD350" s="73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5"/>
      <c r="AP350" s="73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5"/>
      <c r="BB350" s="73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5"/>
      <c r="BN350" s="73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5"/>
      <c r="BZ350" s="73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3">
        <f t="shared" ref="CL350:CX350" si="102">+CL351+CL361</f>
        <v>7656724.8525</v>
      </c>
      <c r="CM350" s="74">
        <f t="shared" si="102"/>
        <v>7656724.8525</v>
      </c>
      <c r="CN350" s="74">
        <f t="shared" si="102"/>
        <v>7656724.8525</v>
      </c>
      <c r="CO350" s="74">
        <f t="shared" si="102"/>
        <v>7656724.8525</v>
      </c>
      <c r="CP350" s="74">
        <f t="shared" si="102"/>
        <v>7656724.8525</v>
      </c>
      <c r="CQ350" s="74">
        <f t="shared" si="102"/>
        <v>7656724.8525</v>
      </c>
      <c r="CR350" s="74">
        <f t="shared" si="102"/>
        <v>7656724.8525</v>
      </c>
      <c r="CS350" s="74">
        <f t="shared" si="102"/>
        <v>7656724.8525</v>
      </c>
      <c r="CT350" s="74">
        <f t="shared" si="102"/>
        <v>7656724.8525</v>
      </c>
      <c r="CU350" s="74">
        <f t="shared" si="102"/>
        <v>7656724.8525</v>
      </c>
      <c r="CV350" s="74">
        <f t="shared" si="102"/>
        <v>7656724.8525</v>
      </c>
      <c r="CW350" s="75">
        <f t="shared" si="102"/>
        <v>7656724.8525</v>
      </c>
      <c r="CX350" s="110">
        <f t="shared" si="102"/>
        <v>8288399.6951821204</v>
      </c>
      <c r="CY350" s="111">
        <f t="shared" ref="CY350:DJ350" si="103">+CY351+CY361</f>
        <v>8288399.6951821204</v>
      </c>
      <c r="CZ350" s="111">
        <f t="shared" si="103"/>
        <v>8288399.6951821204</v>
      </c>
      <c r="DA350" s="111">
        <f t="shared" si="103"/>
        <v>8288399.6951821204</v>
      </c>
      <c r="DB350" s="111">
        <f t="shared" si="103"/>
        <v>8288399.6951821204</v>
      </c>
      <c r="DC350" s="111">
        <f t="shared" si="103"/>
        <v>8288399.6951821204</v>
      </c>
      <c r="DD350" s="111">
        <f t="shared" si="103"/>
        <v>8288399.6951821204</v>
      </c>
      <c r="DE350" s="111">
        <f t="shared" si="103"/>
        <v>8288399.6951821204</v>
      </c>
      <c r="DF350" s="111">
        <f t="shared" si="103"/>
        <v>8288399.6951821204</v>
      </c>
      <c r="DG350" s="111">
        <f t="shared" si="103"/>
        <v>8288399.6951821204</v>
      </c>
      <c r="DH350" s="111">
        <f t="shared" si="103"/>
        <v>8288399.6951821204</v>
      </c>
      <c r="DI350" s="112">
        <f t="shared" si="103"/>
        <v>8287650.9751821198</v>
      </c>
      <c r="DJ350" s="73">
        <f t="shared" si="103"/>
        <v>10691224.7183333</v>
      </c>
      <c r="DK350" s="74">
        <f t="shared" ref="DK350:DU350" si="104">+DK351+DK361</f>
        <v>10691224.7183333</v>
      </c>
      <c r="DL350" s="74">
        <f t="shared" si="104"/>
        <v>10691224.7183333</v>
      </c>
      <c r="DM350" s="74">
        <f t="shared" si="104"/>
        <v>10691224.7183333</v>
      </c>
      <c r="DN350" s="74">
        <f t="shared" si="104"/>
        <v>10691224.7183333</v>
      </c>
      <c r="DO350" s="74">
        <f t="shared" si="104"/>
        <v>10691224.7183333</v>
      </c>
      <c r="DP350" s="74">
        <f t="shared" si="104"/>
        <v>10691224.7183333</v>
      </c>
      <c r="DQ350" s="74">
        <f t="shared" si="104"/>
        <v>10691224.7183333</v>
      </c>
      <c r="DR350" s="74">
        <f t="shared" si="104"/>
        <v>10691224.7183333</v>
      </c>
      <c r="DS350" s="74">
        <f t="shared" si="104"/>
        <v>10691224.7183333</v>
      </c>
      <c r="DT350" s="74">
        <f t="shared" si="104"/>
        <v>10691224.7183333</v>
      </c>
      <c r="DU350" s="75">
        <f t="shared" si="104"/>
        <v>10691224.7183333</v>
      </c>
      <c r="DV350" s="74">
        <v>12196628.3375</v>
      </c>
      <c r="DW350" s="74">
        <v>12196628.3375</v>
      </c>
      <c r="DX350" s="74">
        <v>12196628.3375</v>
      </c>
      <c r="DY350" s="74">
        <v>12196628.3375</v>
      </c>
      <c r="DZ350" s="74">
        <v>12196628.3375</v>
      </c>
      <c r="EA350" s="74">
        <v>12196628.3375</v>
      </c>
      <c r="EB350" s="74">
        <v>12196628.3375</v>
      </c>
      <c r="EC350" s="74">
        <v>12196628.3375</v>
      </c>
      <c r="ED350" s="74">
        <v>12196628.3375</v>
      </c>
      <c r="EE350" s="74">
        <v>12196628.3375</v>
      </c>
      <c r="EF350" s="74">
        <v>12196628.3375</v>
      </c>
      <c r="EG350" s="74">
        <v>12196628.3375</v>
      </c>
      <c r="EH350" s="74">
        <v>13641275.6916667</v>
      </c>
      <c r="EI350" s="74">
        <v>13641275.6916667</v>
      </c>
      <c r="EJ350" s="74">
        <v>13641275.6916667</v>
      </c>
      <c r="EK350" s="74">
        <v>13641275.6916667</v>
      </c>
      <c r="EL350" s="74">
        <v>13641275.6916667</v>
      </c>
      <c r="EM350" s="74">
        <v>13641275.6916667</v>
      </c>
      <c r="EN350" s="74">
        <v>13641275.6916667</v>
      </c>
      <c r="EO350" s="74">
        <v>13641275.6916667</v>
      </c>
      <c r="EP350" s="74">
        <v>13641275.6916667</v>
      </c>
      <c r="EQ350" s="74">
        <v>13641275.6916667</v>
      </c>
      <c r="ER350" s="74">
        <v>13641275.6916667</v>
      </c>
      <c r="ES350" s="74">
        <v>13641275.6916667</v>
      </c>
      <c r="ET350" s="106">
        <v>15295211.5583333</v>
      </c>
      <c r="EU350" s="106">
        <v>15295211.5583333</v>
      </c>
      <c r="EV350" s="106">
        <v>15295211.5583333</v>
      </c>
      <c r="EW350" s="106">
        <v>18161878.225000001</v>
      </c>
      <c r="EX350" s="106">
        <v>18161878.225000001</v>
      </c>
      <c r="EY350" s="106">
        <v>18161878.225000001</v>
      </c>
      <c r="EZ350" s="106">
        <v>15295211.5583333</v>
      </c>
      <c r="FA350" s="106">
        <v>15295211.5583333</v>
      </c>
      <c r="FB350" s="106">
        <v>18930636.555833299</v>
      </c>
      <c r="FC350" s="106">
        <v>18930636.555833299</v>
      </c>
      <c r="FD350" s="106">
        <v>18930636.555833299</v>
      </c>
      <c r="FE350" s="106">
        <v>18930636.555833299</v>
      </c>
      <c r="FF350" s="106">
        <v>20338750.958333299</v>
      </c>
      <c r="FG350" s="106">
        <v>22018439.158333302</v>
      </c>
      <c r="FH350" s="106">
        <v>17975691.918333299</v>
      </c>
      <c r="FI350" s="106">
        <v>15972358.598333299</v>
      </c>
      <c r="FJ350" s="106">
        <v>15993608.598333299</v>
      </c>
      <c r="FK350" s="106">
        <v>16020602.668333299</v>
      </c>
      <c r="FL350" s="106">
        <v>22848909.594999999</v>
      </c>
      <c r="FM350" s="106">
        <v>17972208.524999999</v>
      </c>
      <c r="FN350" s="106">
        <v>17992208.524999999</v>
      </c>
      <c r="FO350" s="106">
        <v>17923875.184999999</v>
      </c>
      <c r="FP350" s="106">
        <v>17866375.204999998</v>
      </c>
      <c r="FQ350" s="106">
        <v>18024758.024999999</v>
      </c>
      <c r="FR350" s="106">
        <v>23631566.68</v>
      </c>
      <c r="FS350" s="106">
        <v>23914749.120000001</v>
      </c>
      <c r="FT350" s="106">
        <v>31910693.890000001</v>
      </c>
      <c r="FU350" s="106">
        <v>17331295.199999999</v>
      </c>
      <c r="FV350" s="106">
        <v>15552980.33</v>
      </c>
      <c r="FW350" s="106">
        <v>23483872.512857199</v>
      </c>
      <c r="FX350" s="106">
        <v>19317205.846190501</v>
      </c>
      <c r="FY350" s="106">
        <v>19317205.846190501</v>
      </c>
      <c r="FZ350" s="106">
        <v>19317205.846190501</v>
      </c>
      <c r="GA350" s="106">
        <v>44317205.846190497</v>
      </c>
      <c r="GB350" s="106">
        <v>19317205.846190501</v>
      </c>
      <c r="GC350" s="106">
        <v>19317205.846190501</v>
      </c>
      <c r="GE350" s="101">
        <f>SUM(FR350:GC350)</f>
        <v>276728392.81</v>
      </c>
    </row>
    <row r="351" spans="1:187" s="2" customFormat="1" ht="45">
      <c r="A351" s="71" t="s">
        <v>6</v>
      </c>
      <c r="B351" s="71" t="s">
        <v>6</v>
      </c>
      <c r="C351" s="71">
        <v>431</v>
      </c>
      <c r="D351" s="71" t="str">
        <f t="shared" si="89"/>
        <v>431p</v>
      </c>
      <c r="E351" s="72" t="s">
        <v>162</v>
      </c>
      <c r="F351" s="73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5"/>
      <c r="R351" s="73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5"/>
      <c r="AD351" s="73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5"/>
      <c r="AP351" s="73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5"/>
      <c r="BB351" s="73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5"/>
      <c r="BN351" s="73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5"/>
      <c r="BZ351" s="73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3">
        <f t="shared" ref="CL351:CX351" si="105">+SUM(CL352:CL360)</f>
        <v>7635891.5191666698</v>
      </c>
      <c r="CM351" s="74">
        <f t="shared" si="105"/>
        <v>7635891.5191666698</v>
      </c>
      <c r="CN351" s="74">
        <f t="shared" si="105"/>
        <v>7635891.5191666698</v>
      </c>
      <c r="CO351" s="74">
        <f t="shared" si="105"/>
        <v>7635891.5191666698</v>
      </c>
      <c r="CP351" s="74">
        <f t="shared" si="105"/>
        <v>7635891.5191666698</v>
      </c>
      <c r="CQ351" s="74">
        <f t="shared" si="105"/>
        <v>7635891.5191666698</v>
      </c>
      <c r="CR351" s="74">
        <f t="shared" si="105"/>
        <v>7635891.5191666698</v>
      </c>
      <c r="CS351" s="74">
        <f t="shared" si="105"/>
        <v>7635891.5191666698</v>
      </c>
      <c r="CT351" s="74">
        <f t="shared" si="105"/>
        <v>7635891.5191666698</v>
      </c>
      <c r="CU351" s="74">
        <f t="shared" si="105"/>
        <v>7635891.5191666698</v>
      </c>
      <c r="CV351" s="74">
        <f t="shared" si="105"/>
        <v>7635891.5191666698</v>
      </c>
      <c r="CW351" s="75">
        <f t="shared" si="105"/>
        <v>7635891.5191666698</v>
      </c>
      <c r="CX351" s="110">
        <f t="shared" si="105"/>
        <v>8102373.0414896104</v>
      </c>
      <c r="CY351" s="111">
        <f t="shared" ref="CY351:DJ351" si="106">+SUM(CY352:CY360)</f>
        <v>8102373.0414896104</v>
      </c>
      <c r="CZ351" s="111">
        <f t="shared" si="106"/>
        <v>8102373.0414896104</v>
      </c>
      <c r="DA351" s="111">
        <f t="shared" si="106"/>
        <v>8102373.0414896104</v>
      </c>
      <c r="DB351" s="111">
        <f t="shared" si="106"/>
        <v>8102373.0414896104</v>
      </c>
      <c r="DC351" s="111">
        <f t="shared" si="106"/>
        <v>8102373.0414896104</v>
      </c>
      <c r="DD351" s="111">
        <f t="shared" si="106"/>
        <v>8102373.0414896104</v>
      </c>
      <c r="DE351" s="111">
        <f t="shared" si="106"/>
        <v>8102373.0414896104</v>
      </c>
      <c r="DF351" s="111">
        <f t="shared" si="106"/>
        <v>8102373.0414896104</v>
      </c>
      <c r="DG351" s="111">
        <f t="shared" si="106"/>
        <v>8102373.0414896104</v>
      </c>
      <c r="DH351" s="111">
        <f t="shared" si="106"/>
        <v>8102373.0414896104</v>
      </c>
      <c r="DI351" s="112">
        <f t="shared" si="106"/>
        <v>8101624.3214896098</v>
      </c>
      <c r="DJ351" s="73">
        <f t="shared" si="106"/>
        <v>10655599.7183333</v>
      </c>
      <c r="DK351" s="74">
        <f t="shared" ref="DK351:DU351" si="107">+SUM(DK352:DK360)</f>
        <v>10655599.7183333</v>
      </c>
      <c r="DL351" s="74">
        <f t="shared" si="107"/>
        <v>10655599.7183333</v>
      </c>
      <c r="DM351" s="74">
        <f t="shared" si="107"/>
        <v>10655599.7183333</v>
      </c>
      <c r="DN351" s="74">
        <f t="shared" si="107"/>
        <v>10655599.7183333</v>
      </c>
      <c r="DO351" s="74">
        <f t="shared" si="107"/>
        <v>10655599.7183333</v>
      </c>
      <c r="DP351" s="74">
        <f t="shared" si="107"/>
        <v>10655599.7183333</v>
      </c>
      <c r="DQ351" s="74">
        <f t="shared" si="107"/>
        <v>10655599.7183333</v>
      </c>
      <c r="DR351" s="74">
        <f t="shared" si="107"/>
        <v>10655599.7183333</v>
      </c>
      <c r="DS351" s="74">
        <f t="shared" si="107"/>
        <v>10655599.7183333</v>
      </c>
      <c r="DT351" s="74">
        <f t="shared" si="107"/>
        <v>10655599.7183333</v>
      </c>
      <c r="DU351" s="75">
        <f t="shared" si="107"/>
        <v>10655599.7183333</v>
      </c>
      <c r="DV351" s="74">
        <v>12101836.670833301</v>
      </c>
      <c r="DW351" s="74">
        <v>12101836.670833301</v>
      </c>
      <c r="DX351" s="74">
        <v>12101836.670833301</v>
      </c>
      <c r="DY351" s="74">
        <v>12101836.670833301</v>
      </c>
      <c r="DZ351" s="74">
        <v>12101836.670833301</v>
      </c>
      <c r="EA351" s="74">
        <v>12101836.670833301</v>
      </c>
      <c r="EB351" s="74">
        <v>12101836.670833301</v>
      </c>
      <c r="EC351" s="74">
        <v>12101836.670833301</v>
      </c>
      <c r="ED351" s="74">
        <v>12101836.670833301</v>
      </c>
      <c r="EE351" s="74">
        <v>12101836.670833301</v>
      </c>
      <c r="EF351" s="74">
        <v>12101836.670833301</v>
      </c>
      <c r="EG351" s="74">
        <v>12101836.670833301</v>
      </c>
      <c r="EH351" s="97"/>
      <c r="EI351" s="76"/>
      <c r="EJ351" s="76"/>
      <c r="EK351" s="76"/>
      <c r="EL351" s="76"/>
      <c r="EM351" s="76"/>
      <c r="EN351" s="76"/>
      <c r="EO351" s="76"/>
      <c r="EP351" s="76"/>
      <c r="EQ351" s="76"/>
      <c r="ER351" s="76"/>
      <c r="ES351" s="76"/>
      <c r="ET351" s="106">
        <v>14810545.1666667</v>
      </c>
      <c r="EU351" s="106">
        <v>14810545.1666667</v>
      </c>
      <c r="EV351" s="106">
        <v>14810545.1666667</v>
      </c>
      <c r="EW351" s="106">
        <v>17677211.833333299</v>
      </c>
      <c r="EX351" s="106">
        <v>17677211.833333299</v>
      </c>
      <c r="EY351" s="106">
        <v>17677211.833333299</v>
      </c>
      <c r="EZ351" s="106">
        <v>14810545.1666667</v>
      </c>
      <c r="FA351" s="106">
        <v>14810545.1666667</v>
      </c>
      <c r="FB351" s="106">
        <v>18469212.5591667</v>
      </c>
      <c r="FC351" s="106">
        <v>18469212.5591667</v>
      </c>
      <c r="FD351" s="106">
        <v>18469212.5591667</v>
      </c>
      <c r="FE351" s="106">
        <v>18469212.5591667</v>
      </c>
      <c r="FF351" s="106">
        <v>18445155.1483333</v>
      </c>
      <c r="FG351" s="106">
        <v>20224843.348333299</v>
      </c>
      <c r="FH351" s="106">
        <v>16273762.778333301</v>
      </c>
      <c r="FI351" s="106">
        <v>14270429.4583333</v>
      </c>
      <c r="FJ351" s="106">
        <v>14291679.4583333</v>
      </c>
      <c r="FK351" s="106">
        <v>14318673.528333301</v>
      </c>
      <c r="FL351" s="106">
        <v>19138771.788333301</v>
      </c>
      <c r="FM351" s="106">
        <v>14278737.3783333</v>
      </c>
      <c r="FN351" s="106">
        <v>14298737.3783333</v>
      </c>
      <c r="FO351" s="106">
        <v>14278737.3783333</v>
      </c>
      <c r="FP351" s="106">
        <v>14298737.3883333</v>
      </c>
      <c r="FQ351" s="106">
        <v>14457120.2083333</v>
      </c>
      <c r="FR351" s="106">
        <v>0</v>
      </c>
      <c r="FS351" s="106">
        <v>0</v>
      </c>
      <c r="FT351" s="106">
        <v>0</v>
      </c>
      <c r="FU351" s="106">
        <v>0</v>
      </c>
      <c r="FV351" s="106">
        <v>0</v>
      </c>
      <c r="FW351" s="106">
        <v>0</v>
      </c>
      <c r="FX351" s="106">
        <v>0</v>
      </c>
      <c r="FY351" s="106">
        <v>0</v>
      </c>
      <c r="FZ351" s="106">
        <v>0</v>
      </c>
      <c r="GA351" s="106">
        <v>0</v>
      </c>
      <c r="GB351" s="106">
        <v>0</v>
      </c>
      <c r="GC351" s="106">
        <v>0</v>
      </c>
      <c r="GE351" s="101">
        <f>SUM(FR351:GC351)</f>
        <v>0</v>
      </c>
    </row>
    <row r="352" spans="1:187">
      <c r="D352" s="59" t="str">
        <f t="shared" si="89"/>
        <v>4311p</v>
      </c>
      <c r="E352" s="60" t="s">
        <v>443</v>
      </c>
      <c r="F352" s="67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9"/>
      <c r="R352" s="67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9"/>
      <c r="AD352" s="67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9"/>
      <c r="AP352" s="67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9"/>
      <c r="BB352" s="67"/>
      <c r="BC352" s="68"/>
      <c r="BD352" s="68"/>
      <c r="BE352" s="68"/>
      <c r="BF352" s="68"/>
      <c r="BG352" s="68"/>
      <c r="BH352" s="68"/>
      <c r="BI352" s="68"/>
      <c r="BJ352" s="68"/>
      <c r="BK352" s="68"/>
      <c r="BL352" s="68"/>
      <c r="BM352" s="69"/>
      <c r="BN352" s="67"/>
      <c r="BO352" s="68"/>
      <c r="BP352" s="68"/>
      <c r="BQ352" s="68"/>
      <c r="BR352" s="68"/>
      <c r="BS352" s="68"/>
      <c r="BT352" s="68"/>
      <c r="BU352" s="68"/>
      <c r="BV352" s="68"/>
      <c r="BW352" s="68"/>
      <c r="BX352" s="68"/>
      <c r="BY352" s="69"/>
      <c r="BZ352" s="67"/>
      <c r="CA352" s="68"/>
      <c r="CB352" s="68"/>
      <c r="CC352" s="68"/>
      <c r="CD352" s="68"/>
      <c r="CE352" s="68"/>
      <c r="CF352" s="68"/>
      <c r="CG352" s="68"/>
      <c r="CH352" s="68"/>
      <c r="CI352" s="68"/>
      <c r="CJ352" s="68"/>
      <c r="CK352" s="68"/>
      <c r="CL352" s="67">
        <v>5053750</v>
      </c>
      <c r="CM352" s="68">
        <v>5053750</v>
      </c>
      <c r="CN352" s="68">
        <v>5053750</v>
      </c>
      <c r="CO352" s="68">
        <v>5053750</v>
      </c>
      <c r="CP352" s="68">
        <v>5053750</v>
      </c>
      <c r="CQ352" s="68">
        <v>5053750</v>
      </c>
      <c r="CR352" s="68">
        <v>5053750</v>
      </c>
      <c r="CS352" s="68">
        <v>5053750</v>
      </c>
      <c r="CT352" s="68">
        <v>5053750</v>
      </c>
      <c r="CU352" s="68">
        <v>5053750</v>
      </c>
      <c r="CV352" s="68">
        <v>5053750</v>
      </c>
      <c r="CW352" s="69">
        <v>5053750</v>
      </c>
      <c r="CX352" s="107">
        <v>5084273.0662195403</v>
      </c>
      <c r="CY352" s="108">
        <v>5084273.0662195403</v>
      </c>
      <c r="CZ352" s="108">
        <v>5084273.0662195403</v>
      </c>
      <c r="DA352" s="108">
        <v>5084273.0662195403</v>
      </c>
      <c r="DB352" s="108">
        <v>5084273.0662195403</v>
      </c>
      <c r="DC352" s="108">
        <v>5084273.0662195403</v>
      </c>
      <c r="DD352" s="108">
        <v>5084273.0662195403</v>
      </c>
      <c r="DE352" s="108">
        <v>5084273.0662195403</v>
      </c>
      <c r="DF352" s="108">
        <v>5084273.0662195403</v>
      </c>
      <c r="DG352" s="108">
        <v>5084273.0662195403</v>
      </c>
      <c r="DH352" s="108">
        <v>5084273.0662195403</v>
      </c>
      <c r="DI352" s="109">
        <v>5083524.3462195396</v>
      </c>
      <c r="DJ352" s="67">
        <v>5223333.3333333302</v>
      </c>
      <c r="DK352" s="68">
        <v>5223333.3333333302</v>
      </c>
      <c r="DL352" s="68">
        <v>5223333.3333333302</v>
      </c>
      <c r="DM352" s="68">
        <v>5223333.3333333302</v>
      </c>
      <c r="DN352" s="68">
        <v>5223333.3333333302</v>
      </c>
      <c r="DO352" s="68">
        <v>5223333.3333333302</v>
      </c>
      <c r="DP352" s="68">
        <v>5223333.3333333302</v>
      </c>
      <c r="DQ352" s="68">
        <v>5223333.3333333302</v>
      </c>
      <c r="DR352" s="68">
        <v>5223333.3333333302</v>
      </c>
      <c r="DS352" s="68">
        <v>5223333.3333333302</v>
      </c>
      <c r="DT352" s="68">
        <v>5223333.3333333302</v>
      </c>
      <c r="DU352" s="69">
        <v>5223333.3333333302</v>
      </c>
      <c r="DV352" s="83"/>
      <c r="DW352" s="83"/>
      <c r="DX352" s="83"/>
      <c r="DY352" s="83"/>
      <c r="DZ352" s="83"/>
      <c r="EA352" s="83"/>
      <c r="EB352" s="83"/>
      <c r="EC352" s="83"/>
      <c r="ED352" s="83"/>
      <c r="EE352" s="83"/>
      <c r="EF352" s="83"/>
      <c r="EG352" s="83"/>
      <c r="EH352" s="83"/>
      <c r="EI352" s="61"/>
      <c r="EJ352" s="61"/>
      <c r="EK352" s="61"/>
      <c r="EL352" s="61"/>
      <c r="EM352" s="61"/>
      <c r="EN352" s="61"/>
      <c r="EO352" s="61"/>
      <c r="EP352" s="61"/>
      <c r="EQ352" s="61"/>
      <c r="ER352" s="61"/>
      <c r="ES352" s="61"/>
      <c r="FR352" s="63"/>
      <c r="FS352" s="63"/>
      <c r="FT352" s="63"/>
      <c r="FU352" s="63"/>
      <c r="FV352" s="63"/>
      <c r="FW352" s="63"/>
      <c r="FX352" s="63"/>
      <c r="FY352" s="63"/>
      <c r="FZ352" s="63"/>
      <c r="GA352" s="63"/>
      <c r="GB352" s="63"/>
      <c r="GC352" s="63"/>
      <c r="GE352" s="102"/>
    </row>
    <row r="353" spans="1:187">
      <c r="D353" s="59" t="str">
        <f t="shared" si="89"/>
        <v>4312p</v>
      </c>
      <c r="E353" s="60" t="s">
        <v>444</v>
      </c>
      <c r="F353" s="67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9"/>
      <c r="R353" s="67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9"/>
      <c r="AD353" s="67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9"/>
      <c r="AP353" s="67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9"/>
      <c r="BB353" s="67"/>
      <c r="BC353" s="68"/>
      <c r="BD353" s="68"/>
      <c r="BE353" s="68"/>
      <c r="BF353" s="68"/>
      <c r="BG353" s="68"/>
      <c r="BH353" s="68"/>
      <c r="BI353" s="68"/>
      <c r="BJ353" s="68"/>
      <c r="BK353" s="68"/>
      <c r="BL353" s="68"/>
      <c r="BM353" s="69"/>
      <c r="BN353" s="67"/>
      <c r="BO353" s="68"/>
      <c r="BP353" s="68"/>
      <c r="BQ353" s="68"/>
      <c r="BR353" s="68"/>
      <c r="BS353" s="68"/>
      <c r="BT353" s="68"/>
      <c r="BU353" s="68"/>
      <c r="BV353" s="68"/>
      <c r="BW353" s="68"/>
      <c r="BX353" s="68"/>
      <c r="BY353" s="69"/>
      <c r="BZ353" s="67"/>
      <c r="CA353" s="68"/>
      <c r="CB353" s="68"/>
      <c r="CC353" s="68"/>
      <c r="CD353" s="68"/>
      <c r="CE353" s="68"/>
      <c r="CF353" s="68"/>
      <c r="CG353" s="68"/>
      <c r="CH353" s="68"/>
      <c r="CI353" s="68"/>
      <c r="CJ353" s="68"/>
      <c r="CK353" s="68"/>
      <c r="CL353" s="67">
        <v>112916.66666666701</v>
      </c>
      <c r="CM353" s="68">
        <v>112916.66666666701</v>
      </c>
      <c r="CN353" s="68">
        <v>112916.66666666701</v>
      </c>
      <c r="CO353" s="68">
        <v>112916.66666666701</v>
      </c>
      <c r="CP353" s="68">
        <v>112916.66666666701</v>
      </c>
      <c r="CQ353" s="68">
        <v>112916.66666666701</v>
      </c>
      <c r="CR353" s="68">
        <v>112916.66666666701</v>
      </c>
      <c r="CS353" s="68">
        <v>112916.66666666701</v>
      </c>
      <c r="CT353" s="68">
        <v>112916.66666666701</v>
      </c>
      <c r="CU353" s="68">
        <v>112916.66666666701</v>
      </c>
      <c r="CV353" s="68">
        <v>112916.66666666701</v>
      </c>
      <c r="CW353" s="69">
        <v>112916.66666666701</v>
      </c>
      <c r="CX353" s="107">
        <v>379802.90894799097</v>
      </c>
      <c r="CY353" s="108">
        <v>379802.90894799097</v>
      </c>
      <c r="CZ353" s="108">
        <v>379802.90894799097</v>
      </c>
      <c r="DA353" s="108">
        <v>379802.90894799097</v>
      </c>
      <c r="DB353" s="108">
        <v>379802.90894799097</v>
      </c>
      <c r="DC353" s="108">
        <v>379802.90894799097</v>
      </c>
      <c r="DD353" s="108">
        <v>379802.90894799097</v>
      </c>
      <c r="DE353" s="108">
        <v>379802.90894799097</v>
      </c>
      <c r="DF353" s="108">
        <v>379802.90894799097</v>
      </c>
      <c r="DG353" s="108">
        <v>379802.90894799097</v>
      </c>
      <c r="DH353" s="108">
        <v>379802.90894799097</v>
      </c>
      <c r="DI353" s="109">
        <v>379802.90894799097</v>
      </c>
      <c r="DJ353" s="67">
        <v>1586343.5</v>
      </c>
      <c r="DK353" s="68">
        <v>1586343.5</v>
      </c>
      <c r="DL353" s="68">
        <v>1586343.5</v>
      </c>
      <c r="DM353" s="68">
        <v>1586343.5</v>
      </c>
      <c r="DN353" s="68">
        <v>1586343.5</v>
      </c>
      <c r="DO353" s="68">
        <v>1586343.5</v>
      </c>
      <c r="DP353" s="68">
        <v>1586343.5</v>
      </c>
      <c r="DQ353" s="68">
        <v>1586343.5</v>
      </c>
      <c r="DR353" s="68">
        <v>1586343.5</v>
      </c>
      <c r="DS353" s="68">
        <v>1586343.5</v>
      </c>
      <c r="DT353" s="68">
        <v>1586343.5</v>
      </c>
      <c r="DU353" s="69">
        <v>1586343.5</v>
      </c>
      <c r="DV353" s="83"/>
      <c r="DW353" s="83"/>
      <c r="DX353" s="83"/>
      <c r="DY353" s="83"/>
      <c r="DZ353" s="83"/>
      <c r="EA353" s="83"/>
      <c r="EB353" s="83"/>
      <c r="EC353" s="83"/>
      <c r="ED353" s="83"/>
      <c r="EE353" s="83"/>
      <c r="EF353" s="83"/>
      <c r="EG353" s="83"/>
      <c r="EH353" s="83"/>
      <c r="EI353" s="61"/>
      <c r="EJ353" s="61"/>
      <c r="EK353" s="61"/>
      <c r="EL353" s="61"/>
      <c r="EM353" s="61"/>
      <c r="EN353" s="61"/>
      <c r="EO353" s="61"/>
      <c r="EP353" s="61"/>
      <c r="EQ353" s="61"/>
      <c r="ER353" s="61"/>
      <c r="ES353" s="61"/>
      <c r="FR353" s="63"/>
      <c r="FS353" s="63"/>
      <c r="FT353" s="63"/>
      <c r="FU353" s="63"/>
      <c r="FV353" s="63"/>
      <c r="FW353" s="63"/>
      <c r="FX353" s="63"/>
      <c r="FY353" s="63"/>
      <c r="FZ353" s="63"/>
      <c r="GA353" s="63"/>
      <c r="GB353" s="63"/>
      <c r="GC353" s="63"/>
      <c r="GE353" s="102"/>
    </row>
    <row r="354" spans="1:187" ht="30">
      <c r="D354" s="59" t="str">
        <f t="shared" si="89"/>
        <v>4313p</v>
      </c>
      <c r="E354" s="60" t="s">
        <v>445</v>
      </c>
      <c r="F354" s="67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9"/>
      <c r="R354" s="67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9"/>
      <c r="AD354" s="67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9"/>
      <c r="AP354" s="67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9"/>
      <c r="BB354" s="67"/>
      <c r="BC354" s="68"/>
      <c r="BD354" s="68"/>
      <c r="BE354" s="68"/>
      <c r="BF354" s="68"/>
      <c r="BG354" s="68"/>
      <c r="BH354" s="68"/>
      <c r="BI354" s="68"/>
      <c r="BJ354" s="68"/>
      <c r="BK354" s="68"/>
      <c r="BL354" s="68"/>
      <c r="BM354" s="69"/>
      <c r="BN354" s="67"/>
      <c r="BO354" s="68"/>
      <c r="BP354" s="68"/>
      <c r="BQ354" s="68"/>
      <c r="BR354" s="68"/>
      <c r="BS354" s="68"/>
      <c r="BT354" s="68"/>
      <c r="BU354" s="68"/>
      <c r="BV354" s="68"/>
      <c r="BW354" s="68"/>
      <c r="BX354" s="68"/>
      <c r="BY354" s="69"/>
      <c r="BZ354" s="67"/>
      <c r="CA354" s="68"/>
      <c r="CB354" s="68"/>
      <c r="CC354" s="68"/>
      <c r="CD354" s="68"/>
      <c r="CE354" s="68"/>
      <c r="CF354" s="68"/>
      <c r="CG354" s="68"/>
      <c r="CH354" s="68"/>
      <c r="CI354" s="68"/>
      <c r="CJ354" s="68"/>
      <c r="CK354" s="68"/>
      <c r="CL354" s="67">
        <v>270250</v>
      </c>
      <c r="CM354" s="68">
        <v>270250</v>
      </c>
      <c r="CN354" s="68">
        <v>270250</v>
      </c>
      <c r="CO354" s="68">
        <v>270250</v>
      </c>
      <c r="CP354" s="68">
        <v>270250</v>
      </c>
      <c r="CQ354" s="68">
        <v>270250</v>
      </c>
      <c r="CR354" s="68">
        <v>270250</v>
      </c>
      <c r="CS354" s="68">
        <v>270250</v>
      </c>
      <c r="CT354" s="68">
        <v>270250</v>
      </c>
      <c r="CU354" s="68">
        <v>270250</v>
      </c>
      <c r="CV354" s="68">
        <v>270250</v>
      </c>
      <c r="CW354" s="69">
        <v>270250</v>
      </c>
      <c r="CX354" s="107">
        <v>271612.39996062499</v>
      </c>
      <c r="CY354" s="108">
        <v>271612.39996062499</v>
      </c>
      <c r="CZ354" s="108">
        <v>271612.39996062499</v>
      </c>
      <c r="DA354" s="108">
        <v>271612.39996062499</v>
      </c>
      <c r="DB354" s="108">
        <v>271612.39996062499</v>
      </c>
      <c r="DC354" s="108">
        <v>271612.39996062499</v>
      </c>
      <c r="DD354" s="108">
        <v>271612.39996062499</v>
      </c>
      <c r="DE354" s="108">
        <v>271612.39996062499</v>
      </c>
      <c r="DF354" s="108">
        <v>271612.39996062499</v>
      </c>
      <c r="DG354" s="108">
        <v>271612.39996062499</v>
      </c>
      <c r="DH354" s="108">
        <v>271612.39996062499</v>
      </c>
      <c r="DI354" s="109">
        <v>271612.39996062499</v>
      </c>
      <c r="DJ354" s="67">
        <v>282833.33333333302</v>
      </c>
      <c r="DK354" s="68">
        <v>282833.33333333302</v>
      </c>
      <c r="DL354" s="68">
        <v>282833.33333333302</v>
      </c>
      <c r="DM354" s="68">
        <v>282833.33333333302</v>
      </c>
      <c r="DN354" s="68">
        <v>282833.33333333302</v>
      </c>
      <c r="DO354" s="68">
        <v>282833.33333333302</v>
      </c>
      <c r="DP354" s="68">
        <v>282833.33333333302</v>
      </c>
      <c r="DQ354" s="68">
        <v>282833.33333333302</v>
      </c>
      <c r="DR354" s="68">
        <v>282833.33333333302</v>
      </c>
      <c r="DS354" s="68">
        <v>282833.33333333302</v>
      </c>
      <c r="DT354" s="68">
        <v>282833.33333333302</v>
      </c>
      <c r="DU354" s="69">
        <v>282833.33333333302</v>
      </c>
      <c r="DV354" s="83"/>
      <c r="DW354" s="83"/>
      <c r="DX354" s="83"/>
      <c r="DY354" s="83"/>
      <c r="DZ354" s="83"/>
      <c r="EA354" s="83"/>
      <c r="EB354" s="83"/>
      <c r="EC354" s="83"/>
      <c r="ED354" s="83"/>
      <c r="EE354" s="83"/>
      <c r="EF354" s="83"/>
      <c r="EG354" s="83"/>
      <c r="EH354" s="83"/>
      <c r="EI354" s="61"/>
      <c r="EJ354" s="61"/>
      <c r="EK354" s="61"/>
      <c r="EL354" s="61"/>
      <c r="EM354" s="61"/>
      <c r="EN354" s="61"/>
      <c r="EO354" s="61"/>
      <c r="EP354" s="61"/>
      <c r="EQ354" s="61"/>
      <c r="ER354" s="61"/>
      <c r="ES354" s="61"/>
      <c r="FR354" s="63"/>
      <c r="FS354" s="63"/>
      <c r="FT354" s="63"/>
      <c r="FU354" s="63"/>
      <c r="FV354" s="63"/>
      <c r="FW354" s="63"/>
      <c r="FX354" s="63"/>
      <c r="FY354" s="63"/>
      <c r="FZ354" s="63"/>
      <c r="GA354" s="63"/>
      <c r="GB354" s="63"/>
      <c r="GC354" s="63"/>
      <c r="GE354" s="102"/>
    </row>
    <row r="355" spans="1:187" ht="30">
      <c r="D355" s="59" t="str">
        <f t="shared" si="89"/>
        <v>4314p</v>
      </c>
      <c r="E355" s="60" t="s">
        <v>446</v>
      </c>
      <c r="F355" s="67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9"/>
      <c r="R355" s="67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9"/>
      <c r="AD355" s="67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9"/>
      <c r="AP355" s="67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9"/>
      <c r="BB355" s="67"/>
      <c r="BC355" s="68"/>
      <c r="BD355" s="68"/>
      <c r="BE355" s="68"/>
      <c r="BF355" s="68"/>
      <c r="BG355" s="68"/>
      <c r="BH355" s="68"/>
      <c r="BI355" s="68"/>
      <c r="BJ355" s="68"/>
      <c r="BK355" s="68"/>
      <c r="BL355" s="68"/>
      <c r="BM355" s="69"/>
      <c r="BN355" s="67"/>
      <c r="BO355" s="68"/>
      <c r="BP355" s="68"/>
      <c r="BQ355" s="68"/>
      <c r="BR355" s="68"/>
      <c r="BS355" s="68"/>
      <c r="BT355" s="68"/>
      <c r="BU355" s="68"/>
      <c r="BV355" s="68"/>
      <c r="BW355" s="68"/>
      <c r="BX355" s="68"/>
      <c r="BY355" s="69"/>
      <c r="BZ355" s="67"/>
      <c r="CA355" s="68"/>
      <c r="CB355" s="68"/>
      <c r="CC355" s="68"/>
      <c r="CD355" s="68"/>
      <c r="CE355" s="68"/>
      <c r="CF355" s="68"/>
      <c r="CG355" s="68"/>
      <c r="CH355" s="68"/>
      <c r="CI355" s="68"/>
      <c r="CJ355" s="68"/>
      <c r="CK355" s="68"/>
      <c r="CL355" s="67">
        <v>211218.84833333301</v>
      </c>
      <c r="CM355" s="68">
        <v>211218.84833333301</v>
      </c>
      <c r="CN355" s="68">
        <v>211218.84833333301</v>
      </c>
      <c r="CO355" s="68">
        <v>211218.84833333301</v>
      </c>
      <c r="CP355" s="68">
        <v>211218.84833333301</v>
      </c>
      <c r="CQ355" s="68">
        <v>211218.84833333301</v>
      </c>
      <c r="CR355" s="68">
        <v>211218.84833333301</v>
      </c>
      <c r="CS355" s="68">
        <v>211218.84833333301</v>
      </c>
      <c r="CT355" s="68">
        <v>211218.84833333301</v>
      </c>
      <c r="CU355" s="68">
        <v>211218.84833333301</v>
      </c>
      <c r="CV355" s="68">
        <v>211218.84833333301</v>
      </c>
      <c r="CW355" s="69">
        <v>211218.84833333301</v>
      </c>
      <c r="CX355" s="107">
        <v>202904.162100166</v>
      </c>
      <c r="CY355" s="108">
        <v>202904.162100166</v>
      </c>
      <c r="CZ355" s="108">
        <v>202904.162100166</v>
      </c>
      <c r="DA355" s="108">
        <v>202904.162100166</v>
      </c>
      <c r="DB355" s="108">
        <v>202904.162100166</v>
      </c>
      <c r="DC355" s="108">
        <v>202904.162100166</v>
      </c>
      <c r="DD355" s="108">
        <v>202904.162100166</v>
      </c>
      <c r="DE355" s="108">
        <v>202904.162100166</v>
      </c>
      <c r="DF355" s="108">
        <v>202904.162100166</v>
      </c>
      <c r="DG355" s="108">
        <v>202904.162100166</v>
      </c>
      <c r="DH355" s="108">
        <v>202904.162100166</v>
      </c>
      <c r="DI355" s="109">
        <v>202904.162100166</v>
      </c>
      <c r="DJ355" s="67">
        <v>254355.3775</v>
      </c>
      <c r="DK355" s="68">
        <v>254355.3775</v>
      </c>
      <c r="DL355" s="68">
        <v>254355.3775</v>
      </c>
      <c r="DM355" s="68">
        <v>254355.3775</v>
      </c>
      <c r="DN355" s="68">
        <v>254355.3775</v>
      </c>
      <c r="DO355" s="68">
        <v>254355.3775</v>
      </c>
      <c r="DP355" s="68">
        <v>254355.3775</v>
      </c>
      <c r="DQ355" s="68">
        <v>254355.3775</v>
      </c>
      <c r="DR355" s="68">
        <v>254355.3775</v>
      </c>
      <c r="DS355" s="68">
        <v>254355.3775</v>
      </c>
      <c r="DT355" s="68">
        <v>254355.3775</v>
      </c>
      <c r="DU355" s="69">
        <v>254355.3775</v>
      </c>
      <c r="DV355" s="83"/>
      <c r="DW355" s="83"/>
      <c r="DX355" s="83"/>
      <c r="DY355" s="83"/>
      <c r="DZ355" s="83"/>
      <c r="EA355" s="83"/>
      <c r="EB355" s="83"/>
      <c r="EC355" s="83"/>
      <c r="ED355" s="83"/>
      <c r="EE355" s="83"/>
      <c r="EF355" s="83"/>
      <c r="EG355" s="83"/>
      <c r="EH355" s="83"/>
      <c r="EI355" s="61"/>
      <c r="EJ355" s="61"/>
      <c r="EK355" s="61"/>
      <c r="EL355" s="61"/>
      <c r="EM355" s="61"/>
      <c r="EN355" s="61"/>
      <c r="EO355" s="61"/>
      <c r="EP355" s="61"/>
      <c r="EQ355" s="61"/>
      <c r="ER355" s="61"/>
      <c r="ES355" s="61"/>
      <c r="FR355" s="63"/>
      <c r="FS355" s="63"/>
      <c r="FT355" s="63"/>
      <c r="FU355" s="63"/>
      <c r="FV355" s="63"/>
      <c r="FW355" s="63"/>
      <c r="FX355" s="63"/>
      <c r="FY355" s="63"/>
      <c r="FZ355" s="63"/>
      <c r="GA355" s="63"/>
      <c r="GB355" s="63"/>
      <c r="GC355" s="63"/>
      <c r="GE355" s="102"/>
    </row>
    <row r="356" spans="1:187" ht="30">
      <c r="D356" s="59" t="str">
        <f t="shared" si="89"/>
        <v>4315p</v>
      </c>
      <c r="E356" s="60" t="s">
        <v>447</v>
      </c>
      <c r="F356" s="67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9"/>
      <c r="R356" s="67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9"/>
      <c r="AD356" s="67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9"/>
      <c r="AP356" s="67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9"/>
      <c r="BB356" s="67"/>
      <c r="BC356" s="68"/>
      <c r="BD356" s="68"/>
      <c r="BE356" s="68"/>
      <c r="BF356" s="68"/>
      <c r="BG356" s="68"/>
      <c r="BH356" s="68"/>
      <c r="BI356" s="68"/>
      <c r="BJ356" s="68"/>
      <c r="BK356" s="68"/>
      <c r="BL356" s="68"/>
      <c r="BM356" s="69"/>
      <c r="BN356" s="67"/>
      <c r="BO356" s="68"/>
      <c r="BP356" s="68"/>
      <c r="BQ356" s="68"/>
      <c r="BR356" s="68"/>
      <c r="BS356" s="68"/>
      <c r="BT356" s="68"/>
      <c r="BU356" s="68"/>
      <c r="BV356" s="68"/>
      <c r="BW356" s="68"/>
      <c r="BX356" s="68"/>
      <c r="BY356" s="69"/>
      <c r="BZ356" s="67"/>
      <c r="CA356" s="68"/>
      <c r="CB356" s="68"/>
      <c r="CC356" s="68"/>
      <c r="CD356" s="68"/>
      <c r="CE356" s="68"/>
      <c r="CF356" s="68"/>
      <c r="CG356" s="68"/>
      <c r="CH356" s="68"/>
      <c r="CI356" s="68"/>
      <c r="CJ356" s="68"/>
      <c r="CK356" s="68"/>
      <c r="CL356" s="67">
        <v>291915.28166666703</v>
      </c>
      <c r="CM356" s="68">
        <v>291915.28166666703</v>
      </c>
      <c r="CN356" s="68">
        <v>291915.28166666703</v>
      </c>
      <c r="CO356" s="68">
        <v>291915.28166666703</v>
      </c>
      <c r="CP356" s="68">
        <v>291915.28166666703</v>
      </c>
      <c r="CQ356" s="68">
        <v>291915.28166666703</v>
      </c>
      <c r="CR356" s="68">
        <v>291915.28166666703</v>
      </c>
      <c r="CS356" s="68">
        <v>291915.28166666703</v>
      </c>
      <c r="CT356" s="68">
        <v>291915.28166666703</v>
      </c>
      <c r="CU356" s="68">
        <v>291915.28166666703</v>
      </c>
      <c r="CV356" s="68">
        <v>291915.28166666703</v>
      </c>
      <c r="CW356" s="69">
        <v>291915.28166666703</v>
      </c>
      <c r="CX356" s="107">
        <v>306527.95618361398</v>
      </c>
      <c r="CY356" s="108">
        <v>306527.95618361398</v>
      </c>
      <c r="CZ356" s="108">
        <v>306527.95618361398</v>
      </c>
      <c r="DA356" s="108">
        <v>306527.95618361398</v>
      </c>
      <c r="DB356" s="108">
        <v>306527.95618361398</v>
      </c>
      <c r="DC356" s="108">
        <v>306527.95618361398</v>
      </c>
      <c r="DD356" s="108">
        <v>306527.95618361398</v>
      </c>
      <c r="DE356" s="108">
        <v>306527.95618361398</v>
      </c>
      <c r="DF356" s="108">
        <v>306527.95618361398</v>
      </c>
      <c r="DG356" s="108">
        <v>306527.95618361398</v>
      </c>
      <c r="DH356" s="108">
        <v>306527.95618361398</v>
      </c>
      <c r="DI356" s="109">
        <v>306527.95618361398</v>
      </c>
      <c r="DJ356" s="67">
        <v>381658.78583333298</v>
      </c>
      <c r="DK356" s="68">
        <v>381658.78583333298</v>
      </c>
      <c r="DL356" s="68">
        <v>381658.78583333298</v>
      </c>
      <c r="DM356" s="68">
        <v>381658.78583333298</v>
      </c>
      <c r="DN356" s="68">
        <v>381658.78583333298</v>
      </c>
      <c r="DO356" s="68">
        <v>381658.78583333298</v>
      </c>
      <c r="DP356" s="68">
        <v>381658.78583333298</v>
      </c>
      <c r="DQ356" s="68">
        <v>381658.78583333298</v>
      </c>
      <c r="DR356" s="68">
        <v>381658.78583333298</v>
      </c>
      <c r="DS356" s="68">
        <v>381658.78583333298</v>
      </c>
      <c r="DT356" s="68">
        <v>381658.78583333298</v>
      </c>
      <c r="DU356" s="69">
        <v>381658.78583333298</v>
      </c>
      <c r="DV356" s="83"/>
      <c r="DW356" s="83"/>
      <c r="DX356" s="83"/>
      <c r="DY356" s="83"/>
      <c r="DZ356" s="83"/>
      <c r="EA356" s="83"/>
      <c r="EB356" s="83"/>
      <c r="EC356" s="83"/>
      <c r="ED356" s="83"/>
      <c r="EE356" s="83"/>
      <c r="EF356" s="83"/>
      <c r="EG356" s="83"/>
      <c r="EH356" s="83"/>
      <c r="EI356" s="61"/>
      <c r="EJ356" s="61"/>
      <c r="EK356" s="61"/>
      <c r="EL356" s="61"/>
      <c r="EM356" s="61"/>
      <c r="EN356" s="61"/>
      <c r="EO356" s="61"/>
      <c r="EP356" s="61"/>
      <c r="EQ356" s="61"/>
      <c r="ER356" s="61"/>
      <c r="ES356" s="61"/>
      <c r="FR356" s="63"/>
      <c r="FS356" s="63"/>
      <c r="FT356" s="63"/>
      <c r="FU356" s="63"/>
      <c r="FV356" s="63"/>
      <c r="FW356" s="63"/>
      <c r="FX356" s="63"/>
      <c r="FY356" s="63"/>
      <c r="FZ356" s="63"/>
      <c r="GA356" s="63"/>
      <c r="GB356" s="63"/>
      <c r="GC356" s="63"/>
      <c r="GE356" s="102"/>
    </row>
    <row r="357" spans="1:187" ht="30">
      <c r="D357" s="59" t="str">
        <f t="shared" si="89"/>
        <v>4316p</v>
      </c>
      <c r="E357" s="60" t="s">
        <v>448</v>
      </c>
      <c r="F357" s="67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9"/>
      <c r="R357" s="67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69"/>
      <c r="AD357" s="67"/>
      <c r="AE357" s="68"/>
      <c r="AF357" s="68"/>
      <c r="AG357" s="68"/>
      <c r="AH357" s="68"/>
      <c r="AI357" s="68"/>
      <c r="AJ357" s="68"/>
      <c r="AK357" s="68"/>
      <c r="AL357" s="68"/>
      <c r="AM357" s="68"/>
      <c r="AN357" s="68"/>
      <c r="AO357" s="69"/>
      <c r="AP357" s="67"/>
      <c r="AQ357" s="68"/>
      <c r="AR357" s="68"/>
      <c r="AS357" s="68"/>
      <c r="AT357" s="68"/>
      <c r="AU357" s="68"/>
      <c r="AV357" s="68"/>
      <c r="AW357" s="68"/>
      <c r="AX357" s="68"/>
      <c r="AY357" s="68"/>
      <c r="AZ357" s="68"/>
      <c r="BA357" s="69"/>
      <c r="BB357" s="67"/>
      <c r="BC357" s="68"/>
      <c r="BD357" s="68"/>
      <c r="BE357" s="68"/>
      <c r="BF357" s="68"/>
      <c r="BG357" s="68"/>
      <c r="BH357" s="68"/>
      <c r="BI357" s="68"/>
      <c r="BJ357" s="68"/>
      <c r="BK357" s="68"/>
      <c r="BL357" s="68"/>
      <c r="BM357" s="69"/>
      <c r="BN357" s="67"/>
      <c r="BO357" s="68"/>
      <c r="BP357" s="68"/>
      <c r="BQ357" s="68"/>
      <c r="BR357" s="68"/>
      <c r="BS357" s="68"/>
      <c r="BT357" s="68"/>
      <c r="BU357" s="68"/>
      <c r="BV357" s="68"/>
      <c r="BW357" s="68"/>
      <c r="BX357" s="68"/>
      <c r="BY357" s="69"/>
      <c r="BZ357" s="67"/>
      <c r="CA357" s="68"/>
      <c r="CB357" s="68"/>
      <c r="CC357" s="68"/>
      <c r="CD357" s="68"/>
      <c r="CE357" s="68"/>
      <c r="CF357" s="68"/>
      <c r="CG357" s="68"/>
      <c r="CH357" s="68"/>
      <c r="CI357" s="68"/>
      <c r="CJ357" s="68"/>
      <c r="CK357" s="68"/>
      <c r="CL357" s="67">
        <v>31916.666666666701</v>
      </c>
      <c r="CM357" s="68">
        <v>31916.666666666701</v>
      </c>
      <c r="CN357" s="68">
        <v>31916.666666666701</v>
      </c>
      <c r="CO357" s="68">
        <v>31916.666666666701</v>
      </c>
      <c r="CP357" s="68">
        <v>31916.666666666701</v>
      </c>
      <c r="CQ357" s="68">
        <v>31916.666666666701</v>
      </c>
      <c r="CR357" s="68">
        <v>31916.666666666701</v>
      </c>
      <c r="CS357" s="68">
        <v>31916.666666666701</v>
      </c>
      <c r="CT357" s="68">
        <v>31916.666666666701</v>
      </c>
      <c r="CU357" s="68">
        <v>31916.666666666701</v>
      </c>
      <c r="CV357" s="68">
        <v>31916.666666666701</v>
      </c>
      <c r="CW357" s="69">
        <v>31916.666666666701</v>
      </c>
      <c r="CX357" s="107">
        <v>95730.020462700995</v>
      </c>
      <c r="CY357" s="108">
        <v>95730.020462700995</v>
      </c>
      <c r="CZ357" s="108">
        <v>95730.020462700995</v>
      </c>
      <c r="DA357" s="108">
        <v>95730.020462700995</v>
      </c>
      <c r="DB357" s="108">
        <v>95730.020462700995</v>
      </c>
      <c r="DC357" s="108">
        <v>95730.020462700995</v>
      </c>
      <c r="DD357" s="108">
        <v>95730.020462700995</v>
      </c>
      <c r="DE357" s="108">
        <v>95730.020462700995</v>
      </c>
      <c r="DF357" s="108">
        <v>95730.020462700995</v>
      </c>
      <c r="DG357" s="108">
        <v>95730.020462700995</v>
      </c>
      <c r="DH357" s="108">
        <v>95730.020462700995</v>
      </c>
      <c r="DI357" s="109">
        <v>95730.020462700995</v>
      </c>
      <c r="DJ357" s="67">
        <v>91041.666666666701</v>
      </c>
      <c r="DK357" s="68">
        <v>91041.666666666701</v>
      </c>
      <c r="DL357" s="68">
        <v>91041.666666666701</v>
      </c>
      <c r="DM357" s="68">
        <v>91041.666666666701</v>
      </c>
      <c r="DN357" s="68">
        <v>91041.666666666701</v>
      </c>
      <c r="DO357" s="68">
        <v>91041.666666666701</v>
      </c>
      <c r="DP357" s="68">
        <v>91041.666666666701</v>
      </c>
      <c r="DQ357" s="68">
        <v>91041.666666666701</v>
      </c>
      <c r="DR357" s="68">
        <v>91041.666666666701</v>
      </c>
      <c r="DS357" s="68">
        <v>91041.666666666701</v>
      </c>
      <c r="DT357" s="68">
        <v>91041.666666666701</v>
      </c>
      <c r="DU357" s="69">
        <v>91041.666666666701</v>
      </c>
      <c r="DV357" s="83"/>
      <c r="DW357" s="83"/>
      <c r="DX357" s="83"/>
      <c r="DY357" s="83"/>
      <c r="DZ357" s="83"/>
      <c r="EA357" s="83"/>
      <c r="EB357" s="83"/>
      <c r="EC357" s="83"/>
      <c r="ED357" s="83"/>
      <c r="EE357" s="83"/>
      <c r="EF357" s="83"/>
      <c r="EG357" s="83"/>
      <c r="EH357" s="83"/>
      <c r="EI357" s="61"/>
      <c r="EJ357" s="61"/>
      <c r="EK357" s="61"/>
      <c r="EL357" s="61"/>
      <c r="EM357" s="61"/>
      <c r="EN357" s="61"/>
      <c r="EO357" s="61"/>
      <c r="EP357" s="61"/>
      <c r="EQ357" s="61"/>
      <c r="ER357" s="61"/>
      <c r="ES357" s="61"/>
      <c r="FR357" s="63"/>
      <c r="FS357" s="63"/>
      <c r="FT357" s="63"/>
      <c r="FU357" s="63"/>
      <c r="FV357" s="63"/>
      <c r="FW357" s="63"/>
      <c r="FX357" s="63"/>
      <c r="FY357" s="63"/>
      <c r="FZ357" s="63"/>
      <c r="GA357" s="63"/>
      <c r="GB357" s="63"/>
      <c r="GC357" s="63"/>
      <c r="GE357" s="102"/>
    </row>
    <row r="358" spans="1:187" ht="30">
      <c r="D358" s="59" t="str">
        <f t="shared" si="89"/>
        <v>4317p</v>
      </c>
      <c r="E358" s="60" t="s">
        <v>449</v>
      </c>
      <c r="F358" s="67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9"/>
      <c r="R358" s="67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9"/>
      <c r="AD358" s="67"/>
      <c r="AE358" s="68"/>
      <c r="AF358" s="68"/>
      <c r="AG358" s="68"/>
      <c r="AH358" s="68"/>
      <c r="AI358" s="68"/>
      <c r="AJ358" s="68"/>
      <c r="AK358" s="68"/>
      <c r="AL358" s="68"/>
      <c r="AM358" s="68"/>
      <c r="AN358" s="68"/>
      <c r="AO358" s="69"/>
      <c r="AP358" s="67"/>
      <c r="AQ358" s="68"/>
      <c r="AR358" s="68"/>
      <c r="AS358" s="68"/>
      <c r="AT358" s="68"/>
      <c r="AU358" s="68"/>
      <c r="AV358" s="68"/>
      <c r="AW358" s="68"/>
      <c r="AX358" s="68"/>
      <c r="AY358" s="68"/>
      <c r="AZ358" s="68"/>
      <c r="BA358" s="69"/>
      <c r="BB358" s="67"/>
      <c r="BC358" s="68"/>
      <c r="BD358" s="68"/>
      <c r="BE358" s="68"/>
      <c r="BF358" s="68"/>
      <c r="BG358" s="68"/>
      <c r="BH358" s="68"/>
      <c r="BI358" s="68"/>
      <c r="BJ358" s="68"/>
      <c r="BK358" s="68"/>
      <c r="BL358" s="68"/>
      <c r="BM358" s="69"/>
      <c r="BN358" s="67"/>
      <c r="BO358" s="68"/>
      <c r="BP358" s="68"/>
      <c r="BQ358" s="68"/>
      <c r="BR358" s="68"/>
      <c r="BS358" s="68"/>
      <c r="BT358" s="68"/>
      <c r="BU358" s="68"/>
      <c r="BV358" s="68"/>
      <c r="BW358" s="68"/>
      <c r="BX358" s="68"/>
      <c r="BY358" s="69"/>
      <c r="BZ358" s="67"/>
      <c r="CA358" s="68"/>
      <c r="CB358" s="68"/>
      <c r="CC358" s="68"/>
      <c r="CD358" s="68"/>
      <c r="CE358" s="68"/>
      <c r="CF358" s="68"/>
      <c r="CG358" s="68"/>
      <c r="CH358" s="68"/>
      <c r="CI358" s="68"/>
      <c r="CJ358" s="68"/>
      <c r="CK358" s="68"/>
      <c r="CL358" s="67">
        <v>87300</v>
      </c>
      <c r="CM358" s="68">
        <v>87300</v>
      </c>
      <c r="CN358" s="68">
        <v>87300</v>
      </c>
      <c r="CO358" s="68">
        <v>87300</v>
      </c>
      <c r="CP358" s="68">
        <v>87300</v>
      </c>
      <c r="CQ358" s="68">
        <v>87300</v>
      </c>
      <c r="CR358" s="68">
        <v>87300</v>
      </c>
      <c r="CS358" s="68">
        <v>87300</v>
      </c>
      <c r="CT358" s="68">
        <v>87300</v>
      </c>
      <c r="CU358" s="68">
        <v>87300</v>
      </c>
      <c r="CV358" s="68">
        <v>87300</v>
      </c>
      <c r="CW358" s="69">
        <v>87300</v>
      </c>
      <c r="CX358" s="107">
        <v>755012.08940762596</v>
      </c>
      <c r="CY358" s="108">
        <v>755012.08940762596</v>
      </c>
      <c r="CZ358" s="108">
        <v>755012.08940762596</v>
      </c>
      <c r="DA358" s="108">
        <v>755012.08940762596</v>
      </c>
      <c r="DB358" s="108">
        <v>755012.08940762596</v>
      </c>
      <c r="DC358" s="108">
        <v>755012.08940762596</v>
      </c>
      <c r="DD358" s="108">
        <v>755012.08940762596</v>
      </c>
      <c r="DE358" s="108">
        <v>755012.08940762596</v>
      </c>
      <c r="DF358" s="108">
        <v>755012.08940762596</v>
      </c>
      <c r="DG358" s="108">
        <v>755012.08940762596</v>
      </c>
      <c r="DH358" s="108">
        <v>755012.08940762596</v>
      </c>
      <c r="DI358" s="109">
        <v>755012.08940762596</v>
      </c>
      <c r="DJ358" s="67">
        <v>733666.66666666698</v>
      </c>
      <c r="DK358" s="68">
        <v>733666.66666666698</v>
      </c>
      <c r="DL358" s="68">
        <v>733666.66666666698</v>
      </c>
      <c r="DM358" s="68">
        <v>733666.66666666698</v>
      </c>
      <c r="DN358" s="68">
        <v>733666.66666666698</v>
      </c>
      <c r="DO358" s="68">
        <v>733666.66666666698</v>
      </c>
      <c r="DP358" s="68">
        <v>733666.66666666698</v>
      </c>
      <c r="DQ358" s="68">
        <v>733666.66666666698</v>
      </c>
      <c r="DR358" s="68">
        <v>733666.66666666698</v>
      </c>
      <c r="DS358" s="68">
        <v>733666.66666666698</v>
      </c>
      <c r="DT358" s="68">
        <v>733666.66666666698</v>
      </c>
      <c r="DU358" s="69">
        <v>733666.66666666698</v>
      </c>
      <c r="DV358" s="83"/>
      <c r="DW358" s="83"/>
      <c r="DX358" s="83"/>
      <c r="DY358" s="83"/>
      <c r="DZ358" s="83"/>
      <c r="EA358" s="83"/>
      <c r="EB358" s="83"/>
      <c r="EC358" s="83"/>
      <c r="ED358" s="83"/>
      <c r="EE358" s="83"/>
      <c r="EF358" s="83"/>
      <c r="EG358" s="83"/>
      <c r="EH358" s="83"/>
      <c r="EI358" s="61"/>
      <c r="EJ358" s="61"/>
      <c r="EK358" s="61"/>
      <c r="EL358" s="61"/>
      <c r="EM358" s="61"/>
      <c r="EN358" s="61"/>
      <c r="EO358" s="61"/>
      <c r="EP358" s="61"/>
      <c r="EQ358" s="61"/>
      <c r="ER358" s="61"/>
      <c r="ES358" s="61"/>
      <c r="FR358" s="63"/>
      <c r="FS358" s="63"/>
      <c r="FT358" s="63"/>
      <c r="FU358" s="63"/>
      <c r="FV358" s="63"/>
      <c r="FW358" s="63"/>
      <c r="FX358" s="63"/>
      <c r="FY358" s="63"/>
      <c r="FZ358" s="63"/>
      <c r="GA358" s="63"/>
      <c r="GB358" s="63"/>
      <c r="GC358" s="63"/>
      <c r="GE358" s="102"/>
    </row>
    <row r="359" spans="1:187">
      <c r="D359" s="59" t="str">
        <f t="shared" si="89"/>
        <v>4318p</v>
      </c>
      <c r="E359" s="60" t="s">
        <v>450</v>
      </c>
      <c r="F359" s="67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9"/>
      <c r="R359" s="67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9"/>
      <c r="AD359" s="67"/>
      <c r="AE359" s="68"/>
      <c r="AF359" s="68"/>
      <c r="AG359" s="68"/>
      <c r="AH359" s="68"/>
      <c r="AI359" s="68"/>
      <c r="AJ359" s="68"/>
      <c r="AK359" s="68"/>
      <c r="AL359" s="68"/>
      <c r="AM359" s="68"/>
      <c r="AN359" s="68"/>
      <c r="AO359" s="69"/>
      <c r="AP359" s="67"/>
      <c r="AQ359" s="68"/>
      <c r="AR359" s="68"/>
      <c r="AS359" s="68"/>
      <c r="AT359" s="68"/>
      <c r="AU359" s="68"/>
      <c r="AV359" s="68"/>
      <c r="AW359" s="68"/>
      <c r="AX359" s="68"/>
      <c r="AY359" s="68"/>
      <c r="AZ359" s="68"/>
      <c r="BA359" s="69"/>
      <c r="BB359" s="67"/>
      <c r="BC359" s="68"/>
      <c r="BD359" s="68"/>
      <c r="BE359" s="68"/>
      <c r="BF359" s="68"/>
      <c r="BG359" s="68"/>
      <c r="BH359" s="68"/>
      <c r="BI359" s="68"/>
      <c r="BJ359" s="68"/>
      <c r="BK359" s="68"/>
      <c r="BL359" s="68"/>
      <c r="BM359" s="69"/>
      <c r="BN359" s="67"/>
      <c r="BO359" s="68"/>
      <c r="BP359" s="68"/>
      <c r="BQ359" s="68"/>
      <c r="BR359" s="68"/>
      <c r="BS359" s="68"/>
      <c r="BT359" s="68"/>
      <c r="BU359" s="68"/>
      <c r="BV359" s="68"/>
      <c r="BW359" s="68"/>
      <c r="BX359" s="68"/>
      <c r="BY359" s="69"/>
      <c r="BZ359" s="67"/>
      <c r="CA359" s="68"/>
      <c r="CB359" s="68"/>
      <c r="CC359" s="68"/>
      <c r="CD359" s="68"/>
      <c r="CE359" s="68"/>
      <c r="CF359" s="68"/>
      <c r="CG359" s="68"/>
      <c r="CH359" s="68"/>
      <c r="CI359" s="68"/>
      <c r="CJ359" s="68"/>
      <c r="CK359" s="68"/>
      <c r="CL359" s="67">
        <v>1415750</v>
      </c>
      <c r="CM359" s="68">
        <v>1415750</v>
      </c>
      <c r="CN359" s="68">
        <v>1415750</v>
      </c>
      <c r="CO359" s="68">
        <v>1415750</v>
      </c>
      <c r="CP359" s="68">
        <v>1415750</v>
      </c>
      <c r="CQ359" s="68">
        <v>1415750</v>
      </c>
      <c r="CR359" s="68">
        <v>1415750</v>
      </c>
      <c r="CS359" s="68">
        <v>1415750</v>
      </c>
      <c r="CT359" s="68">
        <v>1415750</v>
      </c>
      <c r="CU359" s="68">
        <v>1415750</v>
      </c>
      <c r="CV359" s="68">
        <v>1415750</v>
      </c>
      <c r="CW359" s="69">
        <v>1415750</v>
      </c>
      <c r="CX359" s="107">
        <v>744893.74616509501</v>
      </c>
      <c r="CY359" s="108">
        <v>744893.74616509501</v>
      </c>
      <c r="CZ359" s="108">
        <v>744893.74616509501</v>
      </c>
      <c r="DA359" s="108">
        <v>744893.74616509501</v>
      </c>
      <c r="DB359" s="108">
        <v>744893.74616509501</v>
      </c>
      <c r="DC359" s="108">
        <v>744893.74616509501</v>
      </c>
      <c r="DD359" s="108">
        <v>744893.74616509501</v>
      </c>
      <c r="DE359" s="108">
        <v>744893.74616509501</v>
      </c>
      <c r="DF359" s="108">
        <v>744893.74616509501</v>
      </c>
      <c r="DG359" s="108">
        <v>744893.74616509501</v>
      </c>
      <c r="DH359" s="108">
        <v>744893.74616509501</v>
      </c>
      <c r="DI359" s="109">
        <v>744893.74616509501</v>
      </c>
      <c r="DJ359" s="67">
        <v>734362.96666666702</v>
      </c>
      <c r="DK359" s="68">
        <v>734362.96666666702</v>
      </c>
      <c r="DL359" s="68">
        <v>734362.96666666702</v>
      </c>
      <c r="DM359" s="68">
        <v>734362.96666666702</v>
      </c>
      <c r="DN359" s="68">
        <v>734362.96666666702</v>
      </c>
      <c r="DO359" s="68">
        <v>734362.96666666702</v>
      </c>
      <c r="DP359" s="68">
        <v>734362.96666666702</v>
      </c>
      <c r="DQ359" s="68">
        <v>734362.96666666702</v>
      </c>
      <c r="DR359" s="68">
        <v>734362.96666666702</v>
      </c>
      <c r="DS359" s="68">
        <v>734362.96666666702</v>
      </c>
      <c r="DT359" s="68">
        <v>734362.96666666702</v>
      </c>
      <c r="DU359" s="69">
        <v>734362.96666666702</v>
      </c>
      <c r="DV359" s="83"/>
      <c r="DW359" s="83"/>
      <c r="DX359" s="83"/>
      <c r="DY359" s="83"/>
      <c r="DZ359" s="83"/>
      <c r="EA359" s="83"/>
      <c r="EB359" s="83"/>
      <c r="EC359" s="83"/>
      <c r="ED359" s="83"/>
      <c r="EE359" s="83"/>
      <c r="EF359" s="83"/>
      <c r="EG359" s="83"/>
      <c r="EH359" s="83"/>
      <c r="EI359" s="61"/>
      <c r="EJ359" s="61"/>
      <c r="EK359" s="61"/>
      <c r="EL359" s="61"/>
      <c r="EM359" s="61"/>
      <c r="EN359" s="61"/>
      <c r="EO359" s="61"/>
      <c r="EP359" s="61"/>
      <c r="EQ359" s="61"/>
      <c r="ER359" s="61"/>
      <c r="ES359" s="61"/>
      <c r="FR359" s="63"/>
      <c r="FS359" s="63"/>
      <c r="FT359" s="63"/>
      <c r="FU359" s="63"/>
      <c r="FV359" s="63"/>
      <c r="FW359" s="63"/>
      <c r="FX359" s="63"/>
      <c r="FY359" s="63"/>
      <c r="FZ359" s="63"/>
      <c r="GA359" s="63"/>
      <c r="GB359" s="63"/>
      <c r="GC359" s="63"/>
      <c r="GE359" s="102"/>
    </row>
    <row r="360" spans="1:187">
      <c r="D360" s="59" t="str">
        <f t="shared" si="89"/>
        <v>4319p</v>
      </c>
      <c r="E360" s="60" t="s">
        <v>451</v>
      </c>
      <c r="F360" s="67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9"/>
      <c r="R360" s="67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9"/>
      <c r="AD360" s="67"/>
      <c r="AE360" s="68"/>
      <c r="AF360" s="68"/>
      <c r="AG360" s="68"/>
      <c r="AH360" s="68"/>
      <c r="AI360" s="68"/>
      <c r="AJ360" s="68"/>
      <c r="AK360" s="68"/>
      <c r="AL360" s="68"/>
      <c r="AM360" s="68"/>
      <c r="AN360" s="68"/>
      <c r="AO360" s="69"/>
      <c r="AP360" s="67"/>
      <c r="AQ360" s="68"/>
      <c r="AR360" s="68"/>
      <c r="AS360" s="68"/>
      <c r="AT360" s="68"/>
      <c r="AU360" s="68"/>
      <c r="AV360" s="68"/>
      <c r="AW360" s="68"/>
      <c r="AX360" s="68"/>
      <c r="AY360" s="68"/>
      <c r="AZ360" s="68"/>
      <c r="BA360" s="69"/>
      <c r="BB360" s="67"/>
      <c r="BC360" s="68"/>
      <c r="BD360" s="68"/>
      <c r="BE360" s="68"/>
      <c r="BF360" s="68"/>
      <c r="BG360" s="68"/>
      <c r="BH360" s="68"/>
      <c r="BI360" s="68"/>
      <c r="BJ360" s="68"/>
      <c r="BK360" s="68"/>
      <c r="BL360" s="68"/>
      <c r="BM360" s="69"/>
      <c r="BN360" s="67"/>
      <c r="BO360" s="68"/>
      <c r="BP360" s="68"/>
      <c r="BQ360" s="68"/>
      <c r="BR360" s="68"/>
      <c r="BS360" s="68"/>
      <c r="BT360" s="68"/>
      <c r="BU360" s="68"/>
      <c r="BV360" s="68"/>
      <c r="BW360" s="68"/>
      <c r="BX360" s="68"/>
      <c r="BY360" s="69"/>
      <c r="BZ360" s="67"/>
      <c r="CA360" s="68"/>
      <c r="CB360" s="68"/>
      <c r="CC360" s="68"/>
      <c r="CD360" s="68"/>
      <c r="CE360" s="68"/>
      <c r="CF360" s="68"/>
      <c r="CG360" s="68"/>
      <c r="CH360" s="68"/>
      <c r="CI360" s="68"/>
      <c r="CJ360" s="68"/>
      <c r="CK360" s="68"/>
      <c r="CL360" s="67">
        <v>160874.055833333</v>
      </c>
      <c r="CM360" s="68">
        <v>160874.055833333</v>
      </c>
      <c r="CN360" s="68">
        <v>160874.055833333</v>
      </c>
      <c r="CO360" s="68">
        <v>160874.055833333</v>
      </c>
      <c r="CP360" s="68">
        <v>160874.055833333</v>
      </c>
      <c r="CQ360" s="68">
        <v>160874.055833333</v>
      </c>
      <c r="CR360" s="68">
        <v>160874.055833333</v>
      </c>
      <c r="CS360" s="68">
        <v>160874.055833333</v>
      </c>
      <c r="CT360" s="68">
        <v>160874.055833333</v>
      </c>
      <c r="CU360" s="68">
        <v>160874.055833333</v>
      </c>
      <c r="CV360" s="68">
        <v>160874.055833333</v>
      </c>
      <c r="CW360" s="69">
        <v>160874.055833333</v>
      </c>
      <c r="CX360" s="107">
        <v>261616.692042251</v>
      </c>
      <c r="CY360" s="108">
        <v>261616.692042251</v>
      </c>
      <c r="CZ360" s="108">
        <v>261616.692042251</v>
      </c>
      <c r="DA360" s="108">
        <v>261616.692042251</v>
      </c>
      <c r="DB360" s="108">
        <v>261616.692042251</v>
      </c>
      <c r="DC360" s="108">
        <v>261616.692042251</v>
      </c>
      <c r="DD360" s="108">
        <v>261616.692042251</v>
      </c>
      <c r="DE360" s="108">
        <v>261616.692042251</v>
      </c>
      <c r="DF360" s="108">
        <v>261616.692042251</v>
      </c>
      <c r="DG360" s="108">
        <v>261616.692042251</v>
      </c>
      <c r="DH360" s="108">
        <v>261616.692042251</v>
      </c>
      <c r="DI360" s="109">
        <v>261616.692042251</v>
      </c>
      <c r="DJ360" s="67">
        <v>1368004.0883333299</v>
      </c>
      <c r="DK360" s="68">
        <v>1368004.0883333299</v>
      </c>
      <c r="DL360" s="68">
        <v>1368004.0883333299</v>
      </c>
      <c r="DM360" s="68">
        <v>1368004.0883333299</v>
      </c>
      <c r="DN360" s="68">
        <v>1368004.0883333299</v>
      </c>
      <c r="DO360" s="68">
        <v>1368004.0883333299</v>
      </c>
      <c r="DP360" s="68">
        <v>1368004.0883333299</v>
      </c>
      <c r="DQ360" s="68">
        <v>1368004.0883333299</v>
      </c>
      <c r="DR360" s="68">
        <v>1368004.0883333299</v>
      </c>
      <c r="DS360" s="68">
        <v>1368004.0883333299</v>
      </c>
      <c r="DT360" s="68">
        <v>1368004.0883333299</v>
      </c>
      <c r="DU360" s="69">
        <v>1368004.0883333299</v>
      </c>
      <c r="DV360" s="83"/>
      <c r="DW360" s="83"/>
      <c r="DX360" s="83"/>
      <c r="DY360" s="83"/>
      <c r="DZ360" s="83"/>
      <c r="EA360" s="83"/>
      <c r="EB360" s="83"/>
      <c r="EC360" s="83"/>
      <c r="ED360" s="83"/>
      <c r="EE360" s="83"/>
      <c r="EF360" s="83"/>
      <c r="EG360" s="83"/>
      <c r="EH360" s="83"/>
      <c r="EI360" s="61"/>
      <c r="EJ360" s="61"/>
      <c r="EK360" s="61"/>
      <c r="EL360" s="61"/>
      <c r="EM360" s="61"/>
      <c r="EN360" s="61"/>
      <c r="EO360" s="61"/>
      <c r="EP360" s="61"/>
      <c r="EQ360" s="61"/>
      <c r="ER360" s="61"/>
      <c r="ES360" s="61"/>
      <c r="FR360" s="63"/>
      <c r="FS360" s="63"/>
      <c r="FT360" s="63"/>
      <c r="FU360" s="63"/>
      <c r="FV360" s="63"/>
      <c r="FW360" s="63"/>
      <c r="FX360" s="63"/>
      <c r="FY360" s="63"/>
      <c r="FZ360" s="63"/>
      <c r="GA360" s="63"/>
      <c r="GB360" s="63"/>
      <c r="GC360" s="63"/>
      <c r="GE360" s="102"/>
    </row>
    <row r="361" spans="1:187" s="2" customFormat="1">
      <c r="A361" s="71" t="s">
        <v>6</v>
      </c>
      <c r="B361" s="71" t="s">
        <v>6</v>
      </c>
      <c r="C361" s="71">
        <v>432</v>
      </c>
      <c r="D361" s="71" t="str">
        <f t="shared" si="89"/>
        <v>432p</v>
      </c>
      <c r="E361" s="72" t="s">
        <v>452</v>
      </c>
      <c r="F361" s="73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5"/>
      <c r="R361" s="73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5"/>
      <c r="AD361" s="73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5"/>
      <c r="AP361" s="73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5"/>
      <c r="BB361" s="73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5"/>
      <c r="BN361" s="73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5"/>
      <c r="BZ361" s="73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3">
        <f t="shared" ref="CL361:CX361" si="108">+SUM(CL362:CL367)</f>
        <v>20833.333333333299</v>
      </c>
      <c r="CM361" s="74">
        <f t="shared" si="108"/>
        <v>20833.333333333299</v>
      </c>
      <c r="CN361" s="74">
        <f t="shared" si="108"/>
        <v>20833.333333333299</v>
      </c>
      <c r="CO361" s="74">
        <f t="shared" si="108"/>
        <v>20833.333333333299</v>
      </c>
      <c r="CP361" s="74">
        <f t="shared" si="108"/>
        <v>20833.333333333299</v>
      </c>
      <c r="CQ361" s="74">
        <f t="shared" si="108"/>
        <v>20833.333333333299</v>
      </c>
      <c r="CR361" s="74">
        <f t="shared" si="108"/>
        <v>20833.333333333299</v>
      </c>
      <c r="CS361" s="74">
        <f t="shared" si="108"/>
        <v>20833.333333333299</v>
      </c>
      <c r="CT361" s="74">
        <f t="shared" si="108"/>
        <v>20833.333333333299</v>
      </c>
      <c r="CU361" s="74">
        <f t="shared" si="108"/>
        <v>20833.333333333299</v>
      </c>
      <c r="CV361" s="74">
        <f t="shared" si="108"/>
        <v>20833.333333333299</v>
      </c>
      <c r="CW361" s="75">
        <f t="shared" si="108"/>
        <v>20833.333333333299</v>
      </c>
      <c r="CX361" s="110">
        <f t="shared" si="108"/>
        <v>186026.65369250701</v>
      </c>
      <c r="CY361" s="111">
        <f t="shared" ref="CY361:DJ361" si="109">+SUM(CY362:CY367)</f>
        <v>186026.65369250701</v>
      </c>
      <c r="CZ361" s="111">
        <f t="shared" si="109"/>
        <v>186026.65369250701</v>
      </c>
      <c r="DA361" s="111">
        <f t="shared" si="109"/>
        <v>186026.65369250701</v>
      </c>
      <c r="DB361" s="111">
        <f t="shared" si="109"/>
        <v>186026.65369250701</v>
      </c>
      <c r="DC361" s="111">
        <f t="shared" si="109"/>
        <v>186026.65369250701</v>
      </c>
      <c r="DD361" s="111">
        <f t="shared" si="109"/>
        <v>186026.65369250701</v>
      </c>
      <c r="DE361" s="111">
        <f t="shared" si="109"/>
        <v>186026.65369250701</v>
      </c>
      <c r="DF361" s="111">
        <f t="shared" si="109"/>
        <v>186026.65369250701</v>
      </c>
      <c r="DG361" s="111">
        <f t="shared" si="109"/>
        <v>186026.65369250701</v>
      </c>
      <c r="DH361" s="111">
        <f t="shared" si="109"/>
        <v>186026.65369250701</v>
      </c>
      <c r="DI361" s="112">
        <f t="shared" si="109"/>
        <v>186026.65369250701</v>
      </c>
      <c r="DJ361" s="73">
        <f t="shared" si="109"/>
        <v>35625</v>
      </c>
      <c r="DK361" s="74">
        <f t="shared" ref="DK361:DU361" si="110">+SUM(DK362:DK367)</f>
        <v>35625</v>
      </c>
      <c r="DL361" s="74">
        <f t="shared" si="110"/>
        <v>35625</v>
      </c>
      <c r="DM361" s="74">
        <f t="shared" si="110"/>
        <v>35625</v>
      </c>
      <c r="DN361" s="74">
        <f t="shared" si="110"/>
        <v>35625</v>
      </c>
      <c r="DO361" s="74">
        <f t="shared" si="110"/>
        <v>35625</v>
      </c>
      <c r="DP361" s="74">
        <f t="shared" si="110"/>
        <v>35625</v>
      </c>
      <c r="DQ361" s="74">
        <f t="shared" si="110"/>
        <v>35625</v>
      </c>
      <c r="DR361" s="74">
        <f t="shared" si="110"/>
        <v>35625</v>
      </c>
      <c r="DS361" s="74">
        <f t="shared" si="110"/>
        <v>35625</v>
      </c>
      <c r="DT361" s="74">
        <f t="shared" si="110"/>
        <v>35625</v>
      </c>
      <c r="DU361" s="75">
        <f t="shared" si="110"/>
        <v>35625</v>
      </c>
      <c r="DV361" s="97">
        <v>94791.666666666701</v>
      </c>
      <c r="DW361" s="97">
        <v>94791.666666666701</v>
      </c>
      <c r="DX361" s="97">
        <v>94791.666666666701</v>
      </c>
      <c r="DY361" s="97">
        <v>94791.666666666701</v>
      </c>
      <c r="DZ361" s="97">
        <v>94791.666666666701</v>
      </c>
      <c r="EA361" s="97">
        <v>94791.666666666701</v>
      </c>
      <c r="EB361" s="97">
        <v>94791.666666666701</v>
      </c>
      <c r="EC361" s="97">
        <v>94791.666666666701</v>
      </c>
      <c r="ED361" s="97">
        <v>94791.666666666701</v>
      </c>
      <c r="EE361" s="97">
        <v>94791.666666666701</v>
      </c>
      <c r="EF361" s="97">
        <v>94791.666666666701</v>
      </c>
      <c r="EG361" s="97">
        <v>94791.666666666701</v>
      </c>
      <c r="EH361" s="97"/>
      <c r="EI361" s="76"/>
      <c r="EJ361" s="76"/>
      <c r="EK361" s="76"/>
      <c r="EL361" s="76"/>
      <c r="EM361" s="76"/>
      <c r="EN361" s="76"/>
      <c r="EO361" s="76"/>
      <c r="EP361" s="76"/>
      <c r="EQ361" s="76"/>
      <c r="ER361" s="76"/>
      <c r="ES361" s="76"/>
      <c r="ET361" s="106">
        <v>484666.39166666701</v>
      </c>
      <c r="EU361" s="106">
        <v>484666.39166666701</v>
      </c>
      <c r="EV361" s="106">
        <v>484666.39166666701</v>
      </c>
      <c r="EW361" s="106">
        <v>484666.39166666701</v>
      </c>
      <c r="EX361" s="106">
        <v>484666.39166666701</v>
      </c>
      <c r="EY361" s="106">
        <v>484666.39166666701</v>
      </c>
      <c r="EZ361" s="106">
        <v>484666.39166666701</v>
      </c>
      <c r="FA361" s="106">
        <v>484666.39166666701</v>
      </c>
      <c r="FB361" s="106">
        <v>461423.99666666699</v>
      </c>
      <c r="FC361" s="106">
        <v>461423.99666666699</v>
      </c>
      <c r="FD361" s="106">
        <v>461423.99666666699</v>
      </c>
      <c r="FE361" s="106">
        <v>461423.99666666699</v>
      </c>
      <c r="FF361" s="106">
        <v>1893595.81</v>
      </c>
      <c r="FG361" s="106">
        <v>1793595.81</v>
      </c>
      <c r="FH361" s="106">
        <v>1701929.14</v>
      </c>
      <c r="FI361" s="106">
        <v>1701929.14</v>
      </c>
      <c r="FJ361" s="106">
        <v>1701929.14</v>
      </c>
      <c r="FK361" s="106">
        <v>1701929.14</v>
      </c>
      <c r="FL361" s="106">
        <v>1701929.14</v>
      </c>
      <c r="FM361" s="106">
        <v>1685262.48</v>
      </c>
      <c r="FN361" s="106">
        <v>1685262.48</v>
      </c>
      <c r="FO361" s="106">
        <v>1636929.14</v>
      </c>
      <c r="FP361" s="106">
        <v>1559429.15</v>
      </c>
      <c r="FQ361" s="106">
        <v>1559429.15</v>
      </c>
      <c r="FR361" s="106">
        <v>0</v>
      </c>
      <c r="FS361" s="106">
        <v>0</v>
      </c>
      <c r="FT361" s="106">
        <v>0</v>
      </c>
      <c r="FU361" s="106">
        <v>0</v>
      </c>
      <c r="FV361" s="106">
        <v>0</v>
      </c>
      <c r="FW361" s="106">
        <v>0</v>
      </c>
      <c r="FX361" s="106">
        <v>0</v>
      </c>
      <c r="FY361" s="106">
        <v>0</v>
      </c>
      <c r="FZ361" s="106">
        <v>0</v>
      </c>
      <c r="GA361" s="106">
        <v>0</v>
      </c>
      <c r="GB361" s="106">
        <v>0</v>
      </c>
      <c r="GC361" s="106">
        <v>0</v>
      </c>
      <c r="GE361" s="101">
        <f>SUM(FR361:GC361)</f>
        <v>0</v>
      </c>
    </row>
    <row r="362" spans="1:187" ht="30">
      <c r="D362" s="59" t="str">
        <f t="shared" ref="D362:D393" si="111">+CONCATENATE(D153,"p")</f>
        <v>4321p</v>
      </c>
      <c r="E362" s="60" t="s">
        <v>453</v>
      </c>
      <c r="F362" s="67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9"/>
      <c r="R362" s="67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9"/>
      <c r="AD362" s="67"/>
      <c r="AE362" s="68"/>
      <c r="AF362" s="68"/>
      <c r="AG362" s="68"/>
      <c r="AH362" s="68"/>
      <c r="AI362" s="68"/>
      <c r="AJ362" s="68"/>
      <c r="AK362" s="68"/>
      <c r="AL362" s="68"/>
      <c r="AM362" s="68"/>
      <c r="AN362" s="68"/>
      <c r="AO362" s="69"/>
      <c r="AP362" s="67"/>
      <c r="AQ362" s="68"/>
      <c r="AR362" s="68"/>
      <c r="AS362" s="68"/>
      <c r="AT362" s="68"/>
      <c r="AU362" s="68"/>
      <c r="AV362" s="68"/>
      <c r="AW362" s="68"/>
      <c r="AX362" s="68"/>
      <c r="AY362" s="68"/>
      <c r="AZ362" s="68"/>
      <c r="BA362" s="69"/>
      <c r="BB362" s="67"/>
      <c r="BC362" s="68"/>
      <c r="BD362" s="68"/>
      <c r="BE362" s="68"/>
      <c r="BF362" s="68"/>
      <c r="BG362" s="68"/>
      <c r="BH362" s="68"/>
      <c r="BI362" s="68"/>
      <c r="BJ362" s="68"/>
      <c r="BK362" s="68"/>
      <c r="BL362" s="68"/>
      <c r="BM362" s="69"/>
      <c r="BN362" s="67"/>
      <c r="BO362" s="68"/>
      <c r="BP362" s="68"/>
      <c r="BQ362" s="68"/>
      <c r="BR362" s="68"/>
      <c r="BS362" s="68"/>
      <c r="BT362" s="68"/>
      <c r="BU362" s="68"/>
      <c r="BV362" s="68"/>
      <c r="BW362" s="68"/>
      <c r="BX362" s="68"/>
      <c r="BY362" s="69"/>
      <c r="BZ362" s="67"/>
      <c r="CA362" s="68"/>
      <c r="CB362" s="68"/>
      <c r="CC362" s="68"/>
      <c r="CD362" s="68"/>
      <c r="CE362" s="68"/>
      <c r="CF362" s="68"/>
      <c r="CG362" s="68"/>
      <c r="CH362" s="68"/>
      <c r="CI362" s="68"/>
      <c r="CJ362" s="68"/>
      <c r="CK362" s="68"/>
      <c r="CL362" s="67"/>
      <c r="CM362" s="68"/>
      <c r="CN362" s="68"/>
      <c r="CO362" s="68"/>
      <c r="CP362" s="68"/>
      <c r="CQ362" s="68"/>
      <c r="CR362" s="68"/>
      <c r="CS362" s="68"/>
      <c r="CT362" s="68"/>
      <c r="CU362" s="68"/>
      <c r="CV362" s="68"/>
      <c r="CW362" s="69"/>
      <c r="CX362" s="107">
        <v>0</v>
      </c>
      <c r="CY362" s="108">
        <v>0</v>
      </c>
      <c r="CZ362" s="108">
        <v>0</v>
      </c>
      <c r="DA362" s="108">
        <v>0</v>
      </c>
      <c r="DB362" s="108">
        <v>0</v>
      </c>
      <c r="DC362" s="108">
        <v>0</v>
      </c>
      <c r="DD362" s="108">
        <v>0</v>
      </c>
      <c r="DE362" s="108">
        <v>0</v>
      </c>
      <c r="DF362" s="108">
        <v>0</v>
      </c>
      <c r="DG362" s="108">
        <v>0</v>
      </c>
      <c r="DH362" s="108">
        <v>0</v>
      </c>
      <c r="DI362" s="109">
        <v>0</v>
      </c>
      <c r="DJ362" s="67">
        <v>0</v>
      </c>
      <c r="DK362" s="68">
        <v>0</v>
      </c>
      <c r="DL362" s="68">
        <v>0</v>
      </c>
      <c r="DM362" s="68">
        <v>0</v>
      </c>
      <c r="DN362" s="68">
        <v>0</v>
      </c>
      <c r="DO362" s="68">
        <v>0</v>
      </c>
      <c r="DP362" s="68">
        <v>0</v>
      </c>
      <c r="DQ362" s="68">
        <v>0</v>
      </c>
      <c r="DR362" s="68">
        <v>0</v>
      </c>
      <c r="DS362" s="68">
        <v>0</v>
      </c>
      <c r="DT362" s="68">
        <v>0</v>
      </c>
      <c r="DU362" s="69">
        <v>0</v>
      </c>
      <c r="DV362" s="83"/>
      <c r="DW362" s="83"/>
      <c r="DX362" s="83"/>
      <c r="DY362" s="83"/>
      <c r="DZ362" s="83"/>
      <c r="EA362" s="83"/>
      <c r="EB362" s="83"/>
      <c r="EC362" s="83"/>
      <c r="ED362" s="83"/>
      <c r="EE362" s="83"/>
      <c r="EF362" s="83"/>
      <c r="EG362" s="83"/>
      <c r="EH362" s="83"/>
      <c r="EI362" s="61"/>
      <c r="EJ362" s="61"/>
      <c r="EK362" s="61"/>
      <c r="EL362" s="61"/>
      <c r="EM362" s="61"/>
      <c r="EN362" s="61"/>
      <c r="EO362" s="61"/>
      <c r="EP362" s="61"/>
      <c r="EQ362" s="61"/>
      <c r="ER362" s="61"/>
      <c r="ES362" s="61"/>
      <c r="FR362" s="63"/>
      <c r="FS362" s="63"/>
      <c r="FT362" s="63"/>
      <c r="FU362" s="63"/>
      <c r="FV362" s="63"/>
      <c r="FW362" s="63"/>
      <c r="FX362" s="63"/>
      <c r="FY362" s="63"/>
      <c r="FZ362" s="63"/>
      <c r="GA362" s="63"/>
      <c r="GB362" s="63"/>
      <c r="GC362" s="63"/>
      <c r="GD362" s="63"/>
      <c r="GE362" s="102"/>
    </row>
    <row r="363" spans="1:187">
      <c r="D363" s="59" t="str">
        <f t="shared" si="111"/>
        <v>4322p</v>
      </c>
      <c r="E363" s="60" t="s">
        <v>454</v>
      </c>
      <c r="F363" s="67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9"/>
      <c r="R363" s="67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9"/>
      <c r="AD363" s="67"/>
      <c r="AE363" s="68"/>
      <c r="AF363" s="68"/>
      <c r="AG363" s="68"/>
      <c r="AH363" s="68"/>
      <c r="AI363" s="68"/>
      <c r="AJ363" s="68"/>
      <c r="AK363" s="68"/>
      <c r="AL363" s="68"/>
      <c r="AM363" s="68"/>
      <c r="AN363" s="68"/>
      <c r="AO363" s="69"/>
      <c r="AP363" s="67"/>
      <c r="AQ363" s="68"/>
      <c r="AR363" s="68"/>
      <c r="AS363" s="68"/>
      <c r="AT363" s="68"/>
      <c r="AU363" s="68"/>
      <c r="AV363" s="68"/>
      <c r="AW363" s="68"/>
      <c r="AX363" s="68"/>
      <c r="AY363" s="68"/>
      <c r="AZ363" s="68"/>
      <c r="BA363" s="69"/>
      <c r="BB363" s="67"/>
      <c r="BC363" s="68"/>
      <c r="BD363" s="68"/>
      <c r="BE363" s="68"/>
      <c r="BF363" s="68"/>
      <c r="BG363" s="68"/>
      <c r="BH363" s="68"/>
      <c r="BI363" s="68"/>
      <c r="BJ363" s="68"/>
      <c r="BK363" s="68"/>
      <c r="BL363" s="68"/>
      <c r="BM363" s="69"/>
      <c r="BN363" s="67"/>
      <c r="BO363" s="68"/>
      <c r="BP363" s="68"/>
      <c r="BQ363" s="68"/>
      <c r="BR363" s="68"/>
      <c r="BS363" s="68"/>
      <c r="BT363" s="68"/>
      <c r="BU363" s="68"/>
      <c r="BV363" s="68"/>
      <c r="BW363" s="68"/>
      <c r="BX363" s="68"/>
      <c r="BY363" s="69"/>
      <c r="BZ363" s="67"/>
      <c r="CA363" s="68"/>
      <c r="CB363" s="68"/>
      <c r="CC363" s="68"/>
      <c r="CD363" s="68"/>
      <c r="CE363" s="68"/>
      <c r="CF363" s="68"/>
      <c r="CG363" s="68"/>
      <c r="CH363" s="68"/>
      <c r="CI363" s="68"/>
      <c r="CJ363" s="68"/>
      <c r="CK363" s="68"/>
      <c r="CL363" s="67"/>
      <c r="CM363" s="68"/>
      <c r="CN363" s="68"/>
      <c r="CO363" s="68"/>
      <c r="CP363" s="68"/>
      <c r="CQ363" s="68"/>
      <c r="CR363" s="68"/>
      <c r="CS363" s="68"/>
      <c r="CT363" s="68"/>
      <c r="CU363" s="68"/>
      <c r="CV363" s="68"/>
      <c r="CW363" s="69"/>
      <c r="CX363" s="107">
        <v>0</v>
      </c>
      <c r="CY363" s="108">
        <v>0</v>
      </c>
      <c r="CZ363" s="108">
        <v>0</v>
      </c>
      <c r="DA363" s="108">
        <v>0</v>
      </c>
      <c r="DB363" s="108">
        <v>0</v>
      </c>
      <c r="DC363" s="108">
        <v>0</v>
      </c>
      <c r="DD363" s="108">
        <v>0</v>
      </c>
      <c r="DE363" s="108">
        <v>0</v>
      </c>
      <c r="DF363" s="108">
        <v>0</v>
      </c>
      <c r="DG363" s="108">
        <v>0</v>
      </c>
      <c r="DH363" s="108">
        <v>0</v>
      </c>
      <c r="DI363" s="109">
        <v>0</v>
      </c>
      <c r="DJ363" s="67">
        <v>0</v>
      </c>
      <c r="DK363" s="68">
        <v>0</v>
      </c>
      <c r="DL363" s="68">
        <v>0</v>
      </c>
      <c r="DM363" s="68">
        <v>0</v>
      </c>
      <c r="DN363" s="68">
        <v>0</v>
      </c>
      <c r="DO363" s="68">
        <v>0</v>
      </c>
      <c r="DP363" s="68">
        <v>0</v>
      </c>
      <c r="DQ363" s="68">
        <v>0</v>
      </c>
      <c r="DR363" s="68">
        <v>0</v>
      </c>
      <c r="DS363" s="68">
        <v>0</v>
      </c>
      <c r="DT363" s="68">
        <v>0</v>
      </c>
      <c r="DU363" s="69">
        <v>0</v>
      </c>
      <c r="DV363" s="83"/>
      <c r="DW363" s="83"/>
      <c r="DX363" s="83"/>
      <c r="DY363" s="83"/>
      <c r="DZ363" s="83"/>
      <c r="EA363" s="83"/>
      <c r="EB363" s="83"/>
      <c r="EC363" s="83"/>
      <c r="ED363" s="83"/>
      <c r="EE363" s="83"/>
      <c r="EF363" s="83"/>
      <c r="EG363" s="83"/>
      <c r="EH363" s="83"/>
      <c r="EI363" s="61"/>
      <c r="EJ363" s="61"/>
      <c r="EK363" s="61"/>
      <c r="EL363" s="61"/>
      <c r="EM363" s="61"/>
      <c r="EN363" s="61"/>
      <c r="EO363" s="61"/>
      <c r="EP363" s="61"/>
      <c r="EQ363" s="61"/>
      <c r="ER363" s="61"/>
      <c r="ES363" s="61"/>
      <c r="FR363" s="63"/>
      <c r="FS363" s="63"/>
      <c r="FT363" s="63"/>
      <c r="FU363" s="63"/>
      <c r="FV363" s="63"/>
      <c r="FW363" s="63"/>
      <c r="FX363" s="63"/>
      <c r="FY363" s="63"/>
      <c r="FZ363" s="63"/>
      <c r="GA363" s="63"/>
      <c r="GB363" s="63"/>
      <c r="GC363" s="63"/>
      <c r="GE363" s="102"/>
    </row>
    <row r="364" spans="1:187" ht="30">
      <c r="D364" s="59" t="str">
        <f t="shared" si="111"/>
        <v>4323p</v>
      </c>
      <c r="E364" s="60" t="s">
        <v>455</v>
      </c>
      <c r="F364" s="67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9"/>
      <c r="R364" s="67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9"/>
      <c r="AD364" s="67"/>
      <c r="AE364" s="68"/>
      <c r="AF364" s="68"/>
      <c r="AG364" s="68"/>
      <c r="AH364" s="68"/>
      <c r="AI364" s="68"/>
      <c r="AJ364" s="68"/>
      <c r="AK364" s="68"/>
      <c r="AL364" s="68"/>
      <c r="AM364" s="68"/>
      <c r="AN364" s="68"/>
      <c r="AO364" s="69"/>
      <c r="AP364" s="67"/>
      <c r="AQ364" s="68"/>
      <c r="AR364" s="68"/>
      <c r="AS364" s="68"/>
      <c r="AT364" s="68"/>
      <c r="AU364" s="68"/>
      <c r="AV364" s="68"/>
      <c r="AW364" s="68"/>
      <c r="AX364" s="68"/>
      <c r="AY364" s="68"/>
      <c r="AZ364" s="68"/>
      <c r="BA364" s="69"/>
      <c r="BB364" s="67"/>
      <c r="BC364" s="68"/>
      <c r="BD364" s="68"/>
      <c r="BE364" s="68"/>
      <c r="BF364" s="68"/>
      <c r="BG364" s="68"/>
      <c r="BH364" s="68"/>
      <c r="BI364" s="68"/>
      <c r="BJ364" s="68"/>
      <c r="BK364" s="68"/>
      <c r="BL364" s="68"/>
      <c r="BM364" s="69"/>
      <c r="BN364" s="67"/>
      <c r="BO364" s="68"/>
      <c r="BP364" s="68"/>
      <c r="BQ364" s="68"/>
      <c r="BR364" s="68"/>
      <c r="BS364" s="68"/>
      <c r="BT364" s="68"/>
      <c r="BU364" s="68"/>
      <c r="BV364" s="68"/>
      <c r="BW364" s="68"/>
      <c r="BX364" s="68"/>
      <c r="BY364" s="69"/>
      <c r="BZ364" s="67"/>
      <c r="CA364" s="68"/>
      <c r="CB364" s="68"/>
      <c r="CC364" s="68"/>
      <c r="CD364" s="68"/>
      <c r="CE364" s="68"/>
      <c r="CF364" s="68"/>
      <c r="CG364" s="68"/>
      <c r="CH364" s="68"/>
      <c r="CI364" s="68"/>
      <c r="CJ364" s="68"/>
      <c r="CK364" s="68"/>
      <c r="CL364" s="67"/>
      <c r="CM364" s="68"/>
      <c r="CN364" s="68"/>
      <c r="CO364" s="68"/>
      <c r="CP364" s="68"/>
      <c r="CQ364" s="68"/>
      <c r="CR364" s="68"/>
      <c r="CS364" s="68"/>
      <c r="CT364" s="68"/>
      <c r="CU364" s="68"/>
      <c r="CV364" s="68"/>
      <c r="CW364" s="69"/>
      <c r="CX364" s="107">
        <v>0</v>
      </c>
      <c r="CY364" s="108">
        <v>0</v>
      </c>
      <c r="CZ364" s="108">
        <v>0</v>
      </c>
      <c r="DA364" s="108">
        <v>0</v>
      </c>
      <c r="DB364" s="108">
        <v>0</v>
      </c>
      <c r="DC364" s="108">
        <v>0</v>
      </c>
      <c r="DD364" s="108">
        <v>0</v>
      </c>
      <c r="DE364" s="108">
        <v>0</v>
      </c>
      <c r="DF364" s="108">
        <v>0</v>
      </c>
      <c r="DG364" s="108">
        <v>0</v>
      </c>
      <c r="DH364" s="108">
        <v>0</v>
      </c>
      <c r="DI364" s="109">
        <v>0</v>
      </c>
      <c r="DJ364" s="67">
        <v>0</v>
      </c>
      <c r="DK364" s="68">
        <v>0</v>
      </c>
      <c r="DL364" s="68">
        <v>0</v>
      </c>
      <c r="DM364" s="68">
        <v>0</v>
      </c>
      <c r="DN364" s="68">
        <v>0</v>
      </c>
      <c r="DO364" s="68">
        <v>0</v>
      </c>
      <c r="DP364" s="68">
        <v>0</v>
      </c>
      <c r="DQ364" s="68">
        <v>0</v>
      </c>
      <c r="DR364" s="68">
        <v>0</v>
      </c>
      <c r="DS364" s="68">
        <v>0</v>
      </c>
      <c r="DT364" s="68">
        <v>0</v>
      </c>
      <c r="DU364" s="69">
        <v>0</v>
      </c>
      <c r="DV364" s="83"/>
      <c r="DW364" s="83"/>
      <c r="DX364" s="83"/>
      <c r="DY364" s="83"/>
      <c r="DZ364" s="83"/>
      <c r="EA364" s="83"/>
      <c r="EB364" s="83"/>
      <c r="EC364" s="83"/>
      <c r="ED364" s="83"/>
      <c r="EE364" s="83"/>
      <c r="EF364" s="83"/>
      <c r="EG364" s="83"/>
      <c r="EH364" s="83"/>
      <c r="EI364" s="61"/>
      <c r="EJ364" s="61"/>
      <c r="EK364" s="61"/>
      <c r="EL364" s="61"/>
      <c r="EM364" s="61"/>
      <c r="EN364" s="61"/>
      <c r="EO364" s="61"/>
      <c r="EP364" s="61"/>
      <c r="EQ364" s="61"/>
      <c r="ER364" s="61"/>
      <c r="ES364" s="61"/>
      <c r="FR364" s="63"/>
      <c r="FS364" s="63"/>
      <c r="FT364" s="63"/>
      <c r="FU364" s="63"/>
      <c r="FV364" s="63"/>
      <c r="FW364" s="63"/>
      <c r="FX364" s="63"/>
      <c r="FY364" s="63"/>
      <c r="FZ364" s="63"/>
      <c r="GA364" s="63"/>
      <c r="GB364" s="63"/>
      <c r="GC364" s="63"/>
      <c r="GE364" s="102"/>
    </row>
    <row r="365" spans="1:187">
      <c r="D365" s="59" t="str">
        <f t="shared" si="111"/>
        <v>4324p</v>
      </c>
      <c r="E365" s="60" t="s">
        <v>456</v>
      </c>
      <c r="F365" s="67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9"/>
      <c r="R365" s="67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9"/>
      <c r="AD365" s="67"/>
      <c r="AE365" s="68"/>
      <c r="AF365" s="68"/>
      <c r="AG365" s="68"/>
      <c r="AH365" s="68"/>
      <c r="AI365" s="68"/>
      <c r="AJ365" s="68"/>
      <c r="AK365" s="68"/>
      <c r="AL365" s="68"/>
      <c r="AM365" s="68"/>
      <c r="AN365" s="68"/>
      <c r="AO365" s="69"/>
      <c r="AP365" s="67"/>
      <c r="AQ365" s="68"/>
      <c r="AR365" s="68"/>
      <c r="AS365" s="68"/>
      <c r="AT365" s="68"/>
      <c r="AU365" s="68"/>
      <c r="AV365" s="68"/>
      <c r="AW365" s="68"/>
      <c r="AX365" s="68"/>
      <c r="AY365" s="68"/>
      <c r="AZ365" s="68"/>
      <c r="BA365" s="69"/>
      <c r="BB365" s="67"/>
      <c r="BC365" s="68"/>
      <c r="BD365" s="68"/>
      <c r="BE365" s="68"/>
      <c r="BF365" s="68"/>
      <c r="BG365" s="68"/>
      <c r="BH365" s="68"/>
      <c r="BI365" s="68"/>
      <c r="BJ365" s="68"/>
      <c r="BK365" s="68"/>
      <c r="BL365" s="68"/>
      <c r="BM365" s="69"/>
      <c r="BN365" s="67"/>
      <c r="BO365" s="68"/>
      <c r="BP365" s="68"/>
      <c r="BQ365" s="68"/>
      <c r="BR365" s="68"/>
      <c r="BS365" s="68"/>
      <c r="BT365" s="68"/>
      <c r="BU365" s="68"/>
      <c r="BV365" s="68"/>
      <c r="BW365" s="68"/>
      <c r="BX365" s="68"/>
      <c r="BY365" s="69"/>
      <c r="BZ365" s="67"/>
      <c r="CA365" s="68"/>
      <c r="CB365" s="68"/>
      <c r="CC365" s="68"/>
      <c r="CD365" s="68"/>
      <c r="CE365" s="68"/>
      <c r="CF365" s="68"/>
      <c r="CG365" s="68"/>
      <c r="CH365" s="68"/>
      <c r="CI365" s="68"/>
      <c r="CJ365" s="68"/>
      <c r="CK365" s="68"/>
      <c r="CL365" s="67">
        <v>20833.333333333299</v>
      </c>
      <c r="CM365" s="68">
        <v>20833.333333333299</v>
      </c>
      <c r="CN365" s="68">
        <v>20833.333333333299</v>
      </c>
      <c r="CO365" s="68">
        <v>20833.333333333299</v>
      </c>
      <c r="CP365" s="68">
        <v>20833.333333333299</v>
      </c>
      <c r="CQ365" s="68">
        <v>20833.333333333299</v>
      </c>
      <c r="CR365" s="68">
        <v>20833.333333333299</v>
      </c>
      <c r="CS365" s="68">
        <v>20833.333333333299</v>
      </c>
      <c r="CT365" s="68">
        <v>20833.333333333299</v>
      </c>
      <c r="CU365" s="68">
        <v>20833.333333333299</v>
      </c>
      <c r="CV365" s="68">
        <v>20833.333333333299</v>
      </c>
      <c r="CW365" s="69">
        <v>20833.333333333299</v>
      </c>
      <c r="CX365" s="107">
        <v>155209.55905985</v>
      </c>
      <c r="CY365" s="108">
        <v>155209.55905985</v>
      </c>
      <c r="CZ365" s="108">
        <v>155209.55905985</v>
      </c>
      <c r="DA365" s="108">
        <v>155209.55905985</v>
      </c>
      <c r="DB365" s="108">
        <v>155209.55905985</v>
      </c>
      <c r="DC365" s="108">
        <v>155209.55905985</v>
      </c>
      <c r="DD365" s="108">
        <v>155209.55905985</v>
      </c>
      <c r="DE365" s="108">
        <v>155209.55905985</v>
      </c>
      <c r="DF365" s="108">
        <v>155209.55905985</v>
      </c>
      <c r="DG365" s="108">
        <v>155209.55905985</v>
      </c>
      <c r="DH365" s="108">
        <v>155209.55905985</v>
      </c>
      <c r="DI365" s="109">
        <v>155209.55905985</v>
      </c>
      <c r="DJ365" s="67">
        <v>35625</v>
      </c>
      <c r="DK365" s="68">
        <v>35625</v>
      </c>
      <c r="DL365" s="68">
        <v>35625</v>
      </c>
      <c r="DM365" s="68">
        <v>35625</v>
      </c>
      <c r="DN365" s="68">
        <v>35625</v>
      </c>
      <c r="DO365" s="68">
        <v>35625</v>
      </c>
      <c r="DP365" s="68">
        <v>35625</v>
      </c>
      <c r="DQ365" s="68">
        <v>35625</v>
      </c>
      <c r="DR365" s="68">
        <v>35625</v>
      </c>
      <c r="DS365" s="68">
        <v>35625</v>
      </c>
      <c r="DT365" s="68">
        <v>35625</v>
      </c>
      <c r="DU365" s="69">
        <v>35625</v>
      </c>
      <c r="DV365" s="83"/>
      <c r="DW365" s="83"/>
      <c r="DX365" s="83"/>
      <c r="DY365" s="83"/>
      <c r="DZ365" s="83"/>
      <c r="EA365" s="83"/>
      <c r="EB365" s="83"/>
      <c r="EC365" s="83"/>
      <c r="ED365" s="83"/>
      <c r="EE365" s="83"/>
      <c r="EF365" s="83"/>
      <c r="EG365" s="83"/>
      <c r="EH365" s="83"/>
      <c r="EI365" s="61"/>
      <c r="EJ365" s="61"/>
      <c r="EK365" s="61"/>
      <c r="EL365" s="61"/>
      <c r="EM365" s="61"/>
      <c r="EN365" s="61"/>
      <c r="EO365" s="61"/>
      <c r="EP365" s="61"/>
      <c r="EQ365" s="61"/>
      <c r="ER365" s="61"/>
      <c r="ES365" s="61"/>
      <c r="FR365" s="63"/>
      <c r="FS365" s="63"/>
      <c r="FT365" s="63"/>
      <c r="FU365" s="63"/>
      <c r="FV365" s="63"/>
      <c r="FW365" s="63"/>
      <c r="FX365" s="63"/>
      <c r="FY365" s="63"/>
      <c r="FZ365" s="63"/>
      <c r="GA365" s="63"/>
      <c r="GB365" s="63"/>
      <c r="GC365" s="63"/>
      <c r="GE365" s="102"/>
    </row>
    <row r="366" spans="1:187">
      <c r="D366" s="59" t="str">
        <f t="shared" si="111"/>
        <v>4325p</v>
      </c>
      <c r="E366" s="60" t="s">
        <v>457</v>
      </c>
      <c r="F366" s="67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9"/>
      <c r="R366" s="67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9"/>
      <c r="AD366" s="67"/>
      <c r="AE366" s="68"/>
      <c r="AF366" s="68"/>
      <c r="AG366" s="68"/>
      <c r="AH366" s="68"/>
      <c r="AI366" s="68"/>
      <c r="AJ366" s="68"/>
      <c r="AK366" s="68"/>
      <c r="AL366" s="68"/>
      <c r="AM366" s="68"/>
      <c r="AN366" s="68"/>
      <c r="AO366" s="69"/>
      <c r="AP366" s="67"/>
      <c r="AQ366" s="68"/>
      <c r="AR366" s="68"/>
      <c r="AS366" s="68"/>
      <c r="AT366" s="68"/>
      <c r="AU366" s="68"/>
      <c r="AV366" s="68"/>
      <c r="AW366" s="68"/>
      <c r="AX366" s="68"/>
      <c r="AY366" s="68"/>
      <c r="AZ366" s="68"/>
      <c r="BA366" s="69"/>
      <c r="BB366" s="67"/>
      <c r="BC366" s="68"/>
      <c r="BD366" s="68"/>
      <c r="BE366" s="68"/>
      <c r="BF366" s="68"/>
      <c r="BG366" s="68"/>
      <c r="BH366" s="68"/>
      <c r="BI366" s="68"/>
      <c r="BJ366" s="68"/>
      <c r="BK366" s="68"/>
      <c r="BL366" s="68"/>
      <c r="BM366" s="69"/>
      <c r="BN366" s="67"/>
      <c r="BO366" s="68"/>
      <c r="BP366" s="68"/>
      <c r="BQ366" s="68"/>
      <c r="BR366" s="68"/>
      <c r="BS366" s="68"/>
      <c r="BT366" s="68"/>
      <c r="BU366" s="68"/>
      <c r="BV366" s="68"/>
      <c r="BW366" s="68"/>
      <c r="BX366" s="68"/>
      <c r="BY366" s="69"/>
      <c r="BZ366" s="67"/>
      <c r="CA366" s="68"/>
      <c r="CB366" s="68"/>
      <c r="CC366" s="68"/>
      <c r="CD366" s="68"/>
      <c r="CE366" s="68"/>
      <c r="CF366" s="68"/>
      <c r="CG366" s="68"/>
      <c r="CH366" s="68"/>
      <c r="CI366" s="68"/>
      <c r="CJ366" s="68"/>
      <c r="CK366" s="68"/>
      <c r="CL366" s="67"/>
      <c r="CM366" s="68"/>
      <c r="CN366" s="68"/>
      <c r="CO366" s="68"/>
      <c r="CP366" s="68"/>
      <c r="CQ366" s="68"/>
      <c r="CR366" s="68"/>
      <c r="CS366" s="68"/>
      <c r="CT366" s="68"/>
      <c r="CU366" s="68"/>
      <c r="CV366" s="68"/>
      <c r="CW366" s="69"/>
      <c r="CX366" s="107">
        <v>2106.73883841728</v>
      </c>
      <c r="CY366" s="108">
        <v>2106.73883841728</v>
      </c>
      <c r="CZ366" s="108">
        <v>2106.73883841728</v>
      </c>
      <c r="DA366" s="108">
        <v>2106.73883841728</v>
      </c>
      <c r="DB366" s="108">
        <v>2106.73883841728</v>
      </c>
      <c r="DC366" s="108">
        <v>2106.73883841728</v>
      </c>
      <c r="DD366" s="108">
        <v>2106.73883841728</v>
      </c>
      <c r="DE366" s="108">
        <v>2106.73883841728</v>
      </c>
      <c r="DF366" s="108">
        <v>2106.73883841728</v>
      </c>
      <c r="DG366" s="108">
        <v>2106.73883841728</v>
      </c>
      <c r="DH366" s="108">
        <v>2106.73883841728</v>
      </c>
      <c r="DI366" s="109">
        <v>2106.73883841728</v>
      </c>
      <c r="DJ366" s="67">
        <v>0</v>
      </c>
      <c r="DK366" s="68">
        <v>0</v>
      </c>
      <c r="DL366" s="68">
        <v>0</v>
      </c>
      <c r="DM366" s="68">
        <v>0</v>
      </c>
      <c r="DN366" s="68">
        <v>0</v>
      </c>
      <c r="DO366" s="68">
        <v>0</v>
      </c>
      <c r="DP366" s="68">
        <v>0</v>
      </c>
      <c r="DQ366" s="68">
        <v>0</v>
      </c>
      <c r="DR366" s="68">
        <v>0</v>
      </c>
      <c r="DS366" s="68">
        <v>0</v>
      </c>
      <c r="DT366" s="68">
        <v>0</v>
      </c>
      <c r="DU366" s="69">
        <v>0</v>
      </c>
      <c r="DV366" s="83"/>
      <c r="DW366" s="83"/>
      <c r="DX366" s="83"/>
      <c r="DY366" s="83"/>
      <c r="DZ366" s="83"/>
      <c r="EA366" s="83"/>
      <c r="EB366" s="83"/>
      <c r="EC366" s="83"/>
      <c r="ED366" s="83"/>
      <c r="EE366" s="83"/>
      <c r="EF366" s="83"/>
      <c r="EG366" s="83"/>
      <c r="EH366" s="83"/>
      <c r="EI366" s="61"/>
      <c r="EJ366" s="61"/>
      <c r="EK366" s="61"/>
      <c r="EL366" s="61"/>
      <c r="EM366" s="61"/>
      <c r="EN366" s="61"/>
      <c r="EO366" s="61"/>
      <c r="EP366" s="61"/>
      <c r="EQ366" s="61"/>
      <c r="ER366" s="61"/>
      <c r="ES366" s="61"/>
      <c r="FR366" s="63"/>
      <c r="FS366" s="63"/>
      <c r="FT366" s="63"/>
      <c r="FU366" s="63"/>
      <c r="FV366" s="63"/>
      <c r="FW366" s="63"/>
      <c r="FX366" s="63"/>
      <c r="FY366" s="63"/>
      <c r="FZ366" s="63"/>
      <c r="GA366" s="63"/>
      <c r="GB366" s="63"/>
      <c r="GC366" s="63"/>
      <c r="GE366" s="102"/>
    </row>
    <row r="367" spans="1:187">
      <c r="D367" s="59" t="str">
        <f t="shared" si="111"/>
        <v>4326p</v>
      </c>
      <c r="E367" s="60" t="s">
        <v>458</v>
      </c>
      <c r="F367" s="67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9"/>
      <c r="R367" s="67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9"/>
      <c r="AD367" s="67"/>
      <c r="AE367" s="68"/>
      <c r="AF367" s="68"/>
      <c r="AG367" s="68"/>
      <c r="AH367" s="68"/>
      <c r="AI367" s="68"/>
      <c r="AJ367" s="68"/>
      <c r="AK367" s="68"/>
      <c r="AL367" s="68"/>
      <c r="AM367" s="68"/>
      <c r="AN367" s="68"/>
      <c r="AO367" s="69"/>
      <c r="AP367" s="67"/>
      <c r="AQ367" s="68"/>
      <c r="AR367" s="68"/>
      <c r="AS367" s="68"/>
      <c r="AT367" s="68"/>
      <c r="AU367" s="68"/>
      <c r="AV367" s="68"/>
      <c r="AW367" s="68"/>
      <c r="AX367" s="68"/>
      <c r="AY367" s="68"/>
      <c r="AZ367" s="68"/>
      <c r="BA367" s="69"/>
      <c r="BB367" s="67"/>
      <c r="BC367" s="68"/>
      <c r="BD367" s="68"/>
      <c r="BE367" s="68"/>
      <c r="BF367" s="68"/>
      <c r="BG367" s="68"/>
      <c r="BH367" s="68"/>
      <c r="BI367" s="68"/>
      <c r="BJ367" s="68"/>
      <c r="BK367" s="68"/>
      <c r="BL367" s="68"/>
      <c r="BM367" s="69"/>
      <c r="BN367" s="67"/>
      <c r="BO367" s="68"/>
      <c r="BP367" s="68"/>
      <c r="BQ367" s="68"/>
      <c r="BR367" s="68"/>
      <c r="BS367" s="68"/>
      <c r="BT367" s="68"/>
      <c r="BU367" s="68"/>
      <c r="BV367" s="68"/>
      <c r="BW367" s="68"/>
      <c r="BX367" s="68"/>
      <c r="BY367" s="69"/>
      <c r="BZ367" s="67"/>
      <c r="CA367" s="68"/>
      <c r="CB367" s="68"/>
      <c r="CC367" s="68"/>
      <c r="CD367" s="68"/>
      <c r="CE367" s="68"/>
      <c r="CF367" s="68"/>
      <c r="CG367" s="68"/>
      <c r="CH367" s="68"/>
      <c r="CI367" s="68"/>
      <c r="CJ367" s="68"/>
      <c r="CK367" s="68"/>
      <c r="CL367" s="67"/>
      <c r="CM367" s="68"/>
      <c r="CN367" s="68"/>
      <c r="CO367" s="68"/>
      <c r="CP367" s="68"/>
      <c r="CQ367" s="68"/>
      <c r="CR367" s="68"/>
      <c r="CS367" s="68"/>
      <c r="CT367" s="68"/>
      <c r="CU367" s="68"/>
      <c r="CV367" s="68"/>
      <c r="CW367" s="69"/>
      <c r="CX367" s="107">
        <v>28710.355794239698</v>
      </c>
      <c r="CY367" s="108">
        <v>28710.355794239698</v>
      </c>
      <c r="CZ367" s="108">
        <v>28710.355794239698</v>
      </c>
      <c r="DA367" s="108">
        <v>28710.355794239698</v>
      </c>
      <c r="DB367" s="108">
        <v>28710.355794239698</v>
      </c>
      <c r="DC367" s="108">
        <v>28710.355794239698</v>
      </c>
      <c r="DD367" s="108">
        <v>28710.355794239698</v>
      </c>
      <c r="DE367" s="108">
        <v>28710.355794239698</v>
      </c>
      <c r="DF367" s="108">
        <v>28710.355794239698</v>
      </c>
      <c r="DG367" s="108">
        <v>28710.355794239698</v>
      </c>
      <c r="DH367" s="108">
        <v>28710.355794239698</v>
      </c>
      <c r="DI367" s="109">
        <v>28710.355794239698</v>
      </c>
      <c r="DJ367" s="67">
        <v>0</v>
      </c>
      <c r="DK367" s="68">
        <v>0</v>
      </c>
      <c r="DL367" s="68">
        <v>0</v>
      </c>
      <c r="DM367" s="68">
        <v>0</v>
      </c>
      <c r="DN367" s="68">
        <v>0</v>
      </c>
      <c r="DO367" s="68">
        <v>0</v>
      </c>
      <c r="DP367" s="68">
        <v>0</v>
      </c>
      <c r="DQ367" s="68">
        <v>0</v>
      </c>
      <c r="DR367" s="68">
        <v>0</v>
      </c>
      <c r="DS367" s="68">
        <v>0</v>
      </c>
      <c r="DT367" s="68">
        <v>0</v>
      </c>
      <c r="DU367" s="69">
        <v>0</v>
      </c>
      <c r="DV367" s="83"/>
      <c r="DW367" s="83"/>
      <c r="DX367" s="83"/>
      <c r="DY367" s="83"/>
      <c r="DZ367" s="83"/>
      <c r="EA367" s="83"/>
      <c r="EB367" s="83"/>
      <c r="EC367" s="83"/>
      <c r="ED367" s="83"/>
      <c r="EE367" s="83"/>
      <c r="EF367" s="83"/>
      <c r="EG367" s="83"/>
      <c r="EH367" s="83"/>
      <c r="EI367" s="61"/>
      <c r="EJ367" s="61"/>
      <c r="EK367" s="61"/>
      <c r="EL367" s="61"/>
      <c r="EM367" s="61"/>
      <c r="EN367" s="61"/>
      <c r="EO367" s="61"/>
      <c r="EP367" s="61"/>
      <c r="EQ367" s="61"/>
      <c r="ER367" s="61"/>
      <c r="ES367" s="61"/>
      <c r="FR367" s="63"/>
      <c r="FS367" s="63"/>
      <c r="FT367" s="63"/>
      <c r="FU367" s="63"/>
      <c r="FV367" s="63"/>
      <c r="FW367" s="63"/>
      <c r="FX367" s="63"/>
      <c r="FY367" s="63"/>
      <c r="FZ367" s="63"/>
      <c r="GA367" s="63"/>
      <c r="GB367" s="63"/>
      <c r="GC367" s="63"/>
      <c r="GE367" s="102"/>
    </row>
    <row r="368" spans="1:187" s="2" customFormat="1">
      <c r="A368" s="71"/>
      <c r="B368" s="71"/>
      <c r="C368" s="71">
        <v>441</v>
      </c>
      <c r="D368" s="71" t="str">
        <f t="shared" si="111"/>
        <v>44p</v>
      </c>
      <c r="E368" s="113" t="s">
        <v>163</v>
      </c>
      <c r="F368" s="73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5"/>
      <c r="R368" s="73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5"/>
      <c r="AD368" s="73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5"/>
      <c r="AP368" s="73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5"/>
      <c r="BB368" s="73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5"/>
      <c r="BN368" s="73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5"/>
      <c r="BZ368" s="73"/>
      <c r="CA368" s="74"/>
      <c r="CB368" s="74"/>
      <c r="CC368" s="74"/>
      <c r="CD368" s="74"/>
      <c r="CE368" s="74"/>
      <c r="CF368" s="74"/>
      <c r="CG368" s="74"/>
      <c r="CH368" s="74"/>
      <c r="CI368" s="74"/>
      <c r="CJ368" s="74"/>
      <c r="CK368" s="74"/>
      <c r="CL368" s="73"/>
      <c r="CM368" s="74"/>
      <c r="CN368" s="74"/>
      <c r="CO368" s="74"/>
      <c r="CP368" s="74"/>
      <c r="CQ368" s="74"/>
      <c r="CR368" s="74"/>
      <c r="CS368" s="74"/>
      <c r="CT368" s="74"/>
      <c r="CU368" s="74"/>
      <c r="CV368" s="74"/>
      <c r="CW368" s="75"/>
      <c r="CX368" s="110">
        <v>7522541.6666666698</v>
      </c>
      <c r="CY368" s="111">
        <v>7522541.6666666698</v>
      </c>
      <c r="CZ368" s="111">
        <v>7522541.6666666698</v>
      </c>
      <c r="DA368" s="111">
        <v>7522541.6666666698</v>
      </c>
      <c r="DB368" s="111">
        <v>7522541.6666666698</v>
      </c>
      <c r="DC368" s="111">
        <v>7522541.6666666698</v>
      </c>
      <c r="DD368" s="111">
        <v>7522541.6666666698</v>
      </c>
      <c r="DE368" s="111">
        <v>7522541.6666666698</v>
      </c>
      <c r="DF368" s="111">
        <v>7522541.6666666698</v>
      </c>
      <c r="DG368" s="111">
        <v>7522541.6666666698</v>
      </c>
      <c r="DH368" s="111">
        <v>7522541.6666666698</v>
      </c>
      <c r="DI368" s="112">
        <v>7522541.6666666698</v>
      </c>
      <c r="DJ368" s="73">
        <v>23724756.416666701</v>
      </c>
      <c r="DK368" s="74">
        <v>23724756.416666701</v>
      </c>
      <c r="DL368" s="74">
        <v>23724756.416666701</v>
      </c>
      <c r="DM368" s="74">
        <v>23724756.416666701</v>
      </c>
      <c r="DN368" s="74">
        <v>23724756.416666701</v>
      </c>
      <c r="DO368" s="74">
        <v>23724756.416666701</v>
      </c>
      <c r="DP368" s="74">
        <v>23724756.416666701</v>
      </c>
      <c r="DQ368" s="74">
        <v>23724756.416666701</v>
      </c>
      <c r="DR368" s="74">
        <v>23724756.416666701</v>
      </c>
      <c r="DS368" s="74">
        <v>23724756.416666701</v>
      </c>
      <c r="DT368" s="74">
        <v>23724756.416666701</v>
      </c>
      <c r="DU368" s="75">
        <v>23724756.416666701</v>
      </c>
      <c r="DV368" s="97">
        <v>27904816.666666701</v>
      </c>
      <c r="DW368" s="97">
        <v>27904816.666666701</v>
      </c>
      <c r="DX368" s="97">
        <v>27904816.666666701</v>
      </c>
      <c r="DY368" s="97">
        <v>27904816.666666701</v>
      </c>
      <c r="DZ368" s="97">
        <v>27904816.666666701</v>
      </c>
      <c r="EA368" s="97">
        <v>27904816.666666701</v>
      </c>
      <c r="EB368" s="97">
        <v>27904816.666666701</v>
      </c>
      <c r="EC368" s="97">
        <v>27904816.666666701</v>
      </c>
      <c r="ED368" s="97">
        <v>27904816.666666701</v>
      </c>
      <c r="EE368" s="97">
        <v>27904816.666666701</v>
      </c>
      <c r="EF368" s="97">
        <v>27904816.666666701</v>
      </c>
      <c r="EG368" s="97">
        <v>27904816.666666701</v>
      </c>
      <c r="EH368" s="97">
        <v>14153930</v>
      </c>
      <c r="EI368" s="97">
        <v>14153930</v>
      </c>
      <c r="EJ368" s="97">
        <v>14153930</v>
      </c>
      <c r="EK368" s="97">
        <v>14153930</v>
      </c>
      <c r="EL368" s="97">
        <v>14153930</v>
      </c>
      <c r="EM368" s="97">
        <v>14153930</v>
      </c>
      <c r="EN368" s="97">
        <v>33025836.670000002</v>
      </c>
      <c r="EO368" s="97">
        <v>33025836.670000002</v>
      </c>
      <c r="EP368" s="97">
        <v>33025836.670000002</v>
      </c>
      <c r="EQ368" s="97">
        <v>33025836.670000002</v>
      </c>
      <c r="ER368" s="97">
        <v>33025836.670000002</v>
      </c>
      <c r="ES368" s="97">
        <v>33025836.670000002</v>
      </c>
      <c r="ET368" s="106">
        <v>21472083.333333299</v>
      </c>
      <c r="EU368" s="106">
        <v>21472083.333333299</v>
      </c>
      <c r="EV368" s="106">
        <v>21472083.333333299</v>
      </c>
      <c r="EW368" s="106">
        <v>21472083.333333299</v>
      </c>
      <c r="EX368" s="106">
        <v>21472083.333333299</v>
      </c>
      <c r="EY368" s="106">
        <v>21472083.333333299</v>
      </c>
      <c r="EZ368" s="106">
        <v>26990416.666666701</v>
      </c>
      <c r="FA368" s="106">
        <v>26990416.666666701</v>
      </c>
      <c r="FB368" s="106">
        <v>26315416.666666701</v>
      </c>
      <c r="FC368" s="106">
        <v>26315416.666666701</v>
      </c>
      <c r="FD368" s="106">
        <v>26815416.670000002</v>
      </c>
      <c r="FE368" s="106">
        <v>26815416.66</v>
      </c>
      <c r="FF368" s="106">
        <v>26743749.989999998</v>
      </c>
      <c r="FG368" s="106">
        <v>26743749.989999998</v>
      </c>
      <c r="FH368" s="106">
        <v>26743749.989999998</v>
      </c>
      <c r="FI368" s="106">
        <v>26743749.989999998</v>
      </c>
      <c r="FJ368" s="106">
        <v>26743749.989999998</v>
      </c>
      <c r="FK368" s="106">
        <v>26743749.989999998</v>
      </c>
      <c r="FL368" s="106">
        <v>26743749.989999998</v>
      </c>
      <c r="FM368" s="106">
        <v>26743749.989999998</v>
      </c>
      <c r="FN368" s="106">
        <v>26743749.989999998</v>
      </c>
      <c r="FO368" s="106">
        <v>26743749.989999998</v>
      </c>
      <c r="FP368" s="106">
        <v>14243749.99</v>
      </c>
      <c r="FQ368" s="106">
        <v>14243750.109999999</v>
      </c>
      <c r="FR368" s="106">
        <v>4153095.62</v>
      </c>
      <c r="FS368" s="106">
        <v>8919354.2899999991</v>
      </c>
      <c r="FT368" s="106">
        <v>13085415.970000001</v>
      </c>
      <c r="FU368" s="106">
        <v>17943688.25</v>
      </c>
      <c r="FV368" s="106">
        <v>15872563.539999999</v>
      </c>
      <c r="FW368" s="106">
        <v>25000000</v>
      </c>
      <c r="FX368" s="106">
        <v>20000000</v>
      </c>
      <c r="FY368" s="106">
        <v>20000000</v>
      </c>
      <c r="FZ368" s="106">
        <v>20000000</v>
      </c>
      <c r="GA368" s="106">
        <v>17295648.326666702</v>
      </c>
      <c r="GB368" s="106">
        <v>17295648.326666702</v>
      </c>
      <c r="GC368" s="106">
        <v>17295648.326666702</v>
      </c>
      <c r="GE368" s="101">
        <f>SUM(FR368:GC368)</f>
        <v>196861062.65000001</v>
      </c>
    </row>
    <row r="369" spans="1:187" ht="30">
      <c r="D369" s="59" t="str">
        <f t="shared" si="111"/>
        <v>4411p</v>
      </c>
      <c r="E369" s="60" t="s">
        <v>460</v>
      </c>
      <c r="F369" s="67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9"/>
      <c r="R369" s="67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69"/>
      <c r="AD369" s="67"/>
      <c r="AE369" s="68"/>
      <c r="AF369" s="68"/>
      <c r="AG369" s="68"/>
      <c r="AH369" s="68"/>
      <c r="AI369" s="68"/>
      <c r="AJ369" s="68"/>
      <c r="AK369" s="68"/>
      <c r="AL369" s="68"/>
      <c r="AM369" s="68"/>
      <c r="AN369" s="68"/>
      <c r="AO369" s="69"/>
      <c r="AP369" s="67"/>
      <c r="AQ369" s="68"/>
      <c r="AR369" s="68"/>
      <c r="AS369" s="68"/>
      <c r="AT369" s="68"/>
      <c r="AU369" s="68"/>
      <c r="AV369" s="68"/>
      <c r="AW369" s="68"/>
      <c r="AX369" s="68"/>
      <c r="AY369" s="68"/>
      <c r="AZ369" s="68"/>
      <c r="BA369" s="69"/>
      <c r="BB369" s="67"/>
      <c r="BC369" s="68"/>
      <c r="BD369" s="68"/>
      <c r="BE369" s="68"/>
      <c r="BF369" s="68"/>
      <c r="BG369" s="68"/>
      <c r="BH369" s="68"/>
      <c r="BI369" s="68"/>
      <c r="BJ369" s="68"/>
      <c r="BK369" s="68"/>
      <c r="BL369" s="68"/>
      <c r="BM369" s="69"/>
      <c r="BN369" s="67"/>
      <c r="BO369" s="68"/>
      <c r="BP369" s="68"/>
      <c r="BQ369" s="68"/>
      <c r="BR369" s="68"/>
      <c r="BS369" s="68"/>
      <c r="BT369" s="68"/>
      <c r="BU369" s="68"/>
      <c r="BV369" s="68"/>
      <c r="BW369" s="68"/>
      <c r="BX369" s="68"/>
      <c r="BY369" s="69"/>
      <c r="BZ369" s="67"/>
      <c r="CA369" s="68"/>
      <c r="CB369" s="68"/>
      <c r="CC369" s="68"/>
      <c r="CD369" s="68"/>
      <c r="CE369" s="68"/>
      <c r="CF369" s="68"/>
      <c r="CG369" s="68"/>
      <c r="CH369" s="68"/>
      <c r="CI369" s="68"/>
      <c r="CJ369" s="68"/>
      <c r="CK369" s="68"/>
      <c r="CL369" s="67">
        <v>2236700</v>
      </c>
      <c r="CM369" s="68">
        <v>2236700</v>
      </c>
      <c r="CN369" s="68">
        <v>2236700</v>
      </c>
      <c r="CO369" s="68">
        <v>2236700</v>
      </c>
      <c r="CP369" s="68">
        <v>2236700</v>
      </c>
      <c r="CQ369" s="68">
        <v>2236700</v>
      </c>
      <c r="CR369" s="68">
        <v>2236700</v>
      </c>
      <c r="CS369" s="68">
        <v>2236700</v>
      </c>
      <c r="CT369" s="68">
        <v>2236700</v>
      </c>
      <c r="CU369" s="68">
        <v>2236700</v>
      </c>
      <c r="CV369" s="68">
        <v>2236700</v>
      </c>
      <c r="CW369" s="69">
        <v>2236700</v>
      </c>
      <c r="CX369" s="107">
        <v>0</v>
      </c>
      <c r="CY369" s="108">
        <v>0</v>
      </c>
      <c r="CZ369" s="108">
        <v>0</v>
      </c>
      <c r="DA369" s="108">
        <v>0</v>
      </c>
      <c r="DB369" s="108">
        <v>0</v>
      </c>
      <c r="DC369" s="108">
        <v>0</v>
      </c>
      <c r="DD369" s="108">
        <v>0</v>
      </c>
      <c r="DE369" s="108">
        <v>0</v>
      </c>
      <c r="DF369" s="108">
        <v>0</v>
      </c>
      <c r="DG369" s="108">
        <v>0</v>
      </c>
      <c r="DH369" s="108">
        <v>0</v>
      </c>
      <c r="DI369" s="109">
        <v>0</v>
      </c>
      <c r="DJ369" s="67">
        <v>12291.666666666701</v>
      </c>
      <c r="DK369" s="68">
        <v>12291.666666666701</v>
      </c>
      <c r="DL369" s="68">
        <v>12291.666666666701</v>
      </c>
      <c r="DM369" s="68">
        <v>12291.666666666701</v>
      </c>
      <c r="DN369" s="68">
        <v>12291.666666666701</v>
      </c>
      <c r="DO369" s="68">
        <v>12291.666666666701</v>
      </c>
      <c r="DP369" s="68">
        <v>12291.666666666701</v>
      </c>
      <c r="DQ369" s="68">
        <v>12291.666666666701</v>
      </c>
      <c r="DR369" s="68">
        <v>12291.666666666701</v>
      </c>
      <c r="DS369" s="68">
        <v>12291.666666666701</v>
      </c>
      <c r="DT369" s="68">
        <v>12291.666666666701</v>
      </c>
      <c r="DU369" s="69">
        <v>12291.666666666701</v>
      </c>
      <c r="DV369" s="83"/>
      <c r="DW369" s="83"/>
      <c r="DX369" s="83"/>
      <c r="DY369" s="83"/>
      <c r="DZ369" s="83"/>
      <c r="EA369" s="83"/>
      <c r="EB369" s="83"/>
      <c r="EC369" s="83"/>
      <c r="ED369" s="83"/>
      <c r="EE369" s="83"/>
      <c r="EF369" s="83"/>
      <c r="EG369" s="83"/>
      <c r="EH369" s="83"/>
      <c r="EI369" s="61"/>
      <c r="EJ369" s="61"/>
      <c r="EK369" s="61"/>
      <c r="EL369" s="61"/>
      <c r="EM369" s="61"/>
      <c r="EN369" s="61"/>
      <c r="EO369" s="61"/>
      <c r="EP369" s="61"/>
      <c r="EQ369" s="61"/>
      <c r="ER369" s="61"/>
      <c r="ES369" s="61"/>
      <c r="FR369" s="63"/>
      <c r="FS369" s="63"/>
      <c r="FT369" s="63"/>
      <c r="FU369" s="63"/>
      <c r="FV369" s="63"/>
      <c r="FW369" s="63"/>
      <c r="FX369" s="63"/>
      <c r="FY369" s="63"/>
      <c r="FZ369" s="63"/>
      <c r="GA369" s="63"/>
      <c r="GB369" s="63"/>
      <c r="GC369" s="63"/>
      <c r="GE369" s="102"/>
    </row>
    <row r="370" spans="1:187">
      <c r="D370" s="59" t="str">
        <f t="shared" si="111"/>
        <v>4412p</v>
      </c>
      <c r="E370" s="60" t="s">
        <v>461</v>
      </c>
      <c r="F370" s="67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9"/>
      <c r="R370" s="67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69"/>
      <c r="AD370" s="67"/>
      <c r="AE370" s="68"/>
      <c r="AF370" s="68"/>
      <c r="AG370" s="68"/>
      <c r="AH370" s="68"/>
      <c r="AI370" s="68"/>
      <c r="AJ370" s="68"/>
      <c r="AK370" s="68"/>
      <c r="AL370" s="68"/>
      <c r="AM370" s="68"/>
      <c r="AN370" s="68"/>
      <c r="AO370" s="69"/>
      <c r="AP370" s="67"/>
      <c r="AQ370" s="68"/>
      <c r="AR370" s="68"/>
      <c r="AS370" s="68"/>
      <c r="AT370" s="68"/>
      <c r="AU370" s="68"/>
      <c r="AV370" s="68"/>
      <c r="AW370" s="68"/>
      <c r="AX370" s="68"/>
      <c r="AY370" s="68"/>
      <c r="AZ370" s="68"/>
      <c r="BA370" s="69"/>
      <c r="BB370" s="67"/>
      <c r="BC370" s="68"/>
      <c r="BD370" s="68"/>
      <c r="BE370" s="68"/>
      <c r="BF370" s="68"/>
      <c r="BG370" s="68"/>
      <c r="BH370" s="68"/>
      <c r="BI370" s="68"/>
      <c r="BJ370" s="68"/>
      <c r="BK370" s="68"/>
      <c r="BL370" s="68"/>
      <c r="BM370" s="69"/>
      <c r="BN370" s="67"/>
      <c r="BO370" s="68"/>
      <c r="BP370" s="68"/>
      <c r="BQ370" s="68"/>
      <c r="BR370" s="68"/>
      <c r="BS370" s="68"/>
      <c r="BT370" s="68"/>
      <c r="BU370" s="68"/>
      <c r="BV370" s="68"/>
      <c r="BW370" s="68"/>
      <c r="BX370" s="68"/>
      <c r="BY370" s="69"/>
      <c r="BZ370" s="67"/>
      <c r="CA370" s="68"/>
      <c r="CB370" s="68"/>
      <c r="CC370" s="68"/>
      <c r="CD370" s="68"/>
      <c r="CE370" s="68"/>
      <c r="CF370" s="68"/>
      <c r="CG370" s="68"/>
      <c r="CH370" s="68"/>
      <c r="CI370" s="68"/>
      <c r="CJ370" s="68"/>
      <c r="CK370" s="68"/>
      <c r="CL370" s="67">
        <v>594416.66666666698</v>
      </c>
      <c r="CM370" s="68">
        <v>594416.66666666698</v>
      </c>
      <c r="CN370" s="68">
        <v>594416.66666666698</v>
      </c>
      <c r="CO370" s="68">
        <v>594416.66666666698</v>
      </c>
      <c r="CP370" s="68">
        <v>594416.66666666698</v>
      </c>
      <c r="CQ370" s="68">
        <v>594416.66666666698</v>
      </c>
      <c r="CR370" s="68">
        <v>594416.66666666698</v>
      </c>
      <c r="CS370" s="68">
        <v>594416.66666666698</v>
      </c>
      <c r="CT370" s="68">
        <v>594416.66666666698</v>
      </c>
      <c r="CU370" s="68">
        <v>594416.66666666698</v>
      </c>
      <c r="CV370" s="68">
        <v>594416.66666666698</v>
      </c>
      <c r="CW370" s="69">
        <v>594416.66666666698</v>
      </c>
      <c r="CX370" s="107">
        <v>117613.294809164</v>
      </c>
      <c r="CY370" s="108">
        <v>117613.294809164</v>
      </c>
      <c r="CZ370" s="108">
        <v>117613.294809164</v>
      </c>
      <c r="DA370" s="108">
        <v>117613.294809164</v>
      </c>
      <c r="DB370" s="108">
        <v>117613.294809164</v>
      </c>
      <c r="DC370" s="108">
        <v>117613.294809164</v>
      </c>
      <c r="DD370" s="108">
        <v>117613.294809164</v>
      </c>
      <c r="DE370" s="108">
        <v>117613.294809164</v>
      </c>
      <c r="DF370" s="108">
        <v>117613.294809164</v>
      </c>
      <c r="DG370" s="108">
        <v>117613.294809164</v>
      </c>
      <c r="DH370" s="108">
        <v>117613.294809164</v>
      </c>
      <c r="DI370" s="109">
        <v>117613.294809164</v>
      </c>
      <c r="DJ370" s="67">
        <v>107500</v>
      </c>
      <c r="DK370" s="68">
        <v>107500</v>
      </c>
      <c r="DL370" s="68">
        <v>107500</v>
      </c>
      <c r="DM370" s="68">
        <v>107500</v>
      </c>
      <c r="DN370" s="68">
        <v>107500</v>
      </c>
      <c r="DO370" s="68">
        <v>107500</v>
      </c>
      <c r="DP370" s="68">
        <v>107500</v>
      </c>
      <c r="DQ370" s="68">
        <v>107500</v>
      </c>
      <c r="DR370" s="68">
        <v>107500</v>
      </c>
      <c r="DS370" s="68">
        <v>107500</v>
      </c>
      <c r="DT370" s="68">
        <v>107500</v>
      </c>
      <c r="DU370" s="69">
        <v>107500</v>
      </c>
      <c r="DV370" s="83"/>
      <c r="DW370" s="83"/>
      <c r="DX370" s="83"/>
      <c r="DY370" s="83"/>
      <c r="DZ370" s="83"/>
      <c r="EA370" s="83"/>
      <c r="EB370" s="83"/>
      <c r="EC370" s="83"/>
      <c r="ED370" s="83"/>
      <c r="EE370" s="83"/>
      <c r="EF370" s="83"/>
      <c r="EG370" s="83"/>
      <c r="EH370" s="83"/>
      <c r="EI370" s="61"/>
      <c r="EJ370" s="61"/>
      <c r="EK370" s="61"/>
      <c r="EL370" s="61"/>
      <c r="EM370" s="61"/>
      <c r="EN370" s="61"/>
      <c r="EO370" s="61"/>
      <c r="EP370" s="61"/>
      <c r="EQ370" s="61"/>
      <c r="ER370" s="61"/>
      <c r="ES370" s="61"/>
      <c r="FR370" s="63"/>
      <c r="FS370" s="63"/>
      <c r="FT370" s="63"/>
      <c r="FU370" s="63"/>
      <c r="FV370" s="63"/>
      <c r="FW370" s="63"/>
      <c r="FX370" s="63"/>
      <c r="FY370" s="63"/>
      <c r="FZ370" s="63"/>
      <c r="GA370" s="63"/>
      <c r="GB370" s="63"/>
      <c r="GC370" s="63"/>
      <c r="GE370" s="102"/>
    </row>
    <row r="371" spans="1:187">
      <c r="D371" s="59" t="str">
        <f t="shared" si="111"/>
        <v>4413p</v>
      </c>
      <c r="E371" s="60" t="s">
        <v>462</v>
      </c>
      <c r="F371" s="67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9"/>
      <c r="R371" s="67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69"/>
      <c r="AD371" s="67"/>
      <c r="AE371" s="68"/>
      <c r="AF371" s="68"/>
      <c r="AG371" s="68"/>
      <c r="AH371" s="68"/>
      <c r="AI371" s="68"/>
      <c r="AJ371" s="68"/>
      <c r="AK371" s="68"/>
      <c r="AL371" s="68"/>
      <c r="AM371" s="68"/>
      <c r="AN371" s="68"/>
      <c r="AO371" s="69"/>
      <c r="AP371" s="67"/>
      <c r="AQ371" s="68"/>
      <c r="AR371" s="68"/>
      <c r="AS371" s="68"/>
      <c r="AT371" s="68"/>
      <c r="AU371" s="68"/>
      <c r="AV371" s="68"/>
      <c r="AW371" s="68"/>
      <c r="AX371" s="68"/>
      <c r="AY371" s="68"/>
      <c r="AZ371" s="68"/>
      <c r="BA371" s="69"/>
      <c r="BB371" s="67"/>
      <c r="BC371" s="68"/>
      <c r="BD371" s="68"/>
      <c r="BE371" s="68"/>
      <c r="BF371" s="68"/>
      <c r="BG371" s="68"/>
      <c r="BH371" s="68"/>
      <c r="BI371" s="68"/>
      <c r="BJ371" s="68"/>
      <c r="BK371" s="68"/>
      <c r="BL371" s="68"/>
      <c r="BM371" s="69"/>
      <c r="BN371" s="67"/>
      <c r="BO371" s="68"/>
      <c r="BP371" s="68"/>
      <c r="BQ371" s="68"/>
      <c r="BR371" s="68"/>
      <c r="BS371" s="68"/>
      <c r="BT371" s="68"/>
      <c r="BU371" s="68"/>
      <c r="BV371" s="68"/>
      <c r="BW371" s="68"/>
      <c r="BX371" s="68"/>
      <c r="BY371" s="69"/>
      <c r="BZ371" s="67"/>
      <c r="CA371" s="68"/>
      <c r="CB371" s="68"/>
      <c r="CC371" s="68"/>
      <c r="CD371" s="68"/>
      <c r="CE371" s="68"/>
      <c r="CF371" s="68"/>
      <c r="CG371" s="68"/>
      <c r="CH371" s="68"/>
      <c r="CI371" s="68"/>
      <c r="CJ371" s="68"/>
      <c r="CK371" s="68"/>
      <c r="CL371" s="67">
        <v>2233758.3333333302</v>
      </c>
      <c r="CM371" s="68">
        <v>2233758.3333333302</v>
      </c>
      <c r="CN371" s="68">
        <v>2233758.3333333302</v>
      </c>
      <c r="CO371" s="68">
        <v>2233758.3333333302</v>
      </c>
      <c r="CP371" s="68">
        <v>2233758.3333333302</v>
      </c>
      <c r="CQ371" s="68">
        <v>2233758.3333333302</v>
      </c>
      <c r="CR371" s="68">
        <v>2233758.3333333302</v>
      </c>
      <c r="CS371" s="68">
        <v>2233758.3333333302</v>
      </c>
      <c r="CT371" s="68">
        <v>2233758.3333333302</v>
      </c>
      <c r="CU371" s="68">
        <v>2233758.3333333302</v>
      </c>
      <c r="CV371" s="68">
        <v>2233758.3333333302</v>
      </c>
      <c r="CW371" s="69">
        <v>2233758.3333333302</v>
      </c>
      <c r="CX371" s="107">
        <v>79324.214022424203</v>
      </c>
      <c r="CY371" s="108">
        <v>79324.214022424203</v>
      </c>
      <c r="CZ371" s="108">
        <v>79324.214022424203</v>
      </c>
      <c r="DA371" s="108">
        <v>79324.214022424203</v>
      </c>
      <c r="DB371" s="108">
        <v>79324.214022424203</v>
      </c>
      <c r="DC371" s="108">
        <v>79324.214022424203</v>
      </c>
      <c r="DD371" s="108">
        <v>79324.214022424203</v>
      </c>
      <c r="DE371" s="108">
        <v>79324.214022424203</v>
      </c>
      <c r="DF371" s="108">
        <v>79324.214022424203</v>
      </c>
      <c r="DG371" s="108">
        <v>79324.214022424203</v>
      </c>
      <c r="DH371" s="108">
        <v>79324.214022424203</v>
      </c>
      <c r="DI371" s="109">
        <v>79324.214022424203</v>
      </c>
      <c r="DJ371" s="67">
        <v>97158.333333333299</v>
      </c>
      <c r="DK371" s="68">
        <v>97158.333333333299</v>
      </c>
      <c r="DL371" s="68">
        <v>97158.333333333299</v>
      </c>
      <c r="DM371" s="68">
        <v>97158.333333333299</v>
      </c>
      <c r="DN371" s="68">
        <v>97158.333333333299</v>
      </c>
      <c r="DO371" s="68">
        <v>97158.333333333299</v>
      </c>
      <c r="DP371" s="68">
        <v>97158.333333333299</v>
      </c>
      <c r="DQ371" s="68">
        <v>97158.333333333299</v>
      </c>
      <c r="DR371" s="68">
        <v>97158.333333333299</v>
      </c>
      <c r="DS371" s="68">
        <v>97158.333333333299</v>
      </c>
      <c r="DT371" s="68">
        <v>97158.333333333299</v>
      </c>
      <c r="DU371" s="69">
        <v>97158.333333333299</v>
      </c>
      <c r="DV371" s="83"/>
      <c r="DW371" s="83"/>
      <c r="DX371" s="83"/>
      <c r="DY371" s="83"/>
      <c r="DZ371" s="83"/>
      <c r="EA371" s="83"/>
      <c r="EB371" s="83"/>
      <c r="EC371" s="83"/>
      <c r="ED371" s="83"/>
      <c r="EE371" s="83"/>
      <c r="EF371" s="83"/>
      <c r="EG371" s="83"/>
      <c r="EH371" s="83"/>
      <c r="EI371" s="61"/>
      <c r="EJ371" s="61"/>
      <c r="EK371" s="61"/>
      <c r="EL371" s="61"/>
      <c r="EM371" s="61"/>
      <c r="EN371" s="61"/>
      <c r="EO371" s="61"/>
      <c r="EP371" s="61"/>
      <c r="EQ371" s="61"/>
      <c r="ER371" s="61"/>
      <c r="ES371" s="61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E371" s="102"/>
    </row>
    <row r="372" spans="1:187">
      <c r="D372" s="59" t="str">
        <f t="shared" si="111"/>
        <v>4414p</v>
      </c>
      <c r="E372" s="60" t="s">
        <v>463</v>
      </c>
      <c r="F372" s="67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9"/>
      <c r="R372" s="67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69"/>
      <c r="AD372" s="67"/>
      <c r="AE372" s="68"/>
      <c r="AF372" s="68"/>
      <c r="AG372" s="68"/>
      <c r="AH372" s="68"/>
      <c r="AI372" s="68"/>
      <c r="AJ372" s="68"/>
      <c r="AK372" s="68"/>
      <c r="AL372" s="68"/>
      <c r="AM372" s="68"/>
      <c r="AN372" s="68"/>
      <c r="AO372" s="69"/>
      <c r="AP372" s="67"/>
      <c r="AQ372" s="68"/>
      <c r="AR372" s="68"/>
      <c r="AS372" s="68"/>
      <c r="AT372" s="68"/>
      <c r="AU372" s="68"/>
      <c r="AV372" s="68"/>
      <c r="AW372" s="68"/>
      <c r="AX372" s="68"/>
      <c r="AY372" s="68"/>
      <c r="AZ372" s="68"/>
      <c r="BA372" s="69"/>
      <c r="BB372" s="67"/>
      <c r="BC372" s="68"/>
      <c r="BD372" s="68"/>
      <c r="BE372" s="68"/>
      <c r="BF372" s="68"/>
      <c r="BG372" s="68"/>
      <c r="BH372" s="68"/>
      <c r="BI372" s="68"/>
      <c r="BJ372" s="68"/>
      <c r="BK372" s="68"/>
      <c r="BL372" s="68"/>
      <c r="BM372" s="69"/>
      <c r="BN372" s="67"/>
      <c r="BO372" s="68"/>
      <c r="BP372" s="68"/>
      <c r="BQ372" s="68"/>
      <c r="BR372" s="68"/>
      <c r="BS372" s="68"/>
      <c r="BT372" s="68"/>
      <c r="BU372" s="68"/>
      <c r="BV372" s="68"/>
      <c r="BW372" s="68"/>
      <c r="BX372" s="68"/>
      <c r="BY372" s="69"/>
      <c r="BZ372" s="67"/>
      <c r="CA372" s="68"/>
      <c r="CB372" s="68"/>
      <c r="CC372" s="68"/>
      <c r="CD372" s="68"/>
      <c r="CE372" s="68"/>
      <c r="CF372" s="68"/>
      <c r="CG372" s="68"/>
      <c r="CH372" s="68"/>
      <c r="CI372" s="68"/>
      <c r="CJ372" s="68"/>
      <c r="CK372" s="68"/>
      <c r="CL372" s="67">
        <v>54350</v>
      </c>
      <c r="CM372" s="68">
        <v>54350</v>
      </c>
      <c r="CN372" s="68">
        <v>54350</v>
      </c>
      <c r="CO372" s="68">
        <v>54350</v>
      </c>
      <c r="CP372" s="68">
        <v>54350</v>
      </c>
      <c r="CQ372" s="68">
        <v>54350</v>
      </c>
      <c r="CR372" s="68">
        <v>54350</v>
      </c>
      <c r="CS372" s="68">
        <v>54350</v>
      </c>
      <c r="CT372" s="68">
        <v>54350</v>
      </c>
      <c r="CU372" s="68">
        <v>54350</v>
      </c>
      <c r="CV372" s="68">
        <v>54350</v>
      </c>
      <c r="CW372" s="69">
        <v>54350</v>
      </c>
      <c r="CX372" s="107">
        <v>51249.0182337734</v>
      </c>
      <c r="CY372" s="108">
        <v>51249.0182337734</v>
      </c>
      <c r="CZ372" s="108">
        <v>51249.0182337734</v>
      </c>
      <c r="DA372" s="108">
        <v>51249.0182337734</v>
      </c>
      <c r="DB372" s="108">
        <v>51249.0182337734</v>
      </c>
      <c r="DC372" s="108">
        <v>51249.0182337734</v>
      </c>
      <c r="DD372" s="108">
        <v>51249.0182337734</v>
      </c>
      <c r="DE372" s="108">
        <v>51249.0182337734</v>
      </c>
      <c r="DF372" s="108">
        <v>51249.0182337734</v>
      </c>
      <c r="DG372" s="108">
        <v>51249.0182337734</v>
      </c>
      <c r="DH372" s="108">
        <v>51249.0182337734</v>
      </c>
      <c r="DI372" s="109">
        <v>51249.0182337734</v>
      </c>
      <c r="DJ372" s="67">
        <v>52016.666666666701</v>
      </c>
      <c r="DK372" s="68">
        <v>52016.666666666701</v>
      </c>
      <c r="DL372" s="68">
        <v>52016.666666666701</v>
      </c>
      <c r="DM372" s="68">
        <v>52016.666666666701</v>
      </c>
      <c r="DN372" s="68">
        <v>52016.666666666701</v>
      </c>
      <c r="DO372" s="68">
        <v>52016.666666666701</v>
      </c>
      <c r="DP372" s="68">
        <v>52016.666666666701</v>
      </c>
      <c r="DQ372" s="68">
        <v>52016.666666666701</v>
      </c>
      <c r="DR372" s="68">
        <v>52016.666666666701</v>
      </c>
      <c r="DS372" s="68">
        <v>52016.666666666701</v>
      </c>
      <c r="DT372" s="68">
        <v>52016.666666666701</v>
      </c>
      <c r="DU372" s="69">
        <v>52016.666666666701</v>
      </c>
      <c r="DV372" s="83"/>
      <c r="DW372" s="83"/>
      <c r="DX372" s="83"/>
      <c r="DY372" s="83"/>
      <c r="DZ372" s="83"/>
      <c r="EA372" s="83"/>
      <c r="EB372" s="83"/>
      <c r="EC372" s="83"/>
      <c r="ED372" s="83"/>
      <c r="EE372" s="83"/>
      <c r="EF372" s="83"/>
      <c r="EG372" s="83"/>
      <c r="EH372" s="83"/>
      <c r="EI372" s="61"/>
      <c r="EJ372" s="61"/>
      <c r="EK372" s="61"/>
      <c r="EL372" s="61"/>
      <c r="EM372" s="61"/>
      <c r="EN372" s="61"/>
      <c r="EO372" s="61"/>
      <c r="EP372" s="61"/>
      <c r="EQ372" s="61"/>
      <c r="ER372" s="61"/>
      <c r="ES372" s="61"/>
      <c r="FR372" s="63"/>
      <c r="FS372" s="63"/>
      <c r="FT372" s="63"/>
      <c r="FU372" s="63"/>
      <c r="FV372" s="63"/>
      <c r="FW372" s="63"/>
      <c r="FX372" s="63"/>
      <c r="FY372" s="63"/>
      <c r="FZ372" s="63"/>
      <c r="GA372" s="63"/>
      <c r="GB372" s="63"/>
      <c r="GC372" s="63"/>
      <c r="GE372" s="102"/>
    </row>
    <row r="373" spans="1:187">
      <c r="D373" s="59" t="str">
        <f t="shared" si="111"/>
        <v>4415p</v>
      </c>
      <c r="E373" s="60" t="s">
        <v>464</v>
      </c>
      <c r="F373" s="67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9"/>
      <c r="R373" s="67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69"/>
      <c r="AD373" s="67"/>
      <c r="AE373" s="68"/>
      <c r="AF373" s="68"/>
      <c r="AG373" s="68"/>
      <c r="AH373" s="68"/>
      <c r="AI373" s="68"/>
      <c r="AJ373" s="68"/>
      <c r="AK373" s="68"/>
      <c r="AL373" s="68"/>
      <c r="AM373" s="68"/>
      <c r="AN373" s="68"/>
      <c r="AO373" s="69"/>
      <c r="AP373" s="67"/>
      <c r="AQ373" s="68"/>
      <c r="AR373" s="68"/>
      <c r="AS373" s="68"/>
      <c r="AT373" s="68"/>
      <c r="AU373" s="68"/>
      <c r="AV373" s="68"/>
      <c r="AW373" s="68"/>
      <c r="AX373" s="68"/>
      <c r="AY373" s="68"/>
      <c r="AZ373" s="68"/>
      <c r="BA373" s="69"/>
      <c r="BB373" s="67"/>
      <c r="BC373" s="68"/>
      <c r="BD373" s="68"/>
      <c r="BE373" s="68"/>
      <c r="BF373" s="68"/>
      <c r="BG373" s="68"/>
      <c r="BH373" s="68"/>
      <c r="BI373" s="68"/>
      <c r="BJ373" s="68"/>
      <c r="BK373" s="68"/>
      <c r="BL373" s="68"/>
      <c r="BM373" s="69"/>
      <c r="BN373" s="67"/>
      <c r="BO373" s="68"/>
      <c r="BP373" s="68"/>
      <c r="BQ373" s="68"/>
      <c r="BR373" s="68"/>
      <c r="BS373" s="68"/>
      <c r="BT373" s="68"/>
      <c r="BU373" s="68"/>
      <c r="BV373" s="68"/>
      <c r="BW373" s="68"/>
      <c r="BX373" s="68"/>
      <c r="BY373" s="69"/>
      <c r="BZ373" s="67"/>
      <c r="CA373" s="68"/>
      <c r="CB373" s="68"/>
      <c r="CC373" s="68"/>
      <c r="CD373" s="68"/>
      <c r="CE373" s="68"/>
      <c r="CF373" s="68"/>
      <c r="CG373" s="68"/>
      <c r="CH373" s="68"/>
      <c r="CI373" s="68"/>
      <c r="CJ373" s="68"/>
      <c r="CK373" s="68"/>
      <c r="CL373" s="67">
        <v>453751.57083333301</v>
      </c>
      <c r="CM373" s="68">
        <v>453751.57083333301</v>
      </c>
      <c r="CN373" s="68">
        <v>453751.57083333301</v>
      </c>
      <c r="CO373" s="68">
        <v>453751.57083333301</v>
      </c>
      <c r="CP373" s="68">
        <v>453751.57083333301</v>
      </c>
      <c r="CQ373" s="68">
        <v>453751.57083333301</v>
      </c>
      <c r="CR373" s="68">
        <v>453751.57083333301</v>
      </c>
      <c r="CS373" s="68">
        <v>453751.57083333301</v>
      </c>
      <c r="CT373" s="68">
        <v>453751.57083333301</v>
      </c>
      <c r="CU373" s="68">
        <v>453751.57083333301</v>
      </c>
      <c r="CV373" s="68">
        <v>453751.57083333301</v>
      </c>
      <c r="CW373" s="69">
        <v>453751.57083333301</v>
      </c>
      <c r="CX373" s="107">
        <v>499741.32811873301</v>
      </c>
      <c r="CY373" s="108">
        <v>499741.32811873301</v>
      </c>
      <c r="CZ373" s="108">
        <v>499741.32811873301</v>
      </c>
      <c r="DA373" s="108">
        <v>499741.32811873301</v>
      </c>
      <c r="DB373" s="108">
        <v>499741.32811873301</v>
      </c>
      <c r="DC373" s="108">
        <v>499741.32811873301</v>
      </c>
      <c r="DD373" s="108">
        <v>499741.32811873301</v>
      </c>
      <c r="DE373" s="108">
        <v>499741.32811873301</v>
      </c>
      <c r="DF373" s="108">
        <v>499741.32811873301</v>
      </c>
      <c r="DG373" s="108">
        <v>499741.32811873301</v>
      </c>
      <c r="DH373" s="108">
        <v>499741.32811873301</v>
      </c>
      <c r="DI373" s="109">
        <v>499741.32811873301</v>
      </c>
      <c r="DJ373" s="67">
        <v>695586.18500000006</v>
      </c>
      <c r="DK373" s="68">
        <v>695586.18500000006</v>
      </c>
      <c r="DL373" s="68">
        <v>695586.18500000006</v>
      </c>
      <c r="DM373" s="68">
        <v>695586.18500000006</v>
      </c>
      <c r="DN373" s="68">
        <v>695586.18500000006</v>
      </c>
      <c r="DO373" s="68">
        <v>695586.18500000006</v>
      </c>
      <c r="DP373" s="68">
        <v>695586.18500000006</v>
      </c>
      <c r="DQ373" s="68">
        <v>695586.18500000006</v>
      </c>
      <c r="DR373" s="68">
        <v>695586.18500000006</v>
      </c>
      <c r="DS373" s="68">
        <v>695586.18500000006</v>
      </c>
      <c r="DT373" s="68">
        <v>695586.18500000006</v>
      </c>
      <c r="DU373" s="69">
        <v>695586.18500000006</v>
      </c>
      <c r="DV373" s="83"/>
      <c r="DW373" s="83"/>
      <c r="DX373" s="83"/>
      <c r="DY373" s="83"/>
      <c r="DZ373" s="83"/>
      <c r="EA373" s="83"/>
      <c r="EB373" s="83"/>
      <c r="EC373" s="83"/>
      <c r="ED373" s="83"/>
      <c r="EE373" s="83"/>
      <c r="EF373" s="83"/>
      <c r="EG373" s="83"/>
      <c r="EH373" s="83"/>
      <c r="EI373" s="61"/>
      <c r="EJ373" s="61"/>
      <c r="EK373" s="61"/>
      <c r="EL373" s="61"/>
      <c r="EM373" s="61"/>
      <c r="EN373" s="61"/>
      <c r="EO373" s="61"/>
      <c r="EP373" s="61"/>
      <c r="EQ373" s="61"/>
      <c r="ER373" s="61"/>
      <c r="ES373" s="61"/>
      <c r="FR373" s="63"/>
      <c r="FS373" s="63"/>
      <c r="FT373" s="63"/>
      <c r="FU373" s="63"/>
      <c r="FV373" s="63"/>
      <c r="FW373" s="63"/>
      <c r="FX373" s="63"/>
      <c r="FY373" s="63"/>
      <c r="FZ373" s="63"/>
      <c r="GA373" s="63"/>
      <c r="GB373" s="63"/>
      <c r="GC373" s="63"/>
      <c r="GE373" s="102"/>
    </row>
    <row r="374" spans="1:187">
      <c r="D374" s="59" t="str">
        <f t="shared" si="111"/>
        <v>4416p</v>
      </c>
      <c r="E374" s="60" t="s">
        <v>465</v>
      </c>
      <c r="F374" s="67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9"/>
      <c r="R374" s="67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9"/>
      <c r="AD374" s="67"/>
      <c r="AE374" s="68"/>
      <c r="AF374" s="68"/>
      <c r="AG374" s="68"/>
      <c r="AH374" s="68"/>
      <c r="AI374" s="68"/>
      <c r="AJ374" s="68"/>
      <c r="AK374" s="68"/>
      <c r="AL374" s="68"/>
      <c r="AM374" s="68"/>
      <c r="AN374" s="68"/>
      <c r="AO374" s="69"/>
      <c r="AP374" s="67"/>
      <c r="AQ374" s="68"/>
      <c r="AR374" s="68"/>
      <c r="AS374" s="68"/>
      <c r="AT374" s="68"/>
      <c r="AU374" s="68"/>
      <c r="AV374" s="68"/>
      <c r="AW374" s="68"/>
      <c r="AX374" s="68"/>
      <c r="AY374" s="68"/>
      <c r="AZ374" s="68"/>
      <c r="BA374" s="69"/>
      <c r="BB374" s="67"/>
      <c r="BC374" s="68"/>
      <c r="BD374" s="68"/>
      <c r="BE374" s="68"/>
      <c r="BF374" s="68"/>
      <c r="BG374" s="68"/>
      <c r="BH374" s="68"/>
      <c r="BI374" s="68"/>
      <c r="BJ374" s="68"/>
      <c r="BK374" s="68"/>
      <c r="BL374" s="68"/>
      <c r="BM374" s="69"/>
      <c r="BN374" s="67"/>
      <c r="BO374" s="68"/>
      <c r="BP374" s="68"/>
      <c r="BQ374" s="68"/>
      <c r="BR374" s="68"/>
      <c r="BS374" s="68"/>
      <c r="BT374" s="68"/>
      <c r="BU374" s="68"/>
      <c r="BV374" s="68"/>
      <c r="BW374" s="68"/>
      <c r="BX374" s="68"/>
      <c r="BY374" s="69"/>
      <c r="BZ374" s="67"/>
      <c r="CA374" s="68"/>
      <c r="CB374" s="68"/>
      <c r="CC374" s="68"/>
      <c r="CD374" s="68"/>
      <c r="CE374" s="68"/>
      <c r="CF374" s="68"/>
      <c r="CG374" s="68"/>
      <c r="CH374" s="68"/>
      <c r="CI374" s="68"/>
      <c r="CJ374" s="68"/>
      <c r="CK374" s="68"/>
      <c r="CL374" s="67">
        <v>83094.083333333299</v>
      </c>
      <c r="CM374" s="68">
        <v>83094.083333333299</v>
      </c>
      <c r="CN374" s="68">
        <v>83094.083333333299</v>
      </c>
      <c r="CO374" s="68">
        <v>83094.083333333299</v>
      </c>
      <c r="CP374" s="68">
        <v>83094.083333333299</v>
      </c>
      <c r="CQ374" s="68">
        <v>83094.083333333299</v>
      </c>
      <c r="CR374" s="68">
        <v>83094.083333333299</v>
      </c>
      <c r="CS374" s="68">
        <v>83094.083333333299</v>
      </c>
      <c r="CT374" s="68">
        <v>83094.083333333299</v>
      </c>
      <c r="CU374" s="68">
        <v>83094.083333333299</v>
      </c>
      <c r="CV374" s="68">
        <v>83094.083333333299</v>
      </c>
      <c r="CW374" s="69">
        <v>83094.083333333299</v>
      </c>
      <c r="CX374" s="107">
        <v>102086.893230303</v>
      </c>
      <c r="CY374" s="108">
        <v>102086.893230303</v>
      </c>
      <c r="CZ374" s="108">
        <v>102086.893230303</v>
      </c>
      <c r="DA374" s="108">
        <v>102086.893230303</v>
      </c>
      <c r="DB374" s="108">
        <v>102086.893230303</v>
      </c>
      <c r="DC374" s="108">
        <v>102086.893230303</v>
      </c>
      <c r="DD374" s="108">
        <v>102086.893230303</v>
      </c>
      <c r="DE374" s="108">
        <v>102086.893230303</v>
      </c>
      <c r="DF374" s="108">
        <v>102086.893230303</v>
      </c>
      <c r="DG374" s="108">
        <v>102086.893230303</v>
      </c>
      <c r="DH374" s="108">
        <v>102086.893230303</v>
      </c>
      <c r="DI374" s="109">
        <v>102086.893230303</v>
      </c>
      <c r="DJ374" s="67">
        <v>174020.249166667</v>
      </c>
      <c r="DK374" s="68">
        <v>174020.249166667</v>
      </c>
      <c r="DL374" s="68">
        <v>174020.249166667</v>
      </c>
      <c r="DM374" s="68">
        <v>174020.249166667</v>
      </c>
      <c r="DN374" s="68">
        <v>174020.249166667</v>
      </c>
      <c r="DO374" s="68">
        <v>174020.249166667</v>
      </c>
      <c r="DP374" s="68">
        <v>174020.249166667</v>
      </c>
      <c r="DQ374" s="68">
        <v>174020.249166667</v>
      </c>
      <c r="DR374" s="68">
        <v>174020.249166667</v>
      </c>
      <c r="DS374" s="68">
        <v>174020.249166667</v>
      </c>
      <c r="DT374" s="68">
        <v>174020.249166667</v>
      </c>
      <c r="DU374" s="69">
        <v>174020.249166667</v>
      </c>
      <c r="DV374" s="83"/>
      <c r="DW374" s="83"/>
      <c r="DX374" s="83"/>
      <c r="DY374" s="83"/>
      <c r="DZ374" s="83"/>
      <c r="EA374" s="83"/>
      <c r="EB374" s="83"/>
      <c r="EC374" s="83"/>
      <c r="ED374" s="83"/>
      <c r="EE374" s="83"/>
      <c r="EF374" s="83"/>
      <c r="EG374" s="83"/>
      <c r="EH374" s="83"/>
      <c r="EI374" s="61"/>
      <c r="EJ374" s="61"/>
      <c r="EK374" s="61"/>
      <c r="EL374" s="61"/>
      <c r="EM374" s="61"/>
      <c r="EN374" s="61"/>
      <c r="EO374" s="61"/>
      <c r="EP374" s="61"/>
      <c r="EQ374" s="61"/>
      <c r="ER374" s="61"/>
      <c r="ES374" s="61"/>
      <c r="FR374" s="63"/>
      <c r="FS374" s="63"/>
      <c r="FT374" s="63"/>
      <c r="FU374" s="63"/>
      <c r="FV374" s="63"/>
      <c r="FW374" s="63"/>
      <c r="FX374" s="63"/>
      <c r="FY374" s="63"/>
      <c r="FZ374" s="63"/>
      <c r="GA374" s="63"/>
      <c r="GB374" s="63"/>
      <c r="GC374" s="63"/>
      <c r="GE374" s="102"/>
    </row>
    <row r="375" spans="1:187">
      <c r="D375" s="59" t="str">
        <f t="shared" si="111"/>
        <v>4417p</v>
      </c>
      <c r="E375" s="60" t="s">
        <v>466</v>
      </c>
      <c r="F375" s="67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9"/>
      <c r="R375" s="67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69"/>
      <c r="AD375" s="67"/>
      <c r="AE375" s="68"/>
      <c r="AF375" s="68"/>
      <c r="AG375" s="68"/>
      <c r="AH375" s="68"/>
      <c r="AI375" s="68"/>
      <c r="AJ375" s="68"/>
      <c r="AK375" s="68"/>
      <c r="AL375" s="68"/>
      <c r="AM375" s="68"/>
      <c r="AN375" s="68"/>
      <c r="AO375" s="69"/>
      <c r="AP375" s="67"/>
      <c r="AQ375" s="68"/>
      <c r="AR375" s="68"/>
      <c r="AS375" s="68"/>
      <c r="AT375" s="68"/>
      <c r="AU375" s="68"/>
      <c r="AV375" s="68"/>
      <c r="AW375" s="68"/>
      <c r="AX375" s="68"/>
      <c r="AY375" s="68"/>
      <c r="AZ375" s="68"/>
      <c r="BA375" s="69"/>
      <c r="BB375" s="67"/>
      <c r="BC375" s="68"/>
      <c r="BD375" s="68"/>
      <c r="BE375" s="68"/>
      <c r="BF375" s="68"/>
      <c r="BG375" s="68"/>
      <c r="BH375" s="68"/>
      <c r="BI375" s="68"/>
      <c r="BJ375" s="68"/>
      <c r="BK375" s="68"/>
      <c r="BL375" s="68"/>
      <c r="BM375" s="69"/>
      <c r="BN375" s="67"/>
      <c r="BO375" s="68"/>
      <c r="BP375" s="68"/>
      <c r="BQ375" s="68"/>
      <c r="BR375" s="68"/>
      <c r="BS375" s="68"/>
      <c r="BT375" s="68"/>
      <c r="BU375" s="68"/>
      <c r="BV375" s="68"/>
      <c r="BW375" s="68"/>
      <c r="BX375" s="68"/>
      <c r="BY375" s="69"/>
      <c r="BZ375" s="67"/>
      <c r="CA375" s="68"/>
      <c r="CB375" s="68"/>
      <c r="CC375" s="68"/>
      <c r="CD375" s="68"/>
      <c r="CE375" s="68"/>
      <c r="CF375" s="68"/>
      <c r="CG375" s="68"/>
      <c r="CH375" s="68"/>
      <c r="CI375" s="68"/>
      <c r="CJ375" s="68"/>
      <c r="CK375" s="68"/>
      <c r="CL375" s="67">
        <v>8333.3333333333303</v>
      </c>
      <c r="CM375" s="68">
        <v>8333.3333333333303</v>
      </c>
      <c r="CN375" s="68">
        <v>8333.3333333333303</v>
      </c>
      <c r="CO375" s="68">
        <v>8333.3333333333303</v>
      </c>
      <c r="CP375" s="68">
        <v>8333.3333333333303</v>
      </c>
      <c r="CQ375" s="68">
        <v>8333.3333333333303</v>
      </c>
      <c r="CR375" s="68">
        <v>8333.3333333333303</v>
      </c>
      <c r="CS375" s="68">
        <v>8333.3333333333303</v>
      </c>
      <c r="CT375" s="68">
        <v>8333.3333333333303</v>
      </c>
      <c r="CU375" s="68">
        <v>8333.3333333333303</v>
      </c>
      <c r="CV375" s="68">
        <v>8333.3333333333303</v>
      </c>
      <c r="CW375" s="69">
        <v>8333.3333333333303</v>
      </c>
      <c r="CX375" s="107">
        <v>12315.528252268499</v>
      </c>
      <c r="CY375" s="108">
        <v>12315.528252268499</v>
      </c>
      <c r="CZ375" s="108">
        <v>12315.528252268499</v>
      </c>
      <c r="DA375" s="108">
        <v>12315.528252268499</v>
      </c>
      <c r="DB375" s="108">
        <v>12315.528252268499</v>
      </c>
      <c r="DC375" s="108">
        <v>12315.528252268499</v>
      </c>
      <c r="DD375" s="108">
        <v>12315.528252268499</v>
      </c>
      <c r="DE375" s="108">
        <v>12315.528252268499</v>
      </c>
      <c r="DF375" s="108">
        <v>12315.528252268499</v>
      </c>
      <c r="DG375" s="108">
        <v>12315.528252268499</v>
      </c>
      <c r="DH375" s="108">
        <v>12315.528252268499</v>
      </c>
      <c r="DI375" s="109">
        <v>12315.528252268499</v>
      </c>
      <c r="DJ375" s="67">
        <v>15583.333333333299</v>
      </c>
      <c r="DK375" s="68">
        <v>15583.333333333299</v>
      </c>
      <c r="DL375" s="68">
        <v>15583.333333333299</v>
      </c>
      <c r="DM375" s="68">
        <v>15583.333333333299</v>
      </c>
      <c r="DN375" s="68">
        <v>15583.333333333299</v>
      </c>
      <c r="DO375" s="68">
        <v>15583.333333333299</v>
      </c>
      <c r="DP375" s="68">
        <v>15583.333333333299</v>
      </c>
      <c r="DQ375" s="68">
        <v>15583.333333333299</v>
      </c>
      <c r="DR375" s="68">
        <v>15583.333333333299</v>
      </c>
      <c r="DS375" s="68">
        <v>15583.333333333299</v>
      </c>
      <c r="DT375" s="68">
        <v>15583.333333333299</v>
      </c>
      <c r="DU375" s="69">
        <v>15583.333333333299</v>
      </c>
      <c r="DV375" s="83"/>
      <c r="DW375" s="83"/>
      <c r="DX375" s="83"/>
      <c r="DY375" s="83"/>
      <c r="DZ375" s="83"/>
      <c r="EA375" s="83"/>
      <c r="EB375" s="83"/>
      <c r="EC375" s="83"/>
      <c r="ED375" s="83"/>
      <c r="EE375" s="83"/>
      <c r="EF375" s="83"/>
      <c r="EG375" s="83"/>
      <c r="EH375" s="83"/>
      <c r="EI375" s="61"/>
      <c r="EJ375" s="61"/>
      <c r="EK375" s="61"/>
      <c r="EL375" s="61"/>
      <c r="EM375" s="61"/>
      <c r="EN375" s="61"/>
      <c r="EO375" s="61"/>
      <c r="EP375" s="61"/>
      <c r="EQ375" s="61"/>
      <c r="ER375" s="61"/>
      <c r="ES375" s="61"/>
      <c r="FR375" s="63"/>
      <c r="FS375" s="63"/>
      <c r="FT375" s="63"/>
      <c r="FU375" s="63"/>
      <c r="FV375" s="63"/>
      <c r="FW375" s="63"/>
      <c r="FX375" s="63"/>
      <c r="FY375" s="63"/>
      <c r="FZ375" s="63"/>
      <c r="GA375" s="63"/>
      <c r="GB375" s="63"/>
      <c r="GC375" s="63"/>
      <c r="GE375" s="102"/>
    </row>
    <row r="376" spans="1:187" ht="30">
      <c r="D376" s="59" t="str">
        <f t="shared" si="111"/>
        <v>4418p</v>
      </c>
      <c r="E376" s="60" t="s">
        <v>173</v>
      </c>
      <c r="F376" s="67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9"/>
      <c r="R376" s="67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69"/>
      <c r="AD376" s="67"/>
      <c r="AE376" s="68"/>
      <c r="AF376" s="68"/>
      <c r="AG376" s="68"/>
      <c r="AH376" s="68"/>
      <c r="AI376" s="68"/>
      <c r="AJ376" s="68"/>
      <c r="AK376" s="68"/>
      <c r="AL376" s="68"/>
      <c r="AM376" s="68"/>
      <c r="AN376" s="68"/>
      <c r="AO376" s="69"/>
      <c r="AP376" s="67"/>
      <c r="AQ376" s="68"/>
      <c r="AR376" s="68"/>
      <c r="AS376" s="68"/>
      <c r="AT376" s="68"/>
      <c r="AU376" s="68"/>
      <c r="AV376" s="68"/>
      <c r="AW376" s="68"/>
      <c r="AX376" s="68"/>
      <c r="AY376" s="68"/>
      <c r="AZ376" s="68"/>
      <c r="BA376" s="69"/>
      <c r="BB376" s="67"/>
      <c r="BC376" s="68"/>
      <c r="BD376" s="68"/>
      <c r="BE376" s="68"/>
      <c r="BF376" s="68"/>
      <c r="BG376" s="68"/>
      <c r="BH376" s="68"/>
      <c r="BI376" s="68"/>
      <c r="BJ376" s="68"/>
      <c r="BK376" s="68"/>
      <c r="BL376" s="68"/>
      <c r="BM376" s="69"/>
      <c r="BN376" s="67"/>
      <c r="BO376" s="68"/>
      <c r="BP376" s="68"/>
      <c r="BQ376" s="68"/>
      <c r="BR376" s="68"/>
      <c r="BS376" s="68"/>
      <c r="BT376" s="68"/>
      <c r="BU376" s="68"/>
      <c r="BV376" s="68"/>
      <c r="BW376" s="68"/>
      <c r="BX376" s="68"/>
      <c r="BY376" s="69"/>
      <c r="BZ376" s="67"/>
      <c r="CA376" s="68"/>
      <c r="CB376" s="68"/>
      <c r="CC376" s="68"/>
      <c r="CD376" s="68"/>
      <c r="CE376" s="68"/>
      <c r="CF376" s="68"/>
      <c r="CG376" s="68"/>
      <c r="CH376" s="68"/>
      <c r="CI376" s="68"/>
      <c r="CJ376" s="68"/>
      <c r="CK376" s="68"/>
      <c r="CL376" s="67"/>
      <c r="CM376" s="68"/>
      <c r="CN376" s="68"/>
      <c r="CO376" s="68"/>
      <c r="CP376" s="68"/>
      <c r="CQ376" s="68"/>
      <c r="CR376" s="68"/>
      <c r="CS376" s="68"/>
      <c r="CT376" s="68"/>
      <c r="CU376" s="68"/>
      <c r="CV376" s="68"/>
      <c r="CW376" s="69"/>
      <c r="CX376" s="107">
        <v>0</v>
      </c>
      <c r="CY376" s="108">
        <v>0</v>
      </c>
      <c r="CZ376" s="108">
        <v>0</v>
      </c>
      <c r="DA376" s="108">
        <v>0</v>
      </c>
      <c r="DB376" s="108">
        <v>0</v>
      </c>
      <c r="DC376" s="108">
        <v>0</v>
      </c>
      <c r="DD376" s="108">
        <v>0</v>
      </c>
      <c r="DE376" s="108">
        <v>0</v>
      </c>
      <c r="DF376" s="108">
        <v>0</v>
      </c>
      <c r="DG376" s="108">
        <v>0</v>
      </c>
      <c r="DH376" s="108">
        <v>0</v>
      </c>
      <c r="DI376" s="109">
        <v>0</v>
      </c>
      <c r="DJ376" s="67">
        <v>0</v>
      </c>
      <c r="DK376" s="68">
        <v>0</v>
      </c>
      <c r="DL376" s="68">
        <v>0</v>
      </c>
      <c r="DM376" s="68">
        <v>0</v>
      </c>
      <c r="DN376" s="68">
        <v>0</v>
      </c>
      <c r="DO376" s="68">
        <v>0</v>
      </c>
      <c r="DP376" s="68">
        <v>0</v>
      </c>
      <c r="DQ376" s="68">
        <v>0</v>
      </c>
      <c r="DR376" s="68">
        <v>0</v>
      </c>
      <c r="DS376" s="68">
        <v>0</v>
      </c>
      <c r="DT376" s="68">
        <v>0</v>
      </c>
      <c r="DU376" s="69">
        <v>0</v>
      </c>
      <c r="DV376" s="83"/>
      <c r="DW376" s="83"/>
      <c r="DX376" s="83"/>
      <c r="DY376" s="83"/>
      <c r="DZ376" s="83"/>
      <c r="EA376" s="83"/>
      <c r="EB376" s="83"/>
      <c r="EC376" s="83"/>
      <c r="ED376" s="83"/>
      <c r="EE376" s="83"/>
      <c r="EF376" s="83"/>
      <c r="EG376" s="83"/>
      <c r="EH376" s="83"/>
      <c r="EI376" s="61"/>
      <c r="EJ376" s="61"/>
      <c r="EK376" s="61"/>
      <c r="EL376" s="61"/>
      <c r="EM376" s="61"/>
      <c r="EN376" s="61"/>
      <c r="EO376" s="61"/>
      <c r="EP376" s="61"/>
      <c r="EQ376" s="61"/>
      <c r="ER376" s="61"/>
      <c r="ES376" s="61"/>
      <c r="EX376" s="106">
        <v>70000000</v>
      </c>
      <c r="FF376" s="114">
        <v>26666.67</v>
      </c>
      <c r="FG376" s="114">
        <v>26666.67</v>
      </c>
      <c r="FH376" s="114">
        <v>26666.67</v>
      </c>
      <c r="FI376" s="114">
        <v>39926666.670000002</v>
      </c>
      <c r="FJ376" s="114">
        <v>26666.67</v>
      </c>
      <c r="FK376" s="114">
        <v>26666.67</v>
      </c>
      <c r="FL376" s="114">
        <v>26666.67</v>
      </c>
      <c r="FM376" s="114">
        <v>26666.67</v>
      </c>
      <c r="FN376" s="114">
        <v>26666.67</v>
      </c>
      <c r="FO376" s="114">
        <v>26666.67</v>
      </c>
      <c r="FP376" s="114">
        <v>26666.67</v>
      </c>
      <c r="FQ376" s="114">
        <v>26666.63</v>
      </c>
      <c r="FR376" s="63">
        <v>0</v>
      </c>
      <c r="FS376" s="63">
        <v>0</v>
      </c>
      <c r="FT376" s="63">
        <v>0</v>
      </c>
      <c r="FU376" s="63">
        <v>0</v>
      </c>
      <c r="FV376" s="63">
        <v>0</v>
      </c>
      <c r="FW376" s="63">
        <v>0</v>
      </c>
      <c r="FX376" s="63">
        <v>335000</v>
      </c>
      <c r="FY376" s="63">
        <v>335000</v>
      </c>
      <c r="FZ376" s="63">
        <v>335000</v>
      </c>
      <c r="GA376" s="63">
        <v>335000</v>
      </c>
      <c r="GB376" s="63">
        <v>335000</v>
      </c>
      <c r="GC376" s="63">
        <v>335000</v>
      </c>
      <c r="GE376" s="102">
        <f>SUM(FR376:GD376)</f>
        <v>2010000</v>
      </c>
    </row>
    <row r="377" spans="1:187">
      <c r="D377" s="59" t="str">
        <f t="shared" si="111"/>
        <v>4419p</v>
      </c>
      <c r="E377" s="60" t="s">
        <v>467</v>
      </c>
      <c r="F377" s="67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9"/>
      <c r="R377" s="67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69"/>
      <c r="AD377" s="67"/>
      <c r="AE377" s="68"/>
      <c r="AF377" s="68"/>
      <c r="AG377" s="68"/>
      <c r="AH377" s="68"/>
      <c r="AI377" s="68"/>
      <c r="AJ377" s="68"/>
      <c r="AK377" s="68"/>
      <c r="AL377" s="68"/>
      <c r="AM377" s="68"/>
      <c r="AN377" s="68"/>
      <c r="AO377" s="69"/>
      <c r="AP377" s="67"/>
      <c r="AQ377" s="68"/>
      <c r="AR377" s="68"/>
      <c r="AS377" s="68"/>
      <c r="AT377" s="68"/>
      <c r="AU377" s="68"/>
      <c r="AV377" s="68"/>
      <c r="AW377" s="68"/>
      <c r="AX377" s="68"/>
      <c r="AY377" s="68"/>
      <c r="AZ377" s="68"/>
      <c r="BA377" s="69"/>
      <c r="BB377" s="67"/>
      <c r="BC377" s="68"/>
      <c r="BD377" s="68"/>
      <c r="BE377" s="68"/>
      <c r="BF377" s="68"/>
      <c r="BG377" s="68"/>
      <c r="BH377" s="68"/>
      <c r="BI377" s="68"/>
      <c r="BJ377" s="68"/>
      <c r="BK377" s="68"/>
      <c r="BL377" s="68"/>
      <c r="BM377" s="69"/>
      <c r="BN377" s="67"/>
      <c r="BO377" s="68"/>
      <c r="BP377" s="68"/>
      <c r="BQ377" s="68"/>
      <c r="BR377" s="68"/>
      <c r="BS377" s="68"/>
      <c r="BT377" s="68"/>
      <c r="BU377" s="68"/>
      <c r="BV377" s="68"/>
      <c r="BW377" s="68"/>
      <c r="BX377" s="68"/>
      <c r="BY377" s="69"/>
      <c r="BZ377" s="67"/>
      <c r="CA377" s="68"/>
      <c r="CB377" s="68"/>
      <c r="CC377" s="68"/>
      <c r="CD377" s="68"/>
      <c r="CE377" s="68"/>
      <c r="CF377" s="68"/>
      <c r="CG377" s="68"/>
      <c r="CH377" s="68"/>
      <c r="CI377" s="68"/>
      <c r="CJ377" s="68"/>
      <c r="CK377" s="68"/>
      <c r="CL377" s="67"/>
      <c r="CM377" s="68"/>
      <c r="CN377" s="68"/>
      <c r="CO377" s="68"/>
      <c r="CP377" s="68"/>
      <c r="CQ377" s="68"/>
      <c r="CR377" s="68"/>
      <c r="CS377" s="68"/>
      <c r="CT377" s="68"/>
      <c r="CU377" s="68"/>
      <c r="CV377" s="68"/>
      <c r="CW377" s="69"/>
      <c r="CX377" s="107">
        <v>0</v>
      </c>
      <c r="CY377" s="108">
        <v>0</v>
      </c>
      <c r="CZ377" s="108">
        <v>0</v>
      </c>
      <c r="DA377" s="108">
        <v>0</v>
      </c>
      <c r="DB377" s="108">
        <v>0</v>
      </c>
      <c r="DC377" s="108">
        <v>0</v>
      </c>
      <c r="DD377" s="108">
        <v>0</v>
      </c>
      <c r="DE377" s="108">
        <v>0</v>
      </c>
      <c r="DF377" s="108">
        <v>0</v>
      </c>
      <c r="DG377" s="108">
        <v>0</v>
      </c>
      <c r="DH377" s="108">
        <v>0</v>
      </c>
      <c r="DI377" s="109">
        <v>0</v>
      </c>
      <c r="DJ377" s="67"/>
      <c r="DK377" s="68"/>
      <c r="DL377" s="68"/>
      <c r="DM377" s="68"/>
      <c r="DN377" s="68"/>
      <c r="DO377" s="68"/>
      <c r="DP377" s="68"/>
      <c r="DQ377" s="68"/>
      <c r="DR377" s="68"/>
      <c r="DS377" s="68"/>
      <c r="DT377" s="68"/>
      <c r="DU377" s="69"/>
      <c r="DV377" s="83"/>
      <c r="DW377" s="83"/>
      <c r="DX377" s="83"/>
      <c r="DY377" s="83"/>
      <c r="DZ377" s="83"/>
      <c r="EA377" s="83"/>
      <c r="EB377" s="83"/>
      <c r="EC377" s="83"/>
      <c r="ED377" s="83"/>
      <c r="EE377" s="83"/>
      <c r="EF377" s="83"/>
      <c r="EG377" s="83"/>
      <c r="EH377" s="83"/>
      <c r="EI377" s="61"/>
      <c r="EJ377" s="61"/>
      <c r="EK377" s="61"/>
      <c r="EL377" s="61"/>
      <c r="EM377" s="61"/>
      <c r="EN377" s="61"/>
      <c r="EO377" s="61"/>
      <c r="EP377" s="61"/>
      <c r="EQ377" s="61"/>
      <c r="ER377" s="61"/>
      <c r="ES377" s="61"/>
      <c r="FR377" s="63"/>
      <c r="FS377" s="63"/>
      <c r="FT377" s="63"/>
      <c r="FU377" s="63"/>
      <c r="FV377" s="63"/>
      <c r="FW377" s="63"/>
      <c r="FX377" s="63"/>
      <c r="FY377" s="63"/>
      <c r="FZ377" s="63"/>
      <c r="GA377" s="63"/>
      <c r="GB377" s="63"/>
      <c r="GC377" s="63"/>
      <c r="GE377" s="102"/>
    </row>
    <row r="378" spans="1:187" s="2" customFormat="1">
      <c r="A378" s="71" t="s">
        <v>6</v>
      </c>
      <c r="B378" s="71">
        <v>45</v>
      </c>
      <c r="C378" s="71"/>
      <c r="D378" s="71" t="str">
        <f t="shared" si="111"/>
        <v>p</v>
      </c>
      <c r="E378" s="72" t="s">
        <v>468</v>
      </c>
      <c r="F378" s="73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5"/>
      <c r="R378" s="73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5"/>
      <c r="AD378" s="73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5"/>
      <c r="AP378" s="73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5"/>
      <c r="BB378" s="73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5"/>
      <c r="BN378" s="73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5"/>
      <c r="BZ378" s="73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3">
        <f>+CL379</f>
        <v>143333.33333333299</v>
      </c>
      <c r="CM378" s="74">
        <f t="shared" ref="CM378:DJ378" si="112">+CM379</f>
        <v>143333.33333333299</v>
      </c>
      <c r="CN378" s="74">
        <f t="shared" si="112"/>
        <v>143333.33333333299</v>
      </c>
      <c r="CO378" s="74">
        <f t="shared" si="112"/>
        <v>143333.33333333299</v>
      </c>
      <c r="CP378" s="74">
        <f t="shared" si="112"/>
        <v>143333.33333333299</v>
      </c>
      <c r="CQ378" s="74">
        <f t="shared" si="112"/>
        <v>143333.33333333299</v>
      </c>
      <c r="CR378" s="74">
        <f t="shared" si="112"/>
        <v>143333.33333333299</v>
      </c>
      <c r="CS378" s="74">
        <f t="shared" si="112"/>
        <v>143333.33333333299</v>
      </c>
      <c r="CT378" s="74">
        <f t="shared" si="112"/>
        <v>143333.33333333299</v>
      </c>
      <c r="CU378" s="74">
        <f t="shared" si="112"/>
        <v>143333.33333333299</v>
      </c>
      <c r="CV378" s="74">
        <f t="shared" si="112"/>
        <v>143333.33333333299</v>
      </c>
      <c r="CW378" s="75">
        <f t="shared" si="112"/>
        <v>143333.33333333299</v>
      </c>
      <c r="CX378" s="110">
        <f t="shared" si="112"/>
        <v>178333.33333333299</v>
      </c>
      <c r="CY378" s="111">
        <f t="shared" si="112"/>
        <v>178333.33333333299</v>
      </c>
      <c r="CZ378" s="111">
        <f t="shared" si="112"/>
        <v>178333.33333333299</v>
      </c>
      <c r="DA378" s="111">
        <f t="shared" si="112"/>
        <v>178333.33333333299</v>
      </c>
      <c r="DB378" s="111">
        <f t="shared" si="112"/>
        <v>178333.33333333299</v>
      </c>
      <c r="DC378" s="111">
        <f t="shared" si="112"/>
        <v>178333.33333333299</v>
      </c>
      <c r="DD378" s="111">
        <f t="shared" si="112"/>
        <v>178333.33333333299</v>
      </c>
      <c r="DE378" s="111">
        <f t="shared" si="112"/>
        <v>178333.33333333299</v>
      </c>
      <c r="DF378" s="111">
        <f t="shared" si="112"/>
        <v>178333.33333333299</v>
      </c>
      <c r="DG378" s="111">
        <f t="shared" si="112"/>
        <v>178333.33333333299</v>
      </c>
      <c r="DH378" s="111">
        <f t="shared" si="112"/>
        <v>178333.33333333299</v>
      </c>
      <c r="DI378" s="112">
        <f t="shared" si="112"/>
        <v>178333.33333333299</v>
      </c>
      <c r="DJ378" s="73">
        <f t="shared" si="112"/>
        <v>187500</v>
      </c>
      <c r="DK378" s="74">
        <f t="shared" ref="DK378:DU378" si="113">+DK379</f>
        <v>187500</v>
      </c>
      <c r="DL378" s="74">
        <f t="shared" si="113"/>
        <v>187500</v>
      </c>
      <c r="DM378" s="74">
        <f t="shared" si="113"/>
        <v>187500</v>
      </c>
      <c r="DN378" s="74">
        <f t="shared" si="113"/>
        <v>187500</v>
      </c>
      <c r="DO378" s="74">
        <f t="shared" si="113"/>
        <v>187500</v>
      </c>
      <c r="DP378" s="74">
        <f t="shared" si="113"/>
        <v>187500</v>
      </c>
      <c r="DQ378" s="74">
        <f t="shared" si="113"/>
        <v>187500</v>
      </c>
      <c r="DR378" s="74">
        <f t="shared" si="113"/>
        <v>187500</v>
      </c>
      <c r="DS378" s="74">
        <f t="shared" si="113"/>
        <v>187500</v>
      </c>
      <c r="DT378" s="74">
        <f t="shared" si="113"/>
        <v>187500</v>
      </c>
      <c r="DU378" s="75">
        <f t="shared" si="113"/>
        <v>187500</v>
      </c>
      <c r="DV378" s="97">
        <v>195833.33333333299</v>
      </c>
      <c r="DW378" s="97">
        <v>195833.33333333299</v>
      </c>
      <c r="DX378" s="97">
        <v>195833.33333333299</v>
      </c>
      <c r="DY378" s="97">
        <v>195833.33333333299</v>
      </c>
      <c r="DZ378" s="97">
        <v>195833.33333333299</v>
      </c>
      <c r="EA378" s="97">
        <v>195833.33333333299</v>
      </c>
      <c r="EB378" s="97">
        <v>195833.33333333299</v>
      </c>
      <c r="EC378" s="97">
        <v>195833.33333333299</v>
      </c>
      <c r="ED378" s="97">
        <v>195833.33333333299</v>
      </c>
      <c r="EE378" s="97">
        <v>195833.33333333299</v>
      </c>
      <c r="EF378" s="97">
        <v>195833.33333333299</v>
      </c>
      <c r="EG378" s="97">
        <v>195833.33333333299</v>
      </c>
      <c r="EH378" s="97">
        <v>202083.33333333299</v>
      </c>
      <c r="EI378" s="97">
        <v>202083.33333333299</v>
      </c>
      <c r="EJ378" s="97">
        <v>202083.33333333299</v>
      </c>
      <c r="EK378" s="97">
        <v>202083.33333333299</v>
      </c>
      <c r="EL378" s="97">
        <v>202083.33333333299</v>
      </c>
      <c r="EM378" s="97">
        <v>202083.33333333299</v>
      </c>
      <c r="EN378" s="97">
        <v>202083.33333333299</v>
      </c>
      <c r="EO378" s="97">
        <v>202083.33333333299</v>
      </c>
      <c r="EP378" s="97">
        <v>202083.33333333299</v>
      </c>
      <c r="EQ378" s="97">
        <v>202083.33333333299</v>
      </c>
      <c r="ER378" s="97">
        <v>202083.33333333299</v>
      </c>
      <c r="ES378" s="97">
        <v>202083.33333333299</v>
      </c>
      <c r="ET378" s="106">
        <v>239583.41666666701</v>
      </c>
      <c r="EU378" s="106">
        <v>239583.41666666701</v>
      </c>
      <c r="EV378" s="106">
        <v>239583.41666666701</v>
      </c>
      <c r="EW378" s="106">
        <v>239583.41666666701</v>
      </c>
      <c r="EX378" s="106">
        <v>239583.41666666701</v>
      </c>
      <c r="EY378" s="106">
        <v>239583.41666666701</v>
      </c>
      <c r="EZ378" s="106">
        <v>239583.41666666701</v>
      </c>
      <c r="FA378" s="106">
        <v>239583.41666666701</v>
      </c>
      <c r="FB378" s="106">
        <v>239583.41666666701</v>
      </c>
      <c r="FC378" s="106">
        <v>239583.41666666701</v>
      </c>
      <c r="FD378" s="106">
        <v>239583.41666666701</v>
      </c>
      <c r="FE378" s="106">
        <v>239583.41666666701</v>
      </c>
      <c r="FF378" s="106">
        <v>190000.08333333299</v>
      </c>
      <c r="FG378" s="106">
        <v>190000.08333333299</v>
      </c>
      <c r="FH378" s="106">
        <v>190000.08333333299</v>
      </c>
      <c r="FI378" s="106">
        <v>190000.08333333299</v>
      </c>
      <c r="FJ378" s="106">
        <v>190000.08333333299</v>
      </c>
      <c r="FK378" s="106">
        <v>190000.08333333299</v>
      </c>
      <c r="FL378" s="106">
        <v>190000.08333333299</v>
      </c>
      <c r="FM378" s="106">
        <v>190000.08333333299</v>
      </c>
      <c r="FN378" s="106">
        <v>190000.08333333299</v>
      </c>
      <c r="FO378" s="106">
        <v>190000.08333333299</v>
      </c>
      <c r="FP378" s="106">
        <v>190000.08333333299</v>
      </c>
      <c r="FQ378" s="106">
        <v>190000.08333333299</v>
      </c>
      <c r="FR378" s="106">
        <v>0</v>
      </c>
      <c r="FS378" s="106">
        <v>277634</v>
      </c>
      <c r="FT378" s="106">
        <v>0</v>
      </c>
      <c r="FU378" s="106">
        <v>268014</v>
      </c>
      <c r="FV378" s="106">
        <v>5000</v>
      </c>
      <c r="FW378" s="106">
        <v>147050.57142857101</v>
      </c>
      <c r="FX378" s="106">
        <v>147050.57142857101</v>
      </c>
      <c r="FY378" s="106">
        <v>147050.57142857101</v>
      </c>
      <c r="FZ378" s="106">
        <v>147050.57142857101</v>
      </c>
      <c r="GA378" s="106">
        <v>147050.57142857101</v>
      </c>
      <c r="GB378" s="106">
        <v>147050.57142857101</v>
      </c>
      <c r="GC378" s="106">
        <v>147050.57142857101</v>
      </c>
      <c r="GE378" s="101">
        <f>SUM(FR378:GC378)</f>
        <v>1580002</v>
      </c>
    </row>
    <row r="379" spans="1:187">
      <c r="C379" s="59">
        <v>451</v>
      </c>
      <c r="D379" s="59" t="str">
        <f t="shared" si="111"/>
        <v>451p</v>
      </c>
      <c r="E379" s="60" t="s">
        <v>22</v>
      </c>
      <c r="F379" s="67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9"/>
      <c r="R379" s="67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69"/>
      <c r="AD379" s="67"/>
      <c r="AE379" s="68"/>
      <c r="AF379" s="68"/>
      <c r="AG379" s="68"/>
      <c r="AH379" s="68"/>
      <c r="AI379" s="68"/>
      <c r="AJ379" s="68"/>
      <c r="AK379" s="68"/>
      <c r="AL379" s="68"/>
      <c r="AM379" s="68"/>
      <c r="AN379" s="68"/>
      <c r="AO379" s="69"/>
      <c r="AP379" s="67"/>
      <c r="AQ379" s="68"/>
      <c r="AR379" s="68"/>
      <c r="AS379" s="68"/>
      <c r="AT379" s="68"/>
      <c r="AU379" s="68"/>
      <c r="AV379" s="68"/>
      <c r="AW379" s="68"/>
      <c r="AX379" s="68"/>
      <c r="AY379" s="68"/>
      <c r="AZ379" s="68"/>
      <c r="BA379" s="69"/>
      <c r="BB379" s="67"/>
      <c r="BC379" s="68"/>
      <c r="BD379" s="68"/>
      <c r="BE379" s="68"/>
      <c r="BF379" s="68"/>
      <c r="BG379" s="68"/>
      <c r="BH379" s="68"/>
      <c r="BI379" s="68"/>
      <c r="BJ379" s="68"/>
      <c r="BK379" s="68"/>
      <c r="BL379" s="68"/>
      <c r="BM379" s="69"/>
      <c r="BN379" s="67"/>
      <c r="BO379" s="68"/>
      <c r="BP379" s="68"/>
      <c r="BQ379" s="68"/>
      <c r="BR379" s="68"/>
      <c r="BS379" s="68"/>
      <c r="BT379" s="68"/>
      <c r="BU379" s="68"/>
      <c r="BV379" s="68"/>
      <c r="BW379" s="68"/>
      <c r="BX379" s="68"/>
      <c r="BY379" s="69"/>
      <c r="BZ379" s="67"/>
      <c r="CA379" s="68"/>
      <c r="CB379" s="68"/>
      <c r="CC379" s="68"/>
      <c r="CD379" s="68"/>
      <c r="CE379" s="68"/>
      <c r="CF379" s="68"/>
      <c r="CG379" s="68"/>
      <c r="CH379" s="68"/>
      <c r="CI379" s="68"/>
      <c r="CJ379" s="68"/>
      <c r="CK379" s="68"/>
      <c r="CL379" s="67">
        <f>++SUM(CL380:CL384)</f>
        <v>143333.33333333299</v>
      </c>
      <c r="CM379" s="68">
        <f t="shared" ref="CM379:DI379" si="114">++SUM(CM380:CM384)</f>
        <v>143333.33333333299</v>
      </c>
      <c r="CN379" s="68">
        <f t="shared" si="114"/>
        <v>143333.33333333299</v>
      </c>
      <c r="CO379" s="68">
        <f t="shared" si="114"/>
        <v>143333.33333333299</v>
      </c>
      <c r="CP379" s="68">
        <f t="shared" si="114"/>
        <v>143333.33333333299</v>
      </c>
      <c r="CQ379" s="68">
        <f t="shared" si="114"/>
        <v>143333.33333333299</v>
      </c>
      <c r="CR379" s="68">
        <f t="shared" si="114"/>
        <v>143333.33333333299</v>
      </c>
      <c r="CS379" s="68">
        <f t="shared" si="114"/>
        <v>143333.33333333299</v>
      </c>
      <c r="CT379" s="68">
        <f t="shared" si="114"/>
        <v>143333.33333333299</v>
      </c>
      <c r="CU379" s="68">
        <f t="shared" si="114"/>
        <v>143333.33333333299</v>
      </c>
      <c r="CV379" s="68">
        <f t="shared" si="114"/>
        <v>143333.33333333299</v>
      </c>
      <c r="CW379" s="69">
        <f t="shared" si="114"/>
        <v>143333.33333333299</v>
      </c>
      <c r="CX379" s="107">
        <f t="shared" si="114"/>
        <v>178333.33333333299</v>
      </c>
      <c r="CY379" s="108">
        <f t="shared" si="114"/>
        <v>178333.33333333299</v>
      </c>
      <c r="CZ379" s="108">
        <f t="shared" si="114"/>
        <v>178333.33333333299</v>
      </c>
      <c r="DA379" s="108">
        <f t="shared" si="114"/>
        <v>178333.33333333299</v>
      </c>
      <c r="DB379" s="108">
        <f t="shared" si="114"/>
        <v>178333.33333333299</v>
      </c>
      <c r="DC379" s="108">
        <f t="shared" si="114"/>
        <v>178333.33333333299</v>
      </c>
      <c r="DD379" s="108">
        <f t="shared" si="114"/>
        <v>178333.33333333299</v>
      </c>
      <c r="DE379" s="108">
        <f t="shared" si="114"/>
        <v>178333.33333333299</v>
      </c>
      <c r="DF379" s="108">
        <f t="shared" si="114"/>
        <v>178333.33333333299</v>
      </c>
      <c r="DG379" s="108">
        <f t="shared" si="114"/>
        <v>178333.33333333299</v>
      </c>
      <c r="DH379" s="108">
        <f t="shared" si="114"/>
        <v>178333.33333333299</v>
      </c>
      <c r="DI379" s="109">
        <f t="shared" si="114"/>
        <v>178333.33333333299</v>
      </c>
      <c r="DJ379" s="67">
        <f>+SUM(DJ380:DJ384)</f>
        <v>187500</v>
      </c>
      <c r="DK379" s="68">
        <f t="shared" ref="DK379:DU379" si="115">+SUM(DK380:DK384)</f>
        <v>187500</v>
      </c>
      <c r="DL379" s="68">
        <f t="shared" si="115"/>
        <v>187500</v>
      </c>
      <c r="DM379" s="68">
        <f t="shared" si="115"/>
        <v>187500</v>
      </c>
      <c r="DN379" s="68">
        <f t="shared" si="115"/>
        <v>187500</v>
      </c>
      <c r="DO379" s="68">
        <f t="shared" si="115"/>
        <v>187500</v>
      </c>
      <c r="DP379" s="68">
        <f t="shared" si="115"/>
        <v>187500</v>
      </c>
      <c r="DQ379" s="68">
        <f t="shared" si="115"/>
        <v>187500</v>
      </c>
      <c r="DR379" s="68">
        <f t="shared" si="115"/>
        <v>187500</v>
      </c>
      <c r="DS379" s="68">
        <f t="shared" si="115"/>
        <v>187500</v>
      </c>
      <c r="DT379" s="68">
        <f t="shared" si="115"/>
        <v>187500</v>
      </c>
      <c r="DU379" s="69">
        <f t="shared" si="115"/>
        <v>187500</v>
      </c>
      <c r="DV379" s="97">
        <v>195833.33333333299</v>
      </c>
      <c r="DW379" s="97">
        <v>195833.33333333299</v>
      </c>
      <c r="DX379" s="97">
        <v>195833.33333333299</v>
      </c>
      <c r="DY379" s="97">
        <v>195833.33333333299</v>
      </c>
      <c r="DZ379" s="97">
        <v>195833.33333333299</v>
      </c>
      <c r="EA379" s="97">
        <v>195833.33333333299</v>
      </c>
      <c r="EB379" s="97">
        <v>195833.33333333299</v>
      </c>
      <c r="EC379" s="97">
        <v>195833.33333333299</v>
      </c>
      <c r="ED379" s="97">
        <v>195833.33333333299</v>
      </c>
      <c r="EE379" s="97">
        <v>195833.33333333299</v>
      </c>
      <c r="EF379" s="97">
        <v>195833.33333333299</v>
      </c>
      <c r="EG379" s="97">
        <v>195833.33333333299</v>
      </c>
      <c r="EH379" s="83"/>
      <c r="EI379" s="61"/>
      <c r="EJ379" s="61"/>
      <c r="EK379" s="61"/>
      <c r="EL379" s="61"/>
      <c r="EM379" s="61"/>
      <c r="EN379" s="61"/>
      <c r="EO379" s="61"/>
      <c r="EP379" s="61"/>
      <c r="EQ379" s="61"/>
      <c r="ER379" s="61"/>
      <c r="ES379" s="61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115"/>
    </row>
    <row r="380" spans="1:187" ht="30">
      <c r="D380" s="59" t="str">
        <f t="shared" si="111"/>
        <v>4511p</v>
      </c>
      <c r="E380" s="60" t="s">
        <v>469</v>
      </c>
      <c r="F380" s="67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9"/>
      <c r="R380" s="67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69"/>
      <c r="AD380" s="67"/>
      <c r="AE380" s="68"/>
      <c r="AF380" s="68"/>
      <c r="AG380" s="68"/>
      <c r="AH380" s="68"/>
      <c r="AI380" s="68"/>
      <c r="AJ380" s="68"/>
      <c r="AK380" s="68"/>
      <c r="AL380" s="68"/>
      <c r="AM380" s="68"/>
      <c r="AN380" s="68"/>
      <c r="AO380" s="69"/>
      <c r="AP380" s="67"/>
      <c r="AQ380" s="68"/>
      <c r="AR380" s="68"/>
      <c r="AS380" s="68"/>
      <c r="AT380" s="68"/>
      <c r="AU380" s="68"/>
      <c r="AV380" s="68"/>
      <c r="AW380" s="68"/>
      <c r="AX380" s="68"/>
      <c r="AY380" s="68"/>
      <c r="AZ380" s="68"/>
      <c r="BA380" s="69"/>
      <c r="BB380" s="67"/>
      <c r="BC380" s="68"/>
      <c r="BD380" s="68"/>
      <c r="BE380" s="68"/>
      <c r="BF380" s="68"/>
      <c r="BG380" s="68"/>
      <c r="BH380" s="68"/>
      <c r="BI380" s="68"/>
      <c r="BJ380" s="68"/>
      <c r="BK380" s="68"/>
      <c r="BL380" s="68"/>
      <c r="BM380" s="69"/>
      <c r="BN380" s="67"/>
      <c r="BO380" s="68"/>
      <c r="BP380" s="68"/>
      <c r="BQ380" s="68"/>
      <c r="BR380" s="68"/>
      <c r="BS380" s="68"/>
      <c r="BT380" s="68"/>
      <c r="BU380" s="68"/>
      <c r="BV380" s="68"/>
      <c r="BW380" s="68"/>
      <c r="BX380" s="68"/>
      <c r="BY380" s="69"/>
      <c r="BZ380" s="67"/>
      <c r="CA380" s="68"/>
      <c r="CB380" s="68"/>
      <c r="CC380" s="68"/>
      <c r="CD380" s="68"/>
      <c r="CE380" s="68"/>
      <c r="CF380" s="68"/>
      <c r="CG380" s="68"/>
      <c r="CH380" s="68"/>
      <c r="CI380" s="68"/>
      <c r="CJ380" s="68"/>
      <c r="CK380" s="68"/>
      <c r="CL380" s="67"/>
      <c r="CM380" s="68"/>
      <c r="CN380" s="68"/>
      <c r="CO380" s="68"/>
      <c r="CP380" s="68"/>
      <c r="CQ380" s="68"/>
      <c r="CR380" s="68"/>
      <c r="CS380" s="68"/>
      <c r="CT380" s="68"/>
      <c r="CU380" s="68"/>
      <c r="CV380" s="68"/>
      <c r="CW380" s="69"/>
      <c r="CX380" s="107">
        <v>0</v>
      </c>
      <c r="CY380" s="108">
        <v>0</v>
      </c>
      <c r="CZ380" s="108">
        <v>0</v>
      </c>
      <c r="DA380" s="108">
        <v>0</v>
      </c>
      <c r="DB380" s="108">
        <v>0</v>
      </c>
      <c r="DC380" s="108">
        <v>0</v>
      </c>
      <c r="DD380" s="108">
        <v>0</v>
      </c>
      <c r="DE380" s="108">
        <v>0</v>
      </c>
      <c r="DF380" s="108">
        <v>0</v>
      </c>
      <c r="DG380" s="108">
        <v>0</v>
      </c>
      <c r="DH380" s="108">
        <v>0</v>
      </c>
      <c r="DI380" s="109">
        <v>0</v>
      </c>
      <c r="DJ380" s="67">
        <v>0</v>
      </c>
      <c r="DK380" s="68">
        <v>0</v>
      </c>
      <c r="DL380" s="68">
        <v>0</v>
      </c>
      <c r="DM380" s="68">
        <v>0</v>
      </c>
      <c r="DN380" s="68">
        <v>0</v>
      </c>
      <c r="DO380" s="68">
        <v>0</v>
      </c>
      <c r="DP380" s="68">
        <v>0</v>
      </c>
      <c r="DQ380" s="68">
        <v>0</v>
      </c>
      <c r="DR380" s="68">
        <v>0</v>
      </c>
      <c r="DS380" s="68">
        <v>0</v>
      </c>
      <c r="DT380" s="68">
        <v>0</v>
      </c>
      <c r="DU380" s="69">
        <v>0</v>
      </c>
      <c r="DV380" s="83"/>
      <c r="DW380" s="83"/>
      <c r="DX380" s="83"/>
      <c r="DY380" s="83"/>
      <c r="DZ380" s="83"/>
      <c r="EA380" s="83"/>
      <c r="EB380" s="83"/>
      <c r="EC380" s="83"/>
      <c r="ED380" s="83"/>
      <c r="EE380" s="83"/>
      <c r="EF380" s="83"/>
      <c r="EG380" s="83"/>
      <c r="EH380" s="83"/>
      <c r="EI380" s="61"/>
      <c r="EJ380" s="61"/>
      <c r="EK380" s="61"/>
      <c r="EL380" s="61"/>
      <c r="EM380" s="61"/>
      <c r="EN380" s="61"/>
      <c r="EO380" s="61"/>
      <c r="EP380" s="61"/>
      <c r="EQ380" s="61"/>
      <c r="ER380" s="61"/>
      <c r="ES380" s="61"/>
      <c r="FR380" s="63"/>
      <c r="FS380" s="63"/>
      <c r="FT380" s="63"/>
      <c r="FU380" s="63"/>
      <c r="FV380" s="63"/>
      <c r="FW380" s="63"/>
      <c r="FX380" s="63"/>
      <c r="FY380" s="63"/>
      <c r="FZ380" s="63"/>
      <c r="GA380" s="63"/>
      <c r="GB380" s="63"/>
      <c r="GC380" s="63"/>
      <c r="GE380" s="102"/>
    </row>
    <row r="381" spans="1:187" ht="30">
      <c r="D381" s="59" t="str">
        <f t="shared" si="111"/>
        <v>4512p</v>
      </c>
      <c r="E381" s="60" t="s">
        <v>470</v>
      </c>
      <c r="F381" s="67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9"/>
      <c r="R381" s="67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9"/>
      <c r="AD381" s="67"/>
      <c r="AE381" s="68"/>
      <c r="AF381" s="68"/>
      <c r="AG381" s="68"/>
      <c r="AH381" s="68"/>
      <c r="AI381" s="68"/>
      <c r="AJ381" s="68"/>
      <c r="AK381" s="68"/>
      <c r="AL381" s="68"/>
      <c r="AM381" s="68"/>
      <c r="AN381" s="68"/>
      <c r="AO381" s="69"/>
      <c r="AP381" s="67"/>
      <c r="AQ381" s="68"/>
      <c r="AR381" s="68"/>
      <c r="AS381" s="68"/>
      <c r="AT381" s="68"/>
      <c r="AU381" s="68"/>
      <c r="AV381" s="68"/>
      <c r="AW381" s="68"/>
      <c r="AX381" s="68"/>
      <c r="AY381" s="68"/>
      <c r="AZ381" s="68"/>
      <c r="BA381" s="69"/>
      <c r="BB381" s="67"/>
      <c r="BC381" s="68"/>
      <c r="BD381" s="68"/>
      <c r="BE381" s="68"/>
      <c r="BF381" s="68"/>
      <c r="BG381" s="68"/>
      <c r="BH381" s="68"/>
      <c r="BI381" s="68"/>
      <c r="BJ381" s="68"/>
      <c r="BK381" s="68"/>
      <c r="BL381" s="68"/>
      <c r="BM381" s="69"/>
      <c r="BN381" s="67"/>
      <c r="BO381" s="68"/>
      <c r="BP381" s="68"/>
      <c r="BQ381" s="68"/>
      <c r="BR381" s="68"/>
      <c r="BS381" s="68"/>
      <c r="BT381" s="68"/>
      <c r="BU381" s="68"/>
      <c r="BV381" s="68"/>
      <c r="BW381" s="68"/>
      <c r="BX381" s="68"/>
      <c r="BY381" s="69"/>
      <c r="BZ381" s="67"/>
      <c r="CA381" s="68"/>
      <c r="CB381" s="68"/>
      <c r="CC381" s="68"/>
      <c r="CD381" s="68"/>
      <c r="CE381" s="68"/>
      <c r="CF381" s="68"/>
      <c r="CG381" s="68"/>
      <c r="CH381" s="68"/>
      <c r="CI381" s="68"/>
      <c r="CJ381" s="68"/>
      <c r="CK381" s="68"/>
      <c r="CL381" s="67"/>
      <c r="CM381" s="68"/>
      <c r="CN381" s="68"/>
      <c r="CO381" s="68"/>
      <c r="CP381" s="68"/>
      <c r="CQ381" s="68"/>
      <c r="CR381" s="68"/>
      <c r="CS381" s="68"/>
      <c r="CT381" s="68"/>
      <c r="CU381" s="68"/>
      <c r="CV381" s="68"/>
      <c r="CW381" s="69"/>
      <c r="CX381" s="107">
        <v>0</v>
      </c>
      <c r="CY381" s="108">
        <v>0</v>
      </c>
      <c r="CZ381" s="108">
        <v>0</v>
      </c>
      <c r="DA381" s="108">
        <v>0</v>
      </c>
      <c r="DB381" s="108">
        <v>0</v>
      </c>
      <c r="DC381" s="108">
        <v>0</v>
      </c>
      <c r="DD381" s="108">
        <v>0</v>
      </c>
      <c r="DE381" s="108">
        <v>0</v>
      </c>
      <c r="DF381" s="108">
        <v>0</v>
      </c>
      <c r="DG381" s="108">
        <v>0</v>
      </c>
      <c r="DH381" s="108">
        <v>0</v>
      </c>
      <c r="DI381" s="109">
        <v>0</v>
      </c>
      <c r="DJ381" s="67">
        <v>0</v>
      </c>
      <c r="DK381" s="68">
        <v>0</v>
      </c>
      <c r="DL381" s="68">
        <v>0</v>
      </c>
      <c r="DM381" s="68">
        <v>0</v>
      </c>
      <c r="DN381" s="68">
        <v>0</v>
      </c>
      <c r="DO381" s="68">
        <v>0</v>
      </c>
      <c r="DP381" s="68">
        <v>0</v>
      </c>
      <c r="DQ381" s="68">
        <v>0</v>
      </c>
      <c r="DR381" s="68">
        <v>0</v>
      </c>
      <c r="DS381" s="68">
        <v>0</v>
      </c>
      <c r="DT381" s="68">
        <v>0</v>
      </c>
      <c r="DU381" s="69">
        <v>0</v>
      </c>
      <c r="DV381" s="83"/>
      <c r="DW381" s="83"/>
      <c r="DX381" s="83"/>
      <c r="DY381" s="83"/>
      <c r="DZ381" s="83"/>
      <c r="EA381" s="83"/>
      <c r="EB381" s="83"/>
      <c r="EC381" s="83"/>
      <c r="ED381" s="83"/>
      <c r="EE381" s="83"/>
      <c r="EF381" s="83"/>
      <c r="EG381" s="83"/>
      <c r="EH381" s="83"/>
      <c r="EI381" s="61"/>
      <c r="EJ381" s="61"/>
      <c r="EK381" s="61"/>
      <c r="EL381" s="61"/>
      <c r="EM381" s="61"/>
      <c r="EN381" s="61"/>
      <c r="EO381" s="61"/>
      <c r="EP381" s="61"/>
      <c r="EQ381" s="61"/>
      <c r="ER381" s="61"/>
      <c r="ES381" s="61"/>
      <c r="FR381" s="63"/>
      <c r="FS381" s="63"/>
      <c r="FT381" s="63"/>
      <c r="FU381" s="63"/>
      <c r="FV381" s="63"/>
      <c r="FW381" s="63"/>
      <c r="FX381" s="63"/>
      <c r="FY381" s="63"/>
      <c r="FZ381" s="63"/>
      <c r="GA381" s="63"/>
      <c r="GB381" s="63"/>
      <c r="GC381" s="63"/>
      <c r="GE381" s="102"/>
    </row>
    <row r="382" spans="1:187">
      <c r="D382" s="59" t="str">
        <f t="shared" si="111"/>
        <v>4513p</v>
      </c>
      <c r="E382" s="60" t="s">
        <v>471</v>
      </c>
      <c r="F382" s="67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9"/>
      <c r="R382" s="67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69"/>
      <c r="AD382" s="67"/>
      <c r="AE382" s="68"/>
      <c r="AF382" s="68"/>
      <c r="AG382" s="68"/>
      <c r="AH382" s="68"/>
      <c r="AI382" s="68"/>
      <c r="AJ382" s="68"/>
      <c r="AK382" s="68"/>
      <c r="AL382" s="68"/>
      <c r="AM382" s="68"/>
      <c r="AN382" s="68"/>
      <c r="AO382" s="69"/>
      <c r="AP382" s="67"/>
      <c r="AQ382" s="68"/>
      <c r="AR382" s="68"/>
      <c r="AS382" s="68"/>
      <c r="AT382" s="68"/>
      <c r="AU382" s="68"/>
      <c r="AV382" s="68"/>
      <c r="AW382" s="68"/>
      <c r="AX382" s="68"/>
      <c r="AY382" s="68"/>
      <c r="AZ382" s="68"/>
      <c r="BA382" s="69"/>
      <c r="BB382" s="67"/>
      <c r="BC382" s="68"/>
      <c r="BD382" s="68"/>
      <c r="BE382" s="68"/>
      <c r="BF382" s="68"/>
      <c r="BG382" s="68"/>
      <c r="BH382" s="68"/>
      <c r="BI382" s="68"/>
      <c r="BJ382" s="68"/>
      <c r="BK382" s="68"/>
      <c r="BL382" s="68"/>
      <c r="BM382" s="69"/>
      <c r="BN382" s="67"/>
      <c r="BO382" s="68"/>
      <c r="BP382" s="68"/>
      <c r="BQ382" s="68"/>
      <c r="BR382" s="68"/>
      <c r="BS382" s="68"/>
      <c r="BT382" s="68"/>
      <c r="BU382" s="68"/>
      <c r="BV382" s="68"/>
      <c r="BW382" s="68"/>
      <c r="BX382" s="68"/>
      <c r="BY382" s="69"/>
      <c r="BZ382" s="67"/>
      <c r="CA382" s="68"/>
      <c r="CB382" s="68"/>
      <c r="CC382" s="68"/>
      <c r="CD382" s="68"/>
      <c r="CE382" s="68"/>
      <c r="CF382" s="68"/>
      <c r="CG382" s="68"/>
      <c r="CH382" s="68"/>
      <c r="CI382" s="68"/>
      <c r="CJ382" s="68"/>
      <c r="CK382" s="68"/>
      <c r="CL382" s="67">
        <v>100000</v>
      </c>
      <c r="CM382" s="68">
        <v>100000</v>
      </c>
      <c r="CN382" s="68">
        <v>100000</v>
      </c>
      <c r="CO382" s="68">
        <v>100000</v>
      </c>
      <c r="CP382" s="68">
        <v>100000</v>
      </c>
      <c r="CQ382" s="68">
        <v>100000</v>
      </c>
      <c r="CR382" s="68">
        <v>100000</v>
      </c>
      <c r="CS382" s="68">
        <v>100000</v>
      </c>
      <c r="CT382" s="68">
        <v>100000</v>
      </c>
      <c r="CU382" s="68">
        <v>100000</v>
      </c>
      <c r="CV382" s="68">
        <v>100000</v>
      </c>
      <c r="CW382" s="69">
        <v>100000</v>
      </c>
      <c r="CX382" s="107">
        <v>114166.66666666701</v>
      </c>
      <c r="CY382" s="108">
        <v>114166.66666666701</v>
      </c>
      <c r="CZ382" s="108">
        <v>114166.66666666701</v>
      </c>
      <c r="DA382" s="108">
        <v>114166.66666666701</v>
      </c>
      <c r="DB382" s="108">
        <v>114166.66666666701</v>
      </c>
      <c r="DC382" s="108">
        <v>114166.66666666701</v>
      </c>
      <c r="DD382" s="108">
        <v>114166.66666666701</v>
      </c>
      <c r="DE382" s="108">
        <v>114166.66666666701</v>
      </c>
      <c r="DF382" s="108">
        <v>114166.66666666701</v>
      </c>
      <c r="DG382" s="108">
        <v>114166.66666666701</v>
      </c>
      <c r="DH382" s="108">
        <v>114166.66666666701</v>
      </c>
      <c r="DI382" s="109">
        <v>114166.66666666701</v>
      </c>
      <c r="DJ382" s="67">
        <v>120833.33333333299</v>
      </c>
      <c r="DK382" s="68">
        <v>120833.33333333299</v>
      </c>
      <c r="DL382" s="68">
        <v>120833.33333333299</v>
      </c>
      <c r="DM382" s="68">
        <v>120833.33333333299</v>
      </c>
      <c r="DN382" s="68">
        <v>120833.33333333299</v>
      </c>
      <c r="DO382" s="68">
        <v>120833.33333333299</v>
      </c>
      <c r="DP382" s="68">
        <v>120833.33333333299</v>
      </c>
      <c r="DQ382" s="68">
        <v>120833.33333333299</v>
      </c>
      <c r="DR382" s="68">
        <v>120833.33333333299</v>
      </c>
      <c r="DS382" s="68">
        <v>120833.33333333299</v>
      </c>
      <c r="DT382" s="68">
        <v>120833.33333333299</v>
      </c>
      <c r="DU382" s="69">
        <v>120833.33333333299</v>
      </c>
      <c r="DV382" s="83"/>
      <c r="DW382" s="83"/>
      <c r="DX382" s="83"/>
      <c r="DY382" s="83"/>
      <c r="DZ382" s="83"/>
      <c r="EA382" s="83"/>
      <c r="EB382" s="83"/>
      <c r="EC382" s="83"/>
      <c r="ED382" s="83"/>
      <c r="EE382" s="83"/>
      <c r="EF382" s="83"/>
      <c r="EG382" s="83"/>
      <c r="EH382" s="83"/>
      <c r="EI382" s="61"/>
      <c r="EJ382" s="61"/>
      <c r="EK382" s="61"/>
      <c r="EL382" s="61"/>
      <c r="EM382" s="61"/>
      <c r="EN382" s="61"/>
      <c r="EO382" s="61"/>
      <c r="EP382" s="61"/>
      <c r="EQ382" s="61"/>
      <c r="ER382" s="61"/>
      <c r="ES382" s="61"/>
      <c r="FR382" s="63"/>
      <c r="FS382" s="63"/>
      <c r="FT382" s="63"/>
      <c r="FU382" s="63"/>
      <c r="FV382" s="63"/>
      <c r="FW382" s="63"/>
      <c r="FX382" s="63"/>
      <c r="FY382" s="63"/>
      <c r="FZ382" s="63"/>
      <c r="GA382" s="63"/>
      <c r="GB382" s="63"/>
      <c r="GC382" s="63"/>
      <c r="GE382" s="102"/>
    </row>
    <row r="383" spans="1:187" ht="45">
      <c r="D383" s="59" t="str">
        <f t="shared" si="111"/>
        <v>4514p</v>
      </c>
      <c r="E383" s="60" t="s">
        <v>472</v>
      </c>
      <c r="F383" s="67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9"/>
      <c r="R383" s="67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69"/>
      <c r="AD383" s="67"/>
      <c r="AE383" s="68"/>
      <c r="AF383" s="68"/>
      <c r="AG383" s="68"/>
      <c r="AH383" s="68"/>
      <c r="AI383" s="68"/>
      <c r="AJ383" s="68"/>
      <c r="AK383" s="68"/>
      <c r="AL383" s="68"/>
      <c r="AM383" s="68"/>
      <c r="AN383" s="68"/>
      <c r="AO383" s="69"/>
      <c r="AP383" s="67"/>
      <c r="AQ383" s="68"/>
      <c r="AR383" s="68"/>
      <c r="AS383" s="68"/>
      <c r="AT383" s="68"/>
      <c r="AU383" s="68"/>
      <c r="AV383" s="68"/>
      <c r="AW383" s="68"/>
      <c r="AX383" s="68"/>
      <c r="AY383" s="68"/>
      <c r="AZ383" s="68"/>
      <c r="BA383" s="69"/>
      <c r="BB383" s="67"/>
      <c r="BC383" s="68"/>
      <c r="BD383" s="68"/>
      <c r="BE383" s="68"/>
      <c r="BF383" s="68"/>
      <c r="BG383" s="68"/>
      <c r="BH383" s="68"/>
      <c r="BI383" s="68"/>
      <c r="BJ383" s="68"/>
      <c r="BK383" s="68"/>
      <c r="BL383" s="68"/>
      <c r="BM383" s="69"/>
      <c r="BN383" s="67"/>
      <c r="BO383" s="68"/>
      <c r="BP383" s="68"/>
      <c r="BQ383" s="68"/>
      <c r="BR383" s="68"/>
      <c r="BS383" s="68"/>
      <c r="BT383" s="68"/>
      <c r="BU383" s="68"/>
      <c r="BV383" s="68"/>
      <c r="BW383" s="68"/>
      <c r="BX383" s="68"/>
      <c r="BY383" s="69"/>
      <c r="BZ383" s="67"/>
      <c r="CA383" s="68"/>
      <c r="CB383" s="68"/>
      <c r="CC383" s="68"/>
      <c r="CD383" s="68"/>
      <c r="CE383" s="68"/>
      <c r="CF383" s="68"/>
      <c r="CG383" s="68"/>
      <c r="CH383" s="68"/>
      <c r="CI383" s="68"/>
      <c r="CJ383" s="68"/>
      <c r="CK383" s="68"/>
      <c r="CL383" s="67"/>
      <c r="CM383" s="68"/>
      <c r="CN383" s="68"/>
      <c r="CO383" s="68"/>
      <c r="CP383" s="68"/>
      <c r="CQ383" s="68"/>
      <c r="CR383" s="68"/>
      <c r="CS383" s="68"/>
      <c r="CT383" s="68"/>
      <c r="CU383" s="68"/>
      <c r="CV383" s="68"/>
      <c r="CW383" s="69"/>
      <c r="CX383" s="107">
        <v>0</v>
      </c>
      <c r="CY383" s="108">
        <v>0</v>
      </c>
      <c r="CZ383" s="108">
        <v>0</v>
      </c>
      <c r="DA383" s="108">
        <v>0</v>
      </c>
      <c r="DB383" s="108">
        <v>0</v>
      </c>
      <c r="DC383" s="108">
        <v>0</v>
      </c>
      <c r="DD383" s="108">
        <v>0</v>
      </c>
      <c r="DE383" s="108">
        <v>0</v>
      </c>
      <c r="DF383" s="108">
        <v>0</v>
      </c>
      <c r="DG383" s="108">
        <v>0</v>
      </c>
      <c r="DH383" s="108">
        <v>0</v>
      </c>
      <c r="DI383" s="109">
        <v>0</v>
      </c>
      <c r="DJ383" s="67">
        <v>0</v>
      </c>
      <c r="DK383" s="68">
        <v>0</v>
      </c>
      <c r="DL383" s="68">
        <v>0</v>
      </c>
      <c r="DM383" s="68">
        <v>0</v>
      </c>
      <c r="DN383" s="68">
        <v>0</v>
      </c>
      <c r="DO383" s="68">
        <v>0</v>
      </c>
      <c r="DP383" s="68">
        <v>0</v>
      </c>
      <c r="DQ383" s="68">
        <v>0</v>
      </c>
      <c r="DR383" s="68">
        <v>0</v>
      </c>
      <c r="DS383" s="68">
        <v>0</v>
      </c>
      <c r="DT383" s="68">
        <v>0</v>
      </c>
      <c r="DU383" s="69">
        <v>0</v>
      </c>
      <c r="DV383" s="83"/>
      <c r="DW383" s="83"/>
      <c r="DX383" s="83"/>
      <c r="DY383" s="83"/>
      <c r="DZ383" s="83"/>
      <c r="EA383" s="83"/>
      <c r="EB383" s="83"/>
      <c r="EC383" s="83"/>
      <c r="ED383" s="83"/>
      <c r="EE383" s="83"/>
      <c r="EF383" s="83"/>
      <c r="EG383" s="83"/>
      <c r="EH383" s="83"/>
      <c r="EI383" s="61"/>
      <c r="EJ383" s="61"/>
      <c r="EK383" s="61"/>
      <c r="EL383" s="61"/>
      <c r="EM383" s="61"/>
      <c r="EN383" s="61"/>
      <c r="EO383" s="61"/>
      <c r="EP383" s="61"/>
      <c r="EQ383" s="61"/>
      <c r="ER383" s="61"/>
      <c r="ES383" s="61"/>
      <c r="FR383" s="63"/>
      <c r="FS383" s="63"/>
      <c r="FT383" s="63"/>
      <c r="FU383" s="63"/>
      <c r="FV383" s="63"/>
      <c r="FW383" s="63"/>
      <c r="FX383" s="63"/>
      <c r="FY383" s="63"/>
      <c r="FZ383" s="63"/>
      <c r="GA383" s="63"/>
      <c r="GB383" s="63"/>
      <c r="GC383" s="63"/>
      <c r="GE383" s="102"/>
    </row>
    <row r="384" spans="1:187">
      <c r="D384" s="59" t="str">
        <f t="shared" si="111"/>
        <v>4515p</v>
      </c>
      <c r="E384" s="60" t="s">
        <v>473</v>
      </c>
      <c r="F384" s="67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9"/>
      <c r="R384" s="67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69"/>
      <c r="AD384" s="67"/>
      <c r="AE384" s="68"/>
      <c r="AF384" s="68"/>
      <c r="AG384" s="68"/>
      <c r="AH384" s="68"/>
      <c r="AI384" s="68"/>
      <c r="AJ384" s="68"/>
      <c r="AK384" s="68"/>
      <c r="AL384" s="68"/>
      <c r="AM384" s="68"/>
      <c r="AN384" s="68"/>
      <c r="AO384" s="69"/>
      <c r="AP384" s="67"/>
      <c r="AQ384" s="68"/>
      <c r="AR384" s="68"/>
      <c r="AS384" s="68"/>
      <c r="AT384" s="68"/>
      <c r="AU384" s="68"/>
      <c r="AV384" s="68"/>
      <c r="AW384" s="68"/>
      <c r="AX384" s="68"/>
      <c r="AY384" s="68"/>
      <c r="AZ384" s="68"/>
      <c r="BA384" s="69"/>
      <c r="BB384" s="67"/>
      <c r="BC384" s="68"/>
      <c r="BD384" s="68"/>
      <c r="BE384" s="68"/>
      <c r="BF384" s="68"/>
      <c r="BG384" s="68"/>
      <c r="BH384" s="68"/>
      <c r="BI384" s="68"/>
      <c r="BJ384" s="68"/>
      <c r="BK384" s="68"/>
      <c r="BL384" s="68"/>
      <c r="BM384" s="69"/>
      <c r="BN384" s="67"/>
      <c r="BO384" s="68"/>
      <c r="BP384" s="68"/>
      <c r="BQ384" s="68"/>
      <c r="BR384" s="68"/>
      <c r="BS384" s="68"/>
      <c r="BT384" s="68"/>
      <c r="BU384" s="68"/>
      <c r="BV384" s="68"/>
      <c r="BW384" s="68"/>
      <c r="BX384" s="68"/>
      <c r="BY384" s="69"/>
      <c r="BZ384" s="67"/>
      <c r="CA384" s="68"/>
      <c r="CB384" s="68"/>
      <c r="CC384" s="68"/>
      <c r="CD384" s="68"/>
      <c r="CE384" s="68"/>
      <c r="CF384" s="68"/>
      <c r="CG384" s="68"/>
      <c r="CH384" s="68"/>
      <c r="CI384" s="68"/>
      <c r="CJ384" s="68"/>
      <c r="CK384" s="68"/>
      <c r="CL384" s="67">
        <v>43333.333333333299</v>
      </c>
      <c r="CM384" s="68">
        <v>43333.333333333299</v>
      </c>
      <c r="CN384" s="68">
        <v>43333.333333333299</v>
      </c>
      <c r="CO384" s="68">
        <v>43333.333333333299</v>
      </c>
      <c r="CP384" s="68">
        <v>43333.333333333299</v>
      </c>
      <c r="CQ384" s="68">
        <v>43333.333333333299</v>
      </c>
      <c r="CR384" s="68">
        <v>43333.333333333299</v>
      </c>
      <c r="CS384" s="68">
        <v>43333.333333333299</v>
      </c>
      <c r="CT384" s="68">
        <v>43333.333333333299</v>
      </c>
      <c r="CU384" s="68">
        <v>43333.333333333299</v>
      </c>
      <c r="CV384" s="68">
        <v>43333.333333333299</v>
      </c>
      <c r="CW384" s="69">
        <v>43333.333333333299</v>
      </c>
      <c r="CX384" s="107">
        <v>64166.666666666701</v>
      </c>
      <c r="CY384" s="108">
        <v>64166.666666666701</v>
      </c>
      <c r="CZ384" s="108">
        <v>64166.666666666701</v>
      </c>
      <c r="DA384" s="108">
        <v>64166.666666666701</v>
      </c>
      <c r="DB384" s="108">
        <v>64166.666666666701</v>
      </c>
      <c r="DC384" s="108">
        <v>64166.666666666701</v>
      </c>
      <c r="DD384" s="108">
        <v>64166.666666666701</v>
      </c>
      <c r="DE384" s="108">
        <v>64166.666666666701</v>
      </c>
      <c r="DF384" s="108">
        <v>64166.666666666701</v>
      </c>
      <c r="DG384" s="108">
        <v>64166.666666666701</v>
      </c>
      <c r="DH384" s="108">
        <v>64166.666666666701</v>
      </c>
      <c r="DI384" s="109">
        <v>64166.666666666701</v>
      </c>
      <c r="DJ384" s="67">
        <v>66666.666666666701</v>
      </c>
      <c r="DK384" s="68">
        <v>66666.666666666701</v>
      </c>
      <c r="DL384" s="68">
        <v>66666.666666666701</v>
      </c>
      <c r="DM384" s="68">
        <v>66666.666666666701</v>
      </c>
      <c r="DN384" s="68">
        <v>66666.666666666701</v>
      </c>
      <c r="DO384" s="68">
        <v>66666.666666666701</v>
      </c>
      <c r="DP384" s="68">
        <v>66666.666666666701</v>
      </c>
      <c r="DQ384" s="68">
        <v>66666.666666666701</v>
      </c>
      <c r="DR384" s="68">
        <v>66666.666666666701</v>
      </c>
      <c r="DS384" s="68">
        <v>66666.666666666701</v>
      </c>
      <c r="DT384" s="68">
        <v>66666.666666666701</v>
      </c>
      <c r="DU384" s="69">
        <v>66666.666666666701</v>
      </c>
      <c r="DV384" s="83"/>
      <c r="DW384" s="83"/>
      <c r="DX384" s="83"/>
      <c r="DY384" s="83"/>
      <c r="DZ384" s="83"/>
      <c r="EA384" s="83"/>
      <c r="EB384" s="83"/>
      <c r="EC384" s="83"/>
      <c r="ED384" s="83"/>
      <c r="EE384" s="83"/>
      <c r="EF384" s="83"/>
      <c r="EG384" s="83"/>
      <c r="EH384" s="83"/>
      <c r="EI384" s="61"/>
      <c r="EJ384" s="61"/>
      <c r="EK384" s="61"/>
      <c r="EL384" s="61"/>
      <c r="EM384" s="61"/>
      <c r="EN384" s="61"/>
      <c r="EO384" s="61"/>
      <c r="EP384" s="61"/>
      <c r="EQ384" s="61"/>
      <c r="ER384" s="61"/>
      <c r="ES384" s="61"/>
      <c r="FR384" s="63"/>
      <c r="FS384" s="63"/>
      <c r="FT384" s="63"/>
      <c r="FU384" s="63"/>
      <c r="FV384" s="63"/>
      <c r="FW384" s="63"/>
      <c r="FX384" s="63"/>
      <c r="FY384" s="63"/>
      <c r="FZ384" s="63"/>
      <c r="GA384" s="63"/>
      <c r="GB384" s="63"/>
      <c r="GC384" s="63"/>
      <c r="GE384" s="102"/>
    </row>
    <row r="385" spans="1:187" s="2" customFormat="1">
      <c r="A385" s="71" t="s">
        <v>6</v>
      </c>
      <c r="B385" s="71">
        <v>46</v>
      </c>
      <c r="C385" s="71"/>
      <c r="D385" s="71" t="str">
        <f t="shared" si="111"/>
        <v>p</v>
      </c>
      <c r="E385" s="72" t="s">
        <v>170</v>
      </c>
      <c r="F385" s="73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5"/>
      <c r="R385" s="73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5"/>
      <c r="AD385" s="73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5"/>
      <c r="AP385" s="73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5"/>
      <c r="BB385" s="73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5"/>
      <c r="BN385" s="73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5"/>
      <c r="BZ385" s="73"/>
      <c r="CA385" s="74"/>
      <c r="CB385" s="74"/>
      <c r="CC385" s="74"/>
      <c r="CD385" s="74"/>
      <c r="CE385" s="74"/>
      <c r="CF385" s="74"/>
      <c r="CG385" s="74"/>
      <c r="CH385" s="74"/>
      <c r="CI385" s="74"/>
      <c r="CJ385" s="74"/>
      <c r="CK385" s="74"/>
      <c r="CL385" s="73">
        <f t="shared" ref="CL385:CX385" si="116">+CL386+CL389+CL392</f>
        <v>9889761</v>
      </c>
      <c r="CM385" s="74">
        <f t="shared" si="116"/>
        <v>9889761</v>
      </c>
      <c r="CN385" s="74">
        <f t="shared" si="116"/>
        <v>9889761</v>
      </c>
      <c r="CO385" s="74">
        <f t="shared" si="116"/>
        <v>9889761</v>
      </c>
      <c r="CP385" s="74">
        <f t="shared" si="116"/>
        <v>9889761</v>
      </c>
      <c r="CQ385" s="74">
        <f t="shared" si="116"/>
        <v>9889761</v>
      </c>
      <c r="CR385" s="74">
        <f t="shared" si="116"/>
        <v>9889761</v>
      </c>
      <c r="CS385" s="74">
        <f t="shared" si="116"/>
        <v>9889761</v>
      </c>
      <c r="CT385" s="74">
        <f t="shared" si="116"/>
        <v>9889761</v>
      </c>
      <c r="CU385" s="74">
        <f t="shared" si="116"/>
        <v>9889761</v>
      </c>
      <c r="CV385" s="74">
        <f t="shared" si="116"/>
        <v>9889761</v>
      </c>
      <c r="CW385" s="75">
        <f t="shared" si="116"/>
        <v>9889761</v>
      </c>
      <c r="CX385" s="110">
        <f t="shared" si="116"/>
        <v>14285575.4575</v>
      </c>
      <c r="CY385" s="111">
        <f t="shared" ref="CY385:DJ385" si="117">+CY386+CY389+CY392</f>
        <v>14285575.4575</v>
      </c>
      <c r="CZ385" s="111">
        <f t="shared" si="117"/>
        <v>14285575.4575</v>
      </c>
      <c r="DA385" s="111">
        <f t="shared" si="117"/>
        <v>14285575.4575</v>
      </c>
      <c r="DB385" s="111">
        <f t="shared" si="117"/>
        <v>14285575.4575</v>
      </c>
      <c r="DC385" s="111">
        <f t="shared" si="117"/>
        <v>14285575.4575</v>
      </c>
      <c r="DD385" s="111">
        <f t="shared" si="117"/>
        <v>14285575.4575</v>
      </c>
      <c r="DE385" s="111">
        <f t="shared" si="117"/>
        <v>14285575.4575</v>
      </c>
      <c r="DF385" s="111">
        <f t="shared" si="117"/>
        <v>14285575.4575</v>
      </c>
      <c r="DG385" s="111">
        <f t="shared" si="117"/>
        <v>14285575.4575</v>
      </c>
      <c r="DH385" s="111">
        <f t="shared" si="117"/>
        <v>14285575.4575</v>
      </c>
      <c r="DI385" s="112">
        <f t="shared" si="117"/>
        <v>14285575.4575</v>
      </c>
      <c r="DJ385" s="73">
        <f t="shared" si="117"/>
        <v>33191007.0308333</v>
      </c>
      <c r="DK385" s="74">
        <f t="shared" ref="DK385:DU385" si="118">+DK386+DK389+DK392</f>
        <v>33191007.0308333</v>
      </c>
      <c r="DL385" s="74">
        <f t="shared" si="118"/>
        <v>33191007.0308333</v>
      </c>
      <c r="DM385" s="74">
        <f t="shared" si="118"/>
        <v>33191007.0308333</v>
      </c>
      <c r="DN385" s="74">
        <f t="shared" si="118"/>
        <v>33191007.0308333</v>
      </c>
      <c r="DO385" s="74">
        <f t="shared" si="118"/>
        <v>33191007.0308333</v>
      </c>
      <c r="DP385" s="74">
        <f t="shared" si="118"/>
        <v>33191007.0308333</v>
      </c>
      <c r="DQ385" s="74">
        <f t="shared" si="118"/>
        <v>33191007.0308333</v>
      </c>
      <c r="DR385" s="74">
        <f t="shared" si="118"/>
        <v>33191007.0308333</v>
      </c>
      <c r="DS385" s="74">
        <f t="shared" si="118"/>
        <v>33191007.0308333</v>
      </c>
      <c r="DT385" s="74">
        <f t="shared" si="118"/>
        <v>33191007.0308333</v>
      </c>
      <c r="DU385" s="74">
        <f t="shared" si="118"/>
        <v>33191007.0308333</v>
      </c>
      <c r="DV385" s="97">
        <f>DV386+DV389+DV392</f>
        <v>32768615.2925</v>
      </c>
      <c r="DW385" s="97">
        <f t="shared" ref="DW385:ES385" si="119">DW386+DW389+DW392</f>
        <v>32768615.2925</v>
      </c>
      <c r="DX385" s="97">
        <f t="shared" si="119"/>
        <v>32768615.2925</v>
      </c>
      <c r="DY385" s="97">
        <f t="shared" si="119"/>
        <v>32768615.2925</v>
      </c>
      <c r="DZ385" s="97">
        <f t="shared" si="119"/>
        <v>32768615.2925</v>
      </c>
      <c r="EA385" s="97">
        <f t="shared" si="119"/>
        <v>32768615.2925</v>
      </c>
      <c r="EB385" s="97">
        <f t="shared" si="119"/>
        <v>32768615.2925</v>
      </c>
      <c r="EC385" s="97">
        <f t="shared" si="119"/>
        <v>32768615.2925</v>
      </c>
      <c r="ED385" s="97">
        <f t="shared" si="119"/>
        <v>32768615.2925</v>
      </c>
      <c r="EE385" s="97">
        <f t="shared" si="119"/>
        <v>32768615.2925</v>
      </c>
      <c r="EF385" s="97">
        <f t="shared" si="119"/>
        <v>32768615.2925</v>
      </c>
      <c r="EG385" s="97">
        <f t="shared" si="119"/>
        <v>32768615.2925</v>
      </c>
      <c r="EH385" s="97">
        <f t="shared" si="119"/>
        <v>4617467.5633333297</v>
      </c>
      <c r="EI385" s="97">
        <f t="shared" si="119"/>
        <v>5248180.4533333303</v>
      </c>
      <c r="EJ385" s="97">
        <f t="shared" si="119"/>
        <v>18465645.143333301</v>
      </c>
      <c r="EK385" s="97">
        <f t="shared" si="119"/>
        <v>67460865.603333294</v>
      </c>
      <c r="EL385" s="97">
        <f t="shared" si="119"/>
        <v>10247541.7833333</v>
      </c>
      <c r="EM385" s="97">
        <f t="shared" si="119"/>
        <v>16046343.563333301</v>
      </c>
      <c r="EN385" s="97">
        <f t="shared" si="119"/>
        <v>23103608.3633333</v>
      </c>
      <c r="EO385" s="97">
        <f t="shared" si="119"/>
        <v>16877006.883333299</v>
      </c>
      <c r="EP385" s="97">
        <f t="shared" si="119"/>
        <v>17318908.0933333</v>
      </c>
      <c r="EQ385" s="97">
        <f t="shared" si="119"/>
        <v>9686739.4033333305</v>
      </c>
      <c r="ER385" s="97">
        <f t="shared" si="119"/>
        <v>11714826.133333299</v>
      </c>
      <c r="ES385" s="97">
        <f t="shared" si="119"/>
        <v>19628370.163333301</v>
      </c>
      <c r="FF385" s="106">
        <v>1718363.66</v>
      </c>
      <c r="FG385" s="106">
        <v>3362692.95</v>
      </c>
      <c r="FH385" s="106">
        <v>17620925.690000001</v>
      </c>
      <c r="FI385" s="106">
        <v>21217195.289999999</v>
      </c>
      <c r="FJ385" s="106">
        <v>181489557.88</v>
      </c>
      <c r="FK385" s="106">
        <v>16844785.800000001</v>
      </c>
      <c r="FL385" s="106">
        <v>61721044.270000003</v>
      </c>
      <c r="FM385" s="106">
        <v>13754741.09</v>
      </c>
      <c r="FN385" s="106">
        <v>17831317.309999999</v>
      </c>
      <c r="FO385" s="106">
        <v>6151156.2300000004</v>
      </c>
      <c r="FP385" s="106">
        <v>10176505.869999999</v>
      </c>
      <c r="FQ385" s="106">
        <v>21711713.960000001</v>
      </c>
      <c r="FR385" s="106">
        <v>1725839.1</v>
      </c>
      <c r="FS385" s="106">
        <v>3305317.26</v>
      </c>
      <c r="FT385" s="106">
        <v>339468444.25999999</v>
      </c>
      <c r="FU385" s="106">
        <v>17477408.559999999</v>
      </c>
      <c r="FV385" s="106">
        <v>15441444.539999999</v>
      </c>
      <c r="FW385" s="106">
        <v>12046825.949999999</v>
      </c>
      <c r="FX385" s="106">
        <v>11726652.869999999</v>
      </c>
      <c r="FY385" s="106">
        <v>8624889.1799999997</v>
      </c>
      <c r="FZ385" s="106">
        <v>18011093.800000001</v>
      </c>
      <c r="GA385" s="106">
        <v>9855652.5999999996</v>
      </c>
      <c r="GB385" s="106">
        <v>89792355.439999998</v>
      </c>
      <c r="GC385" s="106">
        <v>12114076.439999999</v>
      </c>
      <c r="GE385" s="101">
        <f>SUM(FR385:GC385)</f>
        <v>539590000</v>
      </c>
    </row>
    <row r="386" spans="1:187" s="2" customFormat="1">
      <c r="A386" s="71"/>
      <c r="B386" s="71"/>
      <c r="C386" s="71">
        <v>461</v>
      </c>
      <c r="D386" s="71" t="str">
        <f t="shared" si="111"/>
        <v>461p</v>
      </c>
      <c r="E386" s="72" t="s">
        <v>474</v>
      </c>
      <c r="F386" s="73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5"/>
      <c r="R386" s="73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5"/>
      <c r="AD386" s="73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5"/>
      <c r="AP386" s="73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5"/>
      <c r="BB386" s="73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5"/>
      <c r="BN386" s="73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5"/>
      <c r="BZ386" s="73"/>
      <c r="CA386" s="74"/>
      <c r="CB386" s="74"/>
      <c r="CC386" s="74"/>
      <c r="CD386" s="74"/>
      <c r="CE386" s="74"/>
      <c r="CF386" s="74"/>
      <c r="CG386" s="74"/>
      <c r="CH386" s="74"/>
      <c r="CI386" s="74"/>
      <c r="CJ386" s="74"/>
      <c r="CK386" s="74"/>
      <c r="CL386" s="73">
        <f t="shared" ref="CL386:CX386" si="120">+SUM(CL387:CL388)</f>
        <v>7208333.3333333302</v>
      </c>
      <c r="CM386" s="74">
        <f t="shared" si="120"/>
        <v>7208333.3333333302</v>
      </c>
      <c r="CN386" s="74">
        <f t="shared" si="120"/>
        <v>7208333.3333333302</v>
      </c>
      <c r="CO386" s="74">
        <f t="shared" si="120"/>
        <v>7208333.3333333302</v>
      </c>
      <c r="CP386" s="74">
        <f t="shared" si="120"/>
        <v>7208333.3333333302</v>
      </c>
      <c r="CQ386" s="74">
        <f t="shared" si="120"/>
        <v>7208333.3333333302</v>
      </c>
      <c r="CR386" s="74">
        <f t="shared" si="120"/>
        <v>7208333.3333333302</v>
      </c>
      <c r="CS386" s="74">
        <f t="shared" si="120"/>
        <v>7208333.3333333302</v>
      </c>
      <c r="CT386" s="74">
        <f t="shared" si="120"/>
        <v>7208333.3333333302</v>
      </c>
      <c r="CU386" s="74">
        <f t="shared" si="120"/>
        <v>7208333.3333333302</v>
      </c>
      <c r="CV386" s="74">
        <f t="shared" si="120"/>
        <v>7208333.3333333302</v>
      </c>
      <c r="CW386" s="75">
        <f t="shared" si="120"/>
        <v>7208333.3333333302</v>
      </c>
      <c r="CX386" s="110">
        <f t="shared" si="120"/>
        <v>11507395.460000001</v>
      </c>
      <c r="CY386" s="111">
        <f t="shared" ref="CY386:DJ386" si="121">+SUM(CY387:CY388)</f>
        <v>11507395.460000001</v>
      </c>
      <c r="CZ386" s="111">
        <f t="shared" si="121"/>
        <v>11507395.460000001</v>
      </c>
      <c r="DA386" s="111">
        <f t="shared" si="121"/>
        <v>11507395.460000001</v>
      </c>
      <c r="DB386" s="111">
        <f t="shared" si="121"/>
        <v>11507395.460000001</v>
      </c>
      <c r="DC386" s="111">
        <f t="shared" si="121"/>
        <v>11507395.460000001</v>
      </c>
      <c r="DD386" s="111">
        <f t="shared" si="121"/>
        <v>11507395.460000001</v>
      </c>
      <c r="DE386" s="111">
        <f t="shared" si="121"/>
        <v>11507395.460000001</v>
      </c>
      <c r="DF386" s="111">
        <f t="shared" si="121"/>
        <v>11507395.460000001</v>
      </c>
      <c r="DG386" s="111">
        <f t="shared" si="121"/>
        <v>11507395.460000001</v>
      </c>
      <c r="DH386" s="111">
        <f t="shared" si="121"/>
        <v>11507395.460000001</v>
      </c>
      <c r="DI386" s="112">
        <f t="shared" si="121"/>
        <v>11507395.460000001</v>
      </c>
      <c r="DJ386" s="73">
        <f t="shared" si="121"/>
        <v>30373417.0308333</v>
      </c>
      <c r="DK386" s="74">
        <f t="shared" ref="DK386:ES386" si="122">+SUM(DK387:DK388)</f>
        <v>30373417.0308333</v>
      </c>
      <c r="DL386" s="74">
        <f t="shared" si="122"/>
        <v>30373417.0308333</v>
      </c>
      <c r="DM386" s="74">
        <f t="shared" si="122"/>
        <v>30373417.0308333</v>
      </c>
      <c r="DN386" s="74">
        <f t="shared" si="122"/>
        <v>30373417.0308333</v>
      </c>
      <c r="DO386" s="74">
        <f t="shared" si="122"/>
        <v>30373417.0308333</v>
      </c>
      <c r="DP386" s="74">
        <f t="shared" si="122"/>
        <v>30373417.0308333</v>
      </c>
      <c r="DQ386" s="74">
        <f t="shared" si="122"/>
        <v>30373417.0308333</v>
      </c>
      <c r="DR386" s="74">
        <f t="shared" si="122"/>
        <v>30373417.0308333</v>
      </c>
      <c r="DS386" s="74">
        <f t="shared" si="122"/>
        <v>30373417.0308333</v>
      </c>
      <c r="DT386" s="74">
        <f t="shared" si="122"/>
        <v>30373417.0308333</v>
      </c>
      <c r="DU386" s="74">
        <f t="shared" si="122"/>
        <v>30373417.0308333</v>
      </c>
      <c r="DV386" s="74">
        <f t="shared" si="122"/>
        <v>29487385.678333301</v>
      </c>
      <c r="DW386" s="74">
        <f t="shared" si="122"/>
        <v>29487385.678333301</v>
      </c>
      <c r="DX386" s="74">
        <f t="shared" si="122"/>
        <v>29487385.678333301</v>
      </c>
      <c r="DY386" s="74">
        <f t="shared" si="122"/>
        <v>29487385.678333301</v>
      </c>
      <c r="DZ386" s="74">
        <f t="shared" si="122"/>
        <v>29487385.678333301</v>
      </c>
      <c r="EA386" s="74">
        <f t="shared" si="122"/>
        <v>29487385.678333301</v>
      </c>
      <c r="EB386" s="74">
        <f t="shared" si="122"/>
        <v>29487385.678333301</v>
      </c>
      <c r="EC386" s="74">
        <f t="shared" si="122"/>
        <v>29487385.678333301</v>
      </c>
      <c r="ED386" s="74">
        <f t="shared" si="122"/>
        <v>29487385.678333301</v>
      </c>
      <c r="EE386" s="74">
        <f t="shared" si="122"/>
        <v>29487385.678333301</v>
      </c>
      <c r="EF386" s="74">
        <f t="shared" si="122"/>
        <v>29487385.678333301</v>
      </c>
      <c r="EG386" s="74">
        <f t="shared" si="122"/>
        <v>29487385.678333301</v>
      </c>
      <c r="EH386" s="74">
        <f t="shared" si="122"/>
        <v>1807759.33</v>
      </c>
      <c r="EI386" s="74">
        <f t="shared" si="122"/>
        <v>2438472.2200000002</v>
      </c>
      <c r="EJ386" s="74">
        <f t="shared" si="122"/>
        <v>15655936.91</v>
      </c>
      <c r="EK386" s="74">
        <f t="shared" si="122"/>
        <v>64651157.369999997</v>
      </c>
      <c r="EL386" s="74">
        <f t="shared" si="122"/>
        <v>7437833.5499999998</v>
      </c>
      <c r="EM386" s="74">
        <f t="shared" si="122"/>
        <v>13236635.33</v>
      </c>
      <c r="EN386" s="74">
        <f t="shared" si="122"/>
        <v>20293900.129999999</v>
      </c>
      <c r="EO386" s="74">
        <f t="shared" si="122"/>
        <v>14067298.65</v>
      </c>
      <c r="EP386" s="74">
        <f t="shared" si="122"/>
        <v>14509199.859999999</v>
      </c>
      <c r="EQ386" s="74">
        <f t="shared" si="122"/>
        <v>6877031.1699999999</v>
      </c>
      <c r="ER386" s="74">
        <f t="shared" si="122"/>
        <v>8905117.9000000004</v>
      </c>
      <c r="ES386" s="74">
        <f t="shared" si="122"/>
        <v>16818661.93</v>
      </c>
      <c r="FF386" s="106">
        <v>1718363.66</v>
      </c>
      <c r="FG386" s="106">
        <v>3362692.95</v>
      </c>
      <c r="FH386" s="106">
        <v>17620925.690000001</v>
      </c>
      <c r="FI386" s="106">
        <v>21217195.289999999</v>
      </c>
      <c r="FJ386" s="106">
        <v>181489557.88</v>
      </c>
      <c r="FK386" s="106">
        <v>16844785.800000001</v>
      </c>
      <c r="FL386" s="106">
        <v>61721044.270000003</v>
      </c>
      <c r="FM386" s="106">
        <v>13754741.09</v>
      </c>
      <c r="FN386" s="106">
        <v>17831317.309999999</v>
      </c>
      <c r="FO386" s="106">
        <v>6151156.2300000004</v>
      </c>
      <c r="FP386" s="106">
        <v>10176505.869999999</v>
      </c>
      <c r="FQ386" s="106">
        <v>21711713.960000001</v>
      </c>
      <c r="FR386" s="106">
        <v>1725839.1</v>
      </c>
      <c r="FS386" s="106">
        <v>3305317.26</v>
      </c>
      <c r="FT386" s="106">
        <v>339468444.25999999</v>
      </c>
      <c r="FU386" s="106">
        <v>17477408.559999999</v>
      </c>
      <c r="FV386" s="106">
        <v>15441444.539999999</v>
      </c>
      <c r="FW386" s="106">
        <v>12046825.949999999</v>
      </c>
      <c r="FX386" s="106">
        <v>11726652.869999999</v>
      </c>
      <c r="FY386" s="106">
        <v>8624889.1799999997</v>
      </c>
      <c r="FZ386" s="106">
        <v>18011093.800000001</v>
      </c>
      <c r="GA386" s="106">
        <v>9855652.5999999996</v>
      </c>
      <c r="GB386" s="106">
        <v>89792355.439999998</v>
      </c>
      <c r="GC386" s="106">
        <v>12114076.439999999</v>
      </c>
      <c r="GE386" s="101">
        <f>SUM(FR386:GC386)</f>
        <v>539590000</v>
      </c>
    </row>
    <row r="387" spans="1:187" ht="30">
      <c r="D387" s="59" t="str">
        <f t="shared" si="111"/>
        <v>4611p</v>
      </c>
      <c r="E387" s="60" t="s">
        <v>171</v>
      </c>
      <c r="F387" s="67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9"/>
      <c r="R387" s="67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69"/>
      <c r="AD387" s="67"/>
      <c r="AE387" s="68"/>
      <c r="AF387" s="68"/>
      <c r="AG387" s="68"/>
      <c r="AH387" s="68"/>
      <c r="AI387" s="68"/>
      <c r="AJ387" s="68"/>
      <c r="AK387" s="68"/>
      <c r="AL387" s="68"/>
      <c r="AM387" s="68"/>
      <c r="AN387" s="68"/>
      <c r="AO387" s="69"/>
      <c r="AP387" s="67"/>
      <c r="AQ387" s="68"/>
      <c r="AR387" s="68"/>
      <c r="AS387" s="68"/>
      <c r="AT387" s="68"/>
      <c r="AU387" s="68"/>
      <c r="AV387" s="68"/>
      <c r="AW387" s="68"/>
      <c r="AX387" s="68"/>
      <c r="AY387" s="68"/>
      <c r="AZ387" s="68"/>
      <c r="BA387" s="69"/>
      <c r="BB387" s="67"/>
      <c r="BC387" s="68"/>
      <c r="BD387" s="68"/>
      <c r="BE387" s="68"/>
      <c r="BF387" s="68"/>
      <c r="BG387" s="68"/>
      <c r="BH387" s="68"/>
      <c r="BI387" s="68"/>
      <c r="BJ387" s="68"/>
      <c r="BK387" s="68"/>
      <c r="BL387" s="68"/>
      <c r="BM387" s="69"/>
      <c r="BN387" s="67"/>
      <c r="BO387" s="68"/>
      <c r="BP387" s="68"/>
      <c r="BQ387" s="68"/>
      <c r="BR387" s="68"/>
      <c r="BS387" s="68"/>
      <c r="BT387" s="68"/>
      <c r="BU387" s="68"/>
      <c r="BV387" s="68"/>
      <c r="BW387" s="68"/>
      <c r="BX387" s="68"/>
      <c r="BY387" s="69"/>
      <c r="BZ387" s="67"/>
      <c r="CA387" s="68"/>
      <c r="CB387" s="68"/>
      <c r="CC387" s="68"/>
      <c r="CD387" s="68"/>
      <c r="CE387" s="68"/>
      <c r="CF387" s="68"/>
      <c r="CG387" s="68"/>
      <c r="CH387" s="68"/>
      <c r="CI387" s="68"/>
      <c r="CJ387" s="68"/>
      <c r="CK387" s="68"/>
      <c r="CL387" s="67">
        <v>1983333.33333333</v>
      </c>
      <c r="CM387" s="68">
        <v>1983333.33333333</v>
      </c>
      <c r="CN387" s="68">
        <v>1983333.33333333</v>
      </c>
      <c r="CO387" s="68">
        <v>1983333.33333333</v>
      </c>
      <c r="CP387" s="68">
        <v>1983333.33333333</v>
      </c>
      <c r="CQ387" s="68">
        <v>1983333.33333333</v>
      </c>
      <c r="CR387" s="116">
        <v>1983333.33333333</v>
      </c>
      <c r="CS387" s="116">
        <v>1983333.33333333</v>
      </c>
      <c r="CT387" s="116">
        <v>1983333.33333333</v>
      </c>
      <c r="CU387" s="116">
        <v>1983333.33333333</v>
      </c>
      <c r="CV387" s="116">
        <v>1983333.33333333</v>
      </c>
      <c r="CW387" s="117">
        <v>1983333.33333333</v>
      </c>
      <c r="CX387" s="118">
        <v>2500695.4391666702</v>
      </c>
      <c r="CY387" s="119">
        <v>2500695.4391666702</v>
      </c>
      <c r="CZ387" s="119">
        <v>2500695.4391666702</v>
      </c>
      <c r="DA387" s="119">
        <v>2500695.4391666702</v>
      </c>
      <c r="DB387" s="119">
        <v>2500695.4391666702</v>
      </c>
      <c r="DC387" s="119">
        <v>2500695.4391666702</v>
      </c>
      <c r="DD387" s="119">
        <v>2500695.4391666702</v>
      </c>
      <c r="DE387" s="119">
        <v>2500695.4391666702</v>
      </c>
      <c r="DF387" s="119">
        <v>2500695.4391666702</v>
      </c>
      <c r="DG387" s="119">
        <v>2500695.4391666702</v>
      </c>
      <c r="DH387" s="119">
        <v>2500695.4391666702</v>
      </c>
      <c r="DI387" s="120">
        <v>2500695.4391666702</v>
      </c>
      <c r="DJ387" s="121">
        <v>3892510.16</v>
      </c>
      <c r="DK387" s="116">
        <v>3892510.16</v>
      </c>
      <c r="DL387" s="116">
        <v>3892510.16</v>
      </c>
      <c r="DM387" s="116">
        <v>3892510.16</v>
      </c>
      <c r="DN387" s="116">
        <v>3892510.16</v>
      </c>
      <c r="DO387" s="116">
        <v>3892510.16</v>
      </c>
      <c r="DP387" s="116">
        <v>3892510.16</v>
      </c>
      <c r="DQ387" s="116">
        <v>3892510.16</v>
      </c>
      <c r="DR387" s="116">
        <v>3892510.16</v>
      </c>
      <c r="DS387" s="116">
        <v>3892510.16</v>
      </c>
      <c r="DT387" s="116">
        <v>3892510.16</v>
      </c>
      <c r="DU387" s="117">
        <v>3892510.16</v>
      </c>
      <c r="DV387" s="122">
        <v>3722931.88666667</v>
      </c>
      <c r="DW387" s="122">
        <v>3722931.88666667</v>
      </c>
      <c r="DX387" s="122">
        <v>3722931.88666667</v>
      </c>
      <c r="DY387" s="122">
        <v>3722931.88666667</v>
      </c>
      <c r="DZ387" s="122">
        <v>3722931.88666667</v>
      </c>
      <c r="EA387" s="122">
        <v>3722931.88666667</v>
      </c>
      <c r="EB387" s="122">
        <v>3722931.88666667</v>
      </c>
      <c r="EC387" s="122">
        <v>3722931.88666667</v>
      </c>
      <c r="ED387" s="122">
        <v>3722931.88666667</v>
      </c>
      <c r="EE387" s="122">
        <v>3722931.88666667</v>
      </c>
      <c r="EF387" s="122">
        <v>3722931.88666667</v>
      </c>
      <c r="EG387" s="122">
        <v>3722931.88666667</v>
      </c>
      <c r="EH387" s="122">
        <v>174340.51</v>
      </c>
      <c r="EI387" s="122">
        <v>177326.85</v>
      </c>
      <c r="EJ387" s="122">
        <v>7687779.1100000003</v>
      </c>
      <c r="EK387" s="122">
        <v>191127.48</v>
      </c>
      <c r="EL387" s="122">
        <v>949797.77</v>
      </c>
      <c r="EM387" s="122">
        <v>2019268.13</v>
      </c>
      <c r="EN387" s="122">
        <v>10660481.32</v>
      </c>
      <c r="EO387" s="122">
        <v>11526152.189999999</v>
      </c>
      <c r="EP387" s="122">
        <v>10016017.119999999</v>
      </c>
      <c r="EQ387" s="122">
        <v>1834828.67</v>
      </c>
      <c r="ER387" s="122">
        <v>2345417.37</v>
      </c>
      <c r="ES387" s="122">
        <v>4329305.63</v>
      </c>
      <c r="ET387" s="123">
        <v>116701.86</v>
      </c>
      <c r="EU387" s="124">
        <v>867332.36</v>
      </c>
      <c r="EV387" s="124">
        <v>7801367.0199999996</v>
      </c>
      <c r="EW387" s="124">
        <v>4481623.79</v>
      </c>
      <c r="EX387" s="124">
        <v>2831467.37</v>
      </c>
      <c r="EY387" s="124">
        <v>7170000.0800000001</v>
      </c>
      <c r="EZ387" s="124">
        <v>82322.3</v>
      </c>
      <c r="FA387" s="124">
        <v>10832753.109999999</v>
      </c>
      <c r="FB387" s="124">
        <v>1958366.01</v>
      </c>
      <c r="FC387" s="124">
        <v>1510132.11</v>
      </c>
      <c r="FD387" s="124">
        <v>834059.15</v>
      </c>
      <c r="FE387" s="124">
        <v>12202154.65</v>
      </c>
      <c r="FF387" s="114">
        <v>84944.84</v>
      </c>
      <c r="FG387" s="114">
        <v>835385.84</v>
      </c>
      <c r="FH387" s="114">
        <v>1812259.88</v>
      </c>
      <c r="FI387" s="114">
        <v>4541832.53</v>
      </c>
      <c r="FJ387" s="114">
        <v>2836722.65</v>
      </c>
      <c r="FK387" s="114">
        <v>7054086.1200000001</v>
      </c>
      <c r="FL387" s="114">
        <v>87625.45</v>
      </c>
      <c r="FM387" s="114">
        <v>10838080.380000001</v>
      </c>
      <c r="FN387" s="114">
        <v>1831359.63</v>
      </c>
      <c r="FO387" s="114">
        <v>1571862.21</v>
      </c>
      <c r="FP387" s="114">
        <v>839459.36</v>
      </c>
      <c r="FQ387" s="114">
        <v>11766381.15</v>
      </c>
      <c r="FR387" s="63">
        <v>91120.67</v>
      </c>
      <c r="FS387" s="63">
        <v>840866.05</v>
      </c>
      <c r="FT387" s="63">
        <v>1854795.8</v>
      </c>
      <c r="FU387" s="63">
        <v>1603894.94</v>
      </c>
      <c r="FV387" s="63">
        <v>5842278.7800000003</v>
      </c>
      <c r="FW387" s="63">
        <v>2108294.2799999998</v>
      </c>
      <c r="FX387" s="63">
        <v>10093234.060000001</v>
      </c>
      <c r="FY387" s="63">
        <v>5750000</v>
      </c>
      <c r="FZ387" s="63">
        <v>1782460.98</v>
      </c>
      <c r="GA387" s="63">
        <v>6541765.7599999998</v>
      </c>
      <c r="GB387" s="63">
        <v>81160000</v>
      </c>
      <c r="GC387" s="63">
        <v>2041288.68</v>
      </c>
      <c r="GE387" s="102">
        <f>SUM(FR387:GC387)</f>
        <v>119710000</v>
      </c>
    </row>
    <row r="388" spans="1:187" ht="30">
      <c r="D388" s="59" t="str">
        <f t="shared" si="111"/>
        <v>4612p</v>
      </c>
      <c r="E388" s="60" t="s">
        <v>172</v>
      </c>
      <c r="F388" s="67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9"/>
      <c r="R388" s="67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69"/>
      <c r="AD388" s="67"/>
      <c r="AE388" s="68"/>
      <c r="AF388" s="68"/>
      <c r="AG388" s="68"/>
      <c r="AH388" s="68"/>
      <c r="AI388" s="68"/>
      <c r="AJ388" s="68"/>
      <c r="AK388" s="68"/>
      <c r="AL388" s="68"/>
      <c r="AM388" s="68"/>
      <c r="AN388" s="68"/>
      <c r="AO388" s="69"/>
      <c r="AP388" s="67"/>
      <c r="AQ388" s="68"/>
      <c r="AR388" s="68"/>
      <c r="AS388" s="68"/>
      <c r="AT388" s="68"/>
      <c r="AU388" s="68"/>
      <c r="AV388" s="68"/>
      <c r="AW388" s="68"/>
      <c r="AX388" s="68"/>
      <c r="AY388" s="68"/>
      <c r="AZ388" s="68"/>
      <c r="BA388" s="69"/>
      <c r="BB388" s="67"/>
      <c r="BC388" s="68"/>
      <c r="BD388" s="68"/>
      <c r="BE388" s="68"/>
      <c r="BF388" s="68"/>
      <c r="BG388" s="68"/>
      <c r="BH388" s="68"/>
      <c r="BI388" s="68"/>
      <c r="BJ388" s="68"/>
      <c r="BK388" s="68"/>
      <c r="BL388" s="68"/>
      <c r="BM388" s="69"/>
      <c r="BN388" s="67"/>
      <c r="BO388" s="68"/>
      <c r="BP388" s="68"/>
      <c r="BQ388" s="68"/>
      <c r="BR388" s="68"/>
      <c r="BS388" s="68"/>
      <c r="BT388" s="68"/>
      <c r="BU388" s="68"/>
      <c r="BV388" s="68"/>
      <c r="BW388" s="68"/>
      <c r="BX388" s="68"/>
      <c r="BY388" s="69"/>
      <c r="BZ388" s="67"/>
      <c r="CA388" s="68"/>
      <c r="CB388" s="68"/>
      <c r="CC388" s="68"/>
      <c r="CD388" s="68"/>
      <c r="CE388" s="68"/>
      <c r="CF388" s="68"/>
      <c r="CG388" s="68"/>
      <c r="CH388" s="68"/>
      <c r="CI388" s="68"/>
      <c r="CJ388" s="68"/>
      <c r="CK388" s="68"/>
      <c r="CL388" s="67">
        <v>5225000</v>
      </c>
      <c r="CM388" s="68">
        <v>5225000</v>
      </c>
      <c r="CN388" s="68">
        <v>5225000</v>
      </c>
      <c r="CO388" s="68">
        <v>5225000</v>
      </c>
      <c r="CP388" s="68">
        <v>5225000</v>
      </c>
      <c r="CQ388" s="68">
        <v>5225000</v>
      </c>
      <c r="CR388" s="68">
        <v>5225000</v>
      </c>
      <c r="CS388" s="68">
        <v>5225000</v>
      </c>
      <c r="CT388" s="68">
        <v>5225000</v>
      </c>
      <c r="CU388" s="68">
        <v>5225000</v>
      </c>
      <c r="CV388" s="68">
        <v>5225000</v>
      </c>
      <c r="CW388" s="69">
        <v>5225000</v>
      </c>
      <c r="CX388" s="107">
        <v>9006700.0208333302</v>
      </c>
      <c r="CY388" s="108">
        <v>9006700.0208333302</v>
      </c>
      <c r="CZ388" s="108">
        <v>9006700.0208333302</v>
      </c>
      <c r="DA388" s="108">
        <v>9006700.0208333302</v>
      </c>
      <c r="DB388" s="108">
        <v>9006700.0208333302</v>
      </c>
      <c r="DC388" s="108">
        <v>9006700.0208333302</v>
      </c>
      <c r="DD388" s="108">
        <v>9006700.0208333302</v>
      </c>
      <c r="DE388" s="108">
        <v>9006700.0208333302</v>
      </c>
      <c r="DF388" s="108">
        <v>9006700.0208333302</v>
      </c>
      <c r="DG388" s="108">
        <v>9006700.0208333302</v>
      </c>
      <c r="DH388" s="108">
        <v>9006700.0208333302</v>
      </c>
      <c r="DI388" s="109">
        <v>9006700.0208333302</v>
      </c>
      <c r="DJ388" s="67">
        <v>26480906.8708333</v>
      </c>
      <c r="DK388" s="68">
        <v>26480906.8708333</v>
      </c>
      <c r="DL388" s="68">
        <v>26480906.8708333</v>
      </c>
      <c r="DM388" s="68">
        <v>26480906.8708333</v>
      </c>
      <c r="DN388" s="68">
        <v>26480906.8708333</v>
      </c>
      <c r="DO388" s="68">
        <v>26480906.8708333</v>
      </c>
      <c r="DP388" s="68">
        <v>26480906.8708333</v>
      </c>
      <c r="DQ388" s="68">
        <v>26480906.8708333</v>
      </c>
      <c r="DR388" s="68">
        <v>26480906.8708333</v>
      </c>
      <c r="DS388" s="68">
        <v>26480906.8708333</v>
      </c>
      <c r="DT388" s="68">
        <v>26480906.8708333</v>
      </c>
      <c r="DU388" s="69">
        <v>26480906.8708333</v>
      </c>
      <c r="DV388" s="83">
        <v>25764453.791666701</v>
      </c>
      <c r="DW388" s="83">
        <v>25764453.791666701</v>
      </c>
      <c r="DX388" s="83">
        <v>25764453.791666701</v>
      </c>
      <c r="DY388" s="83">
        <v>25764453.791666701</v>
      </c>
      <c r="DZ388" s="83">
        <v>25764453.791666701</v>
      </c>
      <c r="EA388" s="83">
        <v>25764453.791666701</v>
      </c>
      <c r="EB388" s="83">
        <v>25764453.791666701</v>
      </c>
      <c r="EC388" s="83">
        <v>25764453.791666701</v>
      </c>
      <c r="ED388" s="83">
        <v>25764453.791666701</v>
      </c>
      <c r="EE388" s="83">
        <v>25764453.791666701</v>
      </c>
      <c r="EF388" s="83">
        <v>25764453.791666701</v>
      </c>
      <c r="EG388" s="83">
        <v>25764453.791666701</v>
      </c>
      <c r="EH388" s="83">
        <v>1633418.82</v>
      </c>
      <c r="EI388" s="83">
        <v>2261145.37</v>
      </c>
      <c r="EJ388" s="83">
        <v>7968157.7999999998</v>
      </c>
      <c r="EK388" s="83">
        <v>64460029.890000001</v>
      </c>
      <c r="EL388" s="83">
        <v>6488035.7800000003</v>
      </c>
      <c r="EM388" s="83">
        <v>11217367.199999999</v>
      </c>
      <c r="EN388" s="83">
        <v>9633418.8100000005</v>
      </c>
      <c r="EO388" s="83">
        <v>2541146.46</v>
      </c>
      <c r="EP388" s="83">
        <v>4493182.74</v>
      </c>
      <c r="EQ388" s="83">
        <v>5042202.5</v>
      </c>
      <c r="ER388" s="83">
        <v>6559700.5300000003</v>
      </c>
      <c r="ES388" s="83">
        <v>12489356.300000001</v>
      </c>
      <c r="ET388" s="123">
        <v>2071825.56457702</v>
      </c>
      <c r="EU388" s="124">
        <v>2862393.2253735201</v>
      </c>
      <c r="EV388" s="124">
        <v>12467636.9182407</v>
      </c>
      <c r="EW388" s="124">
        <v>17326274.372907501</v>
      </c>
      <c r="EX388" s="124">
        <v>15150457.6060907</v>
      </c>
      <c r="EY388" s="124">
        <v>8947929.76457702</v>
      </c>
      <c r="EZ388" s="124">
        <v>2071825.55457702</v>
      </c>
      <c r="FA388" s="124">
        <v>2989936.9753735201</v>
      </c>
      <c r="FB388" s="124">
        <v>16625761.232895499</v>
      </c>
      <c r="FC388" s="124">
        <v>4165314.0029075202</v>
      </c>
      <c r="FD388" s="124">
        <v>6972714.9579030201</v>
      </c>
      <c r="FE388" s="124">
        <v>369847929.82457697</v>
      </c>
      <c r="FF388" s="114">
        <v>1633418.82</v>
      </c>
      <c r="FG388" s="114">
        <v>2527307.11</v>
      </c>
      <c r="FH388" s="114">
        <v>15808665.810000001</v>
      </c>
      <c r="FI388" s="114">
        <v>16675362.76</v>
      </c>
      <c r="FJ388" s="114">
        <v>178652835.22999999</v>
      </c>
      <c r="FK388" s="114">
        <v>9790699.6799999997</v>
      </c>
      <c r="FL388" s="114">
        <v>61633418.82</v>
      </c>
      <c r="FM388" s="114">
        <v>2916660.71</v>
      </c>
      <c r="FN388" s="114">
        <v>15999957.68</v>
      </c>
      <c r="FO388" s="114">
        <v>4579294.0199999996</v>
      </c>
      <c r="FP388" s="114">
        <v>9337046.5099999998</v>
      </c>
      <c r="FQ388" s="114">
        <v>9945332.8100000005</v>
      </c>
      <c r="FR388" s="63">
        <v>1634718.43</v>
      </c>
      <c r="FS388" s="63">
        <v>2464451.21</v>
      </c>
      <c r="FT388" s="63">
        <v>337613648.45999998</v>
      </c>
      <c r="FU388" s="63">
        <v>15873513.619999999</v>
      </c>
      <c r="FV388" s="63">
        <v>9599165.7599999998</v>
      </c>
      <c r="FW388" s="63">
        <v>9938531.6699999999</v>
      </c>
      <c r="FX388" s="63">
        <v>1633418.81</v>
      </c>
      <c r="FY388" s="63">
        <v>2874889.18</v>
      </c>
      <c r="FZ388" s="63">
        <v>16228632.82</v>
      </c>
      <c r="GA388" s="63">
        <v>3313886.84</v>
      </c>
      <c r="GB388" s="63">
        <v>8632355.4399999995</v>
      </c>
      <c r="GC388" s="63">
        <v>10072787.76</v>
      </c>
      <c r="GE388" s="102">
        <f>SUM(FR388:GC388)</f>
        <v>419880000</v>
      </c>
    </row>
    <row r="389" spans="1:187" s="2" customFormat="1">
      <c r="A389" s="71"/>
      <c r="B389" s="71"/>
      <c r="C389" s="71">
        <v>462</v>
      </c>
      <c r="D389" s="71" t="str">
        <f t="shared" si="111"/>
        <v>462p</v>
      </c>
      <c r="E389" s="72" t="s">
        <v>165</v>
      </c>
      <c r="F389" s="73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5"/>
      <c r="R389" s="73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5"/>
      <c r="AD389" s="73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5"/>
      <c r="AP389" s="73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5"/>
      <c r="BB389" s="73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5"/>
      <c r="BN389" s="73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5"/>
      <c r="BZ389" s="73"/>
      <c r="CA389" s="74"/>
      <c r="CB389" s="74"/>
      <c r="CC389" s="74"/>
      <c r="CD389" s="74"/>
      <c r="CE389" s="74"/>
      <c r="CF389" s="74"/>
      <c r="CG389" s="74"/>
      <c r="CH389" s="74"/>
      <c r="CI389" s="74"/>
      <c r="CJ389" s="74"/>
      <c r="CK389" s="74"/>
      <c r="CL389" s="73">
        <f t="shared" ref="CL389:CX389" si="123">+SUM(CL390:CL391)</f>
        <v>0</v>
      </c>
      <c r="CM389" s="74">
        <f t="shared" si="123"/>
        <v>0</v>
      </c>
      <c r="CN389" s="74">
        <f t="shared" si="123"/>
        <v>0</v>
      </c>
      <c r="CO389" s="74">
        <f t="shared" si="123"/>
        <v>0</v>
      </c>
      <c r="CP389" s="74">
        <f t="shared" si="123"/>
        <v>0</v>
      </c>
      <c r="CQ389" s="74">
        <f t="shared" si="123"/>
        <v>0</v>
      </c>
      <c r="CR389" s="74">
        <f t="shared" si="123"/>
        <v>0</v>
      </c>
      <c r="CS389" s="74">
        <f t="shared" si="123"/>
        <v>0</v>
      </c>
      <c r="CT389" s="74">
        <f t="shared" si="123"/>
        <v>0</v>
      </c>
      <c r="CU389" s="74">
        <f t="shared" si="123"/>
        <v>0</v>
      </c>
      <c r="CV389" s="74">
        <f t="shared" si="123"/>
        <v>0</v>
      </c>
      <c r="CW389" s="75">
        <f t="shared" si="123"/>
        <v>0</v>
      </c>
      <c r="CX389" s="110">
        <f t="shared" si="123"/>
        <v>0</v>
      </c>
      <c r="CY389" s="111">
        <f t="shared" ref="CY389:DJ389" si="124">+SUM(CY390:CY391)</f>
        <v>0</v>
      </c>
      <c r="CZ389" s="111">
        <f t="shared" si="124"/>
        <v>0</v>
      </c>
      <c r="DA389" s="111">
        <f t="shared" si="124"/>
        <v>0</v>
      </c>
      <c r="DB389" s="111">
        <f t="shared" si="124"/>
        <v>0</v>
      </c>
      <c r="DC389" s="111">
        <f t="shared" si="124"/>
        <v>0</v>
      </c>
      <c r="DD389" s="111">
        <f t="shared" si="124"/>
        <v>0</v>
      </c>
      <c r="DE389" s="111">
        <f t="shared" si="124"/>
        <v>0</v>
      </c>
      <c r="DF389" s="111">
        <f t="shared" si="124"/>
        <v>0</v>
      </c>
      <c r="DG389" s="111">
        <f t="shared" si="124"/>
        <v>0</v>
      </c>
      <c r="DH389" s="111">
        <f t="shared" si="124"/>
        <v>0</v>
      </c>
      <c r="DI389" s="112">
        <f t="shared" si="124"/>
        <v>0</v>
      </c>
      <c r="DJ389" s="73">
        <f t="shared" si="124"/>
        <v>0</v>
      </c>
      <c r="DK389" s="74">
        <f t="shared" ref="DK389:DU389" si="125">+SUM(DK390:DK391)</f>
        <v>0</v>
      </c>
      <c r="DL389" s="74">
        <f t="shared" si="125"/>
        <v>0</v>
      </c>
      <c r="DM389" s="74">
        <f t="shared" si="125"/>
        <v>0</v>
      </c>
      <c r="DN389" s="74">
        <f t="shared" si="125"/>
        <v>0</v>
      </c>
      <c r="DO389" s="74">
        <f t="shared" si="125"/>
        <v>0</v>
      </c>
      <c r="DP389" s="74">
        <f t="shared" si="125"/>
        <v>0</v>
      </c>
      <c r="DQ389" s="74">
        <f t="shared" si="125"/>
        <v>0</v>
      </c>
      <c r="DR389" s="74">
        <f t="shared" si="125"/>
        <v>0</v>
      </c>
      <c r="DS389" s="74">
        <f t="shared" si="125"/>
        <v>0</v>
      </c>
      <c r="DT389" s="74">
        <f t="shared" si="125"/>
        <v>0</v>
      </c>
      <c r="DU389" s="75">
        <f t="shared" si="125"/>
        <v>0</v>
      </c>
      <c r="DV389" s="97">
        <v>0</v>
      </c>
      <c r="DW389" s="97">
        <v>0</v>
      </c>
      <c r="DX389" s="97">
        <v>0</v>
      </c>
      <c r="DY389" s="97">
        <v>0</v>
      </c>
      <c r="DZ389" s="97">
        <v>0</v>
      </c>
      <c r="EA389" s="97">
        <v>0</v>
      </c>
      <c r="EB389" s="97">
        <v>0</v>
      </c>
      <c r="EC389" s="97">
        <v>0</v>
      </c>
      <c r="ED389" s="97">
        <v>0</v>
      </c>
      <c r="EE389" s="97">
        <v>0</v>
      </c>
      <c r="EF389" s="97">
        <v>0</v>
      </c>
      <c r="EG389" s="97">
        <v>0</v>
      </c>
      <c r="EH389" s="97">
        <v>0</v>
      </c>
      <c r="EI389" s="97">
        <v>0</v>
      </c>
      <c r="EJ389" s="97">
        <v>0</v>
      </c>
      <c r="EK389" s="97">
        <v>0</v>
      </c>
      <c r="EL389" s="97">
        <v>0</v>
      </c>
      <c r="EM389" s="97">
        <v>0</v>
      </c>
      <c r="EN389" s="97">
        <v>0</v>
      </c>
      <c r="EO389" s="97">
        <v>0</v>
      </c>
      <c r="EP389" s="97">
        <v>0</v>
      </c>
      <c r="EQ389" s="97">
        <v>0</v>
      </c>
      <c r="ER389" s="97">
        <v>0</v>
      </c>
      <c r="ES389" s="97">
        <v>0</v>
      </c>
      <c r="FF389" s="2">
        <v>2253720.0299999998</v>
      </c>
      <c r="FG389" s="2">
        <v>0</v>
      </c>
      <c r="FH389" s="2">
        <v>7180952.3799999999</v>
      </c>
      <c r="FI389" s="2">
        <v>0</v>
      </c>
      <c r="FJ389" s="2">
        <v>0</v>
      </c>
      <c r="FK389" s="2">
        <v>0</v>
      </c>
      <c r="FL389" s="2">
        <v>0</v>
      </c>
      <c r="FM389" s="2">
        <v>0</v>
      </c>
      <c r="FN389" s="2">
        <v>0</v>
      </c>
      <c r="FO389" s="2">
        <v>0</v>
      </c>
      <c r="FP389" s="2">
        <v>0</v>
      </c>
      <c r="FQ389" s="2">
        <v>0</v>
      </c>
      <c r="FR389" s="106">
        <v>0</v>
      </c>
      <c r="FS389" s="106">
        <v>0</v>
      </c>
      <c r="FT389" s="106">
        <v>0</v>
      </c>
      <c r="FU389" s="106">
        <v>0</v>
      </c>
      <c r="FV389" s="106">
        <v>0</v>
      </c>
      <c r="FW389" s="106">
        <v>0</v>
      </c>
      <c r="FX389" s="106">
        <v>0</v>
      </c>
      <c r="FY389" s="106">
        <v>0</v>
      </c>
      <c r="FZ389" s="106">
        <v>0</v>
      </c>
      <c r="GA389" s="106">
        <v>0</v>
      </c>
      <c r="GB389" s="106">
        <v>0</v>
      </c>
      <c r="GC389" s="106">
        <v>0</v>
      </c>
      <c r="GE389" s="101">
        <v>0</v>
      </c>
    </row>
    <row r="390" spans="1:187">
      <c r="D390" s="59" t="str">
        <f t="shared" si="111"/>
        <v>4621p</v>
      </c>
      <c r="E390" s="60" t="s">
        <v>475</v>
      </c>
      <c r="F390" s="67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9"/>
      <c r="R390" s="67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69"/>
      <c r="AD390" s="67"/>
      <c r="AE390" s="68"/>
      <c r="AF390" s="68"/>
      <c r="AG390" s="68"/>
      <c r="AH390" s="68"/>
      <c r="AI390" s="68"/>
      <c r="AJ390" s="68"/>
      <c r="AK390" s="68"/>
      <c r="AL390" s="68"/>
      <c r="AM390" s="68"/>
      <c r="AN390" s="68"/>
      <c r="AO390" s="69"/>
      <c r="AP390" s="67"/>
      <c r="AQ390" s="68"/>
      <c r="AR390" s="68"/>
      <c r="AS390" s="68"/>
      <c r="AT390" s="68"/>
      <c r="AU390" s="68"/>
      <c r="AV390" s="68"/>
      <c r="AW390" s="68"/>
      <c r="AX390" s="68"/>
      <c r="AY390" s="68"/>
      <c r="AZ390" s="68"/>
      <c r="BA390" s="69"/>
      <c r="BB390" s="67"/>
      <c r="BC390" s="68"/>
      <c r="BD390" s="68"/>
      <c r="BE390" s="68"/>
      <c r="BF390" s="68"/>
      <c r="BG390" s="68"/>
      <c r="BH390" s="68"/>
      <c r="BI390" s="68"/>
      <c r="BJ390" s="68"/>
      <c r="BK390" s="68"/>
      <c r="BL390" s="68"/>
      <c r="BM390" s="69"/>
      <c r="BN390" s="67"/>
      <c r="BO390" s="68"/>
      <c r="BP390" s="68"/>
      <c r="BQ390" s="68"/>
      <c r="BR390" s="68"/>
      <c r="BS390" s="68"/>
      <c r="BT390" s="68"/>
      <c r="BU390" s="68"/>
      <c r="BV390" s="68"/>
      <c r="BW390" s="68"/>
      <c r="BX390" s="68"/>
      <c r="BY390" s="69"/>
      <c r="BZ390" s="67"/>
      <c r="CA390" s="68"/>
      <c r="CB390" s="68"/>
      <c r="CC390" s="68"/>
      <c r="CD390" s="68"/>
      <c r="CE390" s="68"/>
      <c r="CF390" s="68"/>
      <c r="CG390" s="68"/>
      <c r="CH390" s="68"/>
      <c r="CI390" s="68"/>
      <c r="CJ390" s="68"/>
      <c r="CK390" s="68"/>
      <c r="CL390" s="67"/>
      <c r="CM390" s="68"/>
      <c r="CN390" s="68"/>
      <c r="CO390" s="68"/>
      <c r="CP390" s="68"/>
      <c r="CQ390" s="68"/>
      <c r="CR390" s="68"/>
      <c r="CS390" s="68"/>
      <c r="CT390" s="68"/>
      <c r="CU390" s="68"/>
      <c r="CV390" s="68"/>
      <c r="CW390" s="69"/>
      <c r="CX390" s="107">
        <v>0</v>
      </c>
      <c r="CY390" s="108">
        <v>0</v>
      </c>
      <c r="CZ390" s="108">
        <v>0</v>
      </c>
      <c r="DA390" s="108">
        <v>0</v>
      </c>
      <c r="DB390" s="108">
        <v>0</v>
      </c>
      <c r="DC390" s="108">
        <v>0</v>
      </c>
      <c r="DD390" s="108">
        <v>0</v>
      </c>
      <c r="DE390" s="108">
        <v>0</v>
      </c>
      <c r="DF390" s="108">
        <v>0</v>
      </c>
      <c r="DG390" s="108">
        <v>0</v>
      </c>
      <c r="DH390" s="108">
        <v>0</v>
      </c>
      <c r="DI390" s="109">
        <v>0</v>
      </c>
      <c r="DJ390" s="67"/>
      <c r="DK390" s="68"/>
      <c r="DL390" s="68"/>
      <c r="DM390" s="68"/>
      <c r="DN390" s="68"/>
      <c r="DO390" s="68"/>
      <c r="DP390" s="68"/>
      <c r="DQ390" s="68"/>
      <c r="DR390" s="68"/>
      <c r="DS390" s="68"/>
      <c r="DT390" s="68"/>
      <c r="DU390" s="69"/>
      <c r="DV390" s="83"/>
      <c r="DW390" s="83"/>
      <c r="DX390" s="83"/>
      <c r="DY390" s="83"/>
      <c r="DZ390" s="83"/>
      <c r="EA390" s="83"/>
      <c r="EB390" s="83"/>
      <c r="EC390" s="83"/>
      <c r="ED390" s="83"/>
      <c r="EE390" s="83"/>
      <c r="EF390" s="83"/>
      <c r="EG390" s="83"/>
      <c r="EH390" s="83"/>
      <c r="EI390" s="61"/>
      <c r="EJ390" s="61"/>
      <c r="EK390" s="61"/>
      <c r="EL390" s="61"/>
      <c r="EM390" s="61"/>
      <c r="EN390" s="61"/>
      <c r="EO390" s="61"/>
      <c r="EP390" s="61"/>
      <c r="EQ390" s="61"/>
      <c r="ER390" s="61"/>
      <c r="ES390" s="61"/>
      <c r="FR390" s="63">
        <v>0</v>
      </c>
      <c r="FS390" s="63">
        <v>0</v>
      </c>
      <c r="FT390" s="63">
        <v>0</v>
      </c>
      <c r="FU390" s="63">
        <v>0</v>
      </c>
      <c r="FV390" s="63">
        <v>0</v>
      </c>
      <c r="FW390" s="63">
        <v>0</v>
      </c>
      <c r="FX390" s="63">
        <v>0</v>
      </c>
      <c r="FY390" s="63">
        <v>0</v>
      </c>
      <c r="FZ390" s="63">
        <v>0</v>
      </c>
      <c r="GA390" s="63">
        <v>0</v>
      </c>
      <c r="GB390" s="63">
        <v>0</v>
      </c>
      <c r="GC390" s="63">
        <v>0</v>
      </c>
      <c r="GE390" s="102">
        <v>0</v>
      </c>
    </row>
    <row r="391" spans="1:187">
      <c r="D391" s="59" t="str">
        <f t="shared" si="111"/>
        <v>4622p</v>
      </c>
      <c r="E391" s="60" t="s">
        <v>476</v>
      </c>
      <c r="F391" s="67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9"/>
      <c r="R391" s="67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69"/>
      <c r="AD391" s="67"/>
      <c r="AE391" s="68"/>
      <c r="AF391" s="68"/>
      <c r="AG391" s="68"/>
      <c r="AH391" s="68"/>
      <c r="AI391" s="68"/>
      <c r="AJ391" s="68"/>
      <c r="AK391" s="68"/>
      <c r="AL391" s="68"/>
      <c r="AM391" s="68"/>
      <c r="AN391" s="68"/>
      <c r="AO391" s="69"/>
      <c r="AP391" s="67"/>
      <c r="AQ391" s="68"/>
      <c r="AR391" s="68"/>
      <c r="AS391" s="68"/>
      <c r="AT391" s="68"/>
      <c r="AU391" s="68"/>
      <c r="AV391" s="68"/>
      <c r="AW391" s="68"/>
      <c r="AX391" s="68"/>
      <c r="AY391" s="68"/>
      <c r="AZ391" s="68"/>
      <c r="BA391" s="69"/>
      <c r="BB391" s="67"/>
      <c r="BC391" s="68"/>
      <c r="BD391" s="68"/>
      <c r="BE391" s="68"/>
      <c r="BF391" s="68"/>
      <c r="BG391" s="68"/>
      <c r="BH391" s="68"/>
      <c r="BI391" s="68"/>
      <c r="BJ391" s="68"/>
      <c r="BK391" s="68"/>
      <c r="BL391" s="68"/>
      <c r="BM391" s="69"/>
      <c r="BN391" s="67"/>
      <c r="BO391" s="68"/>
      <c r="BP391" s="68"/>
      <c r="BQ391" s="68"/>
      <c r="BR391" s="68"/>
      <c r="BS391" s="68"/>
      <c r="BT391" s="68"/>
      <c r="BU391" s="68"/>
      <c r="BV391" s="68"/>
      <c r="BW391" s="68"/>
      <c r="BX391" s="68"/>
      <c r="BY391" s="69"/>
      <c r="BZ391" s="67"/>
      <c r="CA391" s="68"/>
      <c r="CB391" s="68"/>
      <c r="CC391" s="68"/>
      <c r="CD391" s="68"/>
      <c r="CE391" s="68"/>
      <c r="CF391" s="68"/>
      <c r="CG391" s="68"/>
      <c r="CH391" s="68"/>
      <c r="CI391" s="68"/>
      <c r="CJ391" s="68"/>
      <c r="CK391" s="68"/>
      <c r="CL391" s="67"/>
      <c r="CM391" s="68"/>
      <c r="CN391" s="68"/>
      <c r="CO391" s="68"/>
      <c r="CP391" s="68"/>
      <c r="CQ391" s="68"/>
      <c r="CR391" s="68"/>
      <c r="CS391" s="68"/>
      <c r="CT391" s="68"/>
      <c r="CU391" s="68"/>
      <c r="CV391" s="68"/>
      <c r="CW391" s="69"/>
      <c r="CX391" s="107">
        <v>0</v>
      </c>
      <c r="CY391" s="108">
        <v>0</v>
      </c>
      <c r="CZ391" s="108">
        <v>0</v>
      </c>
      <c r="DA391" s="108">
        <v>0</v>
      </c>
      <c r="DB391" s="108">
        <v>0</v>
      </c>
      <c r="DC391" s="108">
        <v>0</v>
      </c>
      <c r="DD391" s="108">
        <v>0</v>
      </c>
      <c r="DE391" s="108">
        <v>0</v>
      </c>
      <c r="DF391" s="108">
        <v>0</v>
      </c>
      <c r="DG391" s="108">
        <v>0</v>
      </c>
      <c r="DH391" s="108">
        <v>0</v>
      </c>
      <c r="DI391" s="109">
        <v>0</v>
      </c>
      <c r="DJ391" s="67"/>
      <c r="DK391" s="68"/>
      <c r="DL391" s="68"/>
      <c r="DM391" s="68"/>
      <c r="DN391" s="68"/>
      <c r="DO391" s="68"/>
      <c r="DP391" s="68"/>
      <c r="DQ391" s="68"/>
      <c r="DR391" s="68"/>
      <c r="DS391" s="68"/>
      <c r="DT391" s="68"/>
      <c r="DU391" s="69"/>
      <c r="DV391" s="83"/>
      <c r="DW391" s="83"/>
      <c r="DX391" s="83"/>
      <c r="DY391" s="83"/>
      <c r="DZ391" s="83"/>
      <c r="EA391" s="83"/>
      <c r="EB391" s="83"/>
      <c r="EC391" s="83"/>
      <c r="ED391" s="83"/>
      <c r="EE391" s="83"/>
      <c r="EF391" s="83"/>
      <c r="EG391" s="83"/>
      <c r="EH391" s="83"/>
      <c r="EI391" s="61"/>
      <c r="EJ391" s="61"/>
      <c r="EK391" s="61"/>
      <c r="EL391" s="61"/>
      <c r="EM391" s="61"/>
      <c r="EN391" s="61"/>
      <c r="EO391" s="61"/>
      <c r="EP391" s="61"/>
      <c r="EQ391" s="61"/>
      <c r="ER391" s="61"/>
      <c r="ES391" s="61"/>
      <c r="FR391" s="63">
        <v>0</v>
      </c>
      <c r="FS391" s="63">
        <v>0</v>
      </c>
      <c r="FT391" s="63">
        <v>0</v>
      </c>
      <c r="FU391" s="63">
        <v>0</v>
      </c>
      <c r="FV391" s="63">
        <v>0</v>
      </c>
      <c r="FW391" s="63">
        <v>0</v>
      </c>
      <c r="FX391" s="63">
        <v>0</v>
      </c>
      <c r="FY391" s="63">
        <v>0</v>
      </c>
      <c r="FZ391" s="63">
        <v>0</v>
      </c>
      <c r="GA391" s="63">
        <v>0</v>
      </c>
      <c r="GB391" s="63">
        <v>0</v>
      </c>
      <c r="GC391" s="63">
        <v>0</v>
      </c>
      <c r="GE391" s="102">
        <v>0</v>
      </c>
    </row>
    <row r="392" spans="1:187" s="2" customFormat="1" ht="30">
      <c r="A392" s="71"/>
      <c r="B392" s="71"/>
      <c r="C392" s="71">
        <v>463</v>
      </c>
      <c r="D392" s="71" t="str">
        <f t="shared" si="111"/>
        <v>4630p</v>
      </c>
      <c r="E392" s="72" t="s">
        <v>184</v>
      </c>
      <c r="F392" s="73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5"/>
      <c r="R392" s="73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5"/>
      <c r="AD392" s="73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5"/>
      <c r="AP392" s="73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5"/>
      <c r="BB392" s="73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5"/>
      <c r="BN392" s="73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5"/>
      <c r="BZ392" s="73"/>
      <c r="CA392" s="74"/>
      <c r="CB392" s="74"/>
      <c r="CC392" s="74"/>
      <c r="CD392" s="74"/>
      <c r="CE392" s="74"/>
      <c r="CF392" s="74"/>
      <c r="CG392" s="74"/>
      <c r="CH392" s="74"/>
      <c r="CI392" s="74"/>
      <c r="CJ392" s="74"/>
      <c r="CK392" s="74"/>
      <c r="CL392" s="73">
        <v>2681427.6666666698</v>
      </c>
      <c r="CM392" s="74">
        <v>2681427.6666666698</v>
      </c>
      <c r="CN392" s="74">
        <v>2681427.6666666698</v>
      </c>
      <c r="CO392" s="74">
        <v>2681427.6666666698</v>
      </c>
      <c r="CP392" s="74">
        <v>2681427.6666666698</v>
      </c>
      <c r="CQ392" s="74">
        <v>2681427.6666666698</v>
      </c>
      <c r="CR392" s="106">
        <v>2681427.6666666698</v>
      </c>
      <c r="CS392" s="106">
        <v>2681427.6666666698</v>
      </c>
      <c r="CT392" s="106">
        <v>2681427.6666666698</v>
      </c>
      <c r="CU392" s="106">
        <v>2681427.6666666698</v>
      </c>
      <c r="CV392" s="106">
        <v>2681427.6666666698</v>
      </c>
      <c r="CW392" s="106">
        <v>2681427.6666666698</v>
      </c>
      <c r="CX392" s="106">
        <v>2778179.9975000001</v>
      </c>
      <c r="CY392" s="106">
        <v>2778179.9975000001</v>
      </c>
      <c r="CZ392" s="106">
        <v>2778179.9975000001</v>
      </c>
      <c r="DA392" s="106">
        <v>2778179.9975000001</v>
      </c>
      <c r="DB392" s="106">
        <v>2778179.9975000001</v>
      </c>
      <c r="DC392" s="106">
        <v>2778179.9975000001</v>
      </c>
      <c r="DD392" s="106">
        <v>2778179.9975000001</v>
      </c>
      <c r="DE392" s="106">
        <v>2778179.9975000001</v>
      </c>
      <c r="DF392" s="106">
        <v>2778179.9975000001</v>
      </c>
      <c r="DG392" s="106">
        <v>2778179.9975000001</v>
      </c>
      <c r="DH392" s="106">
        <v>2778179.9975000001</v>
      </c>
      <c r="DI392" s="106">
        <v>2778179.9975000001</v>
      </c>
      <c r="DJ392" s="106">
        <v>2817590</v>
      </c>
      <c r="DK392" s="106">
        <v>2817590</v>
      </c>
      <c r="DL392" s="106">
        <v>2817590</v>
      </c>
      <c r="DM392" s="106">
        <v>2817590</v>
      </c>
      <c r="DN392" s="106">
        <v>2817590</v>
      </c>
      <c r="DO392" s="106">
        <v>2817590</v>
      </c>
      <c r="DP392" s="106">
        <v>2817590</v>
      </c>
      <c r="DQ392" s="106">
        <v>2817590</v>
      </c>
      <c r="DR392" s="106">
        <v>2817590</v>
      </c>
      <c r="DS392" s="106">
        <v>2817590</v>
      </c>
      <c r="DT392" s="106">
        <v>2817590</v>
      </c>
      <c r="DU392" s="106">
        <v>2817590</v>
      </c>
      <c r="DV392" s="106">
        <v>3281229.61416667</v>
      </c>
      <c r="DW392" s="106">
        <v>3281229.61416667</v>
      </c>
      <c r="DX392" s="106">
        <v>3281229.61416667</v>
      </c>
      <c r="DY392" s="106">
        <v>3281229.61416667</v>
      </c>
      <c r="DZ392" s="106">
        <v>3281229.61416667</v>
      </c>
      <c r="EA392" s="106">
        <v>3281229.61416667</v>
      </c>
      <c r="EB392" s="106">
        <v>3281229.61416667</v>
      </c>
      <c r="EC392" s="106">
        <v>3281229.61416667</v>
      </c>
      <c r="ED392" s="106">
        <v>3281229.61416667</v>
      </c>
      <c r="EE392" s="106">
        <v>3281229.61416667</v>
      </c>
      <c r="EF392" s="106">
        <v>3281229.61416667</v>
      </c>
      <c r="EG392" s="106">
        <v>3281229.61416667</v>
      </c>
      <c r="EH392" s="106">
        <v>2809708.2333333301</v>
      </c>
      <c r="EI392" s="106">
        <v>2809708.2333333301</v>
      </c>
      <c r="EJ392" s="106">
        <v>2809708.2333333301</v>
      </c>
      <c r="EK392" s="106">
        <v>2809708.2333333301</v>
      </c>
      <c r="EL392" s="106">
        <v>2809708.2333333301</v>
      </c>
      <c r="EM392" s="106">
        <v>2809708.2333333301</v>
      </c>
      <c r="EN392" s="106">
        <v>2809708.2333333301</v>
      </c>
      <c r="EO392" s="106">
        <v>2809708.2333333301</v>
      </c>
      <c r="EP392" s="106">
        <v>2809708.2333333301</v>
      </c>
      <c r="EQ392" s="106">
        <v>2809708.2333333301</v>
      </c>
      <c r="ER392" s="106">
        <v>2809708.2333333301</v>
      </c>
      <c r="ES392" s="106">
        <v>2809708.2333333301</v>
      </c>
      <c r="ET392" s="106">
        <v>1807457.91666667</v>
      </c>
      <c r="EU392" s="106">
        <v>1882457.91666667</v>
      </c>
      <c r="EV392" s="106">
        <v>1937457.91666667</v>
      </c>
      <c r="EW392" s="106">
        <v>1912457.91666667</v>
      </c>
      <c r="EX392" s="106">
        <v>1967457.91666667</v>
      </c>
      <c r="EY392" s="106">
        <v>1907457.91666667</v>
      </c>
      <c r="EZ392" s="106">
        <v>3852457.9166666698</v>
      </c>
      <c r="FA392" s="106">
        <v>3337457.9166666698</v>
      </c>
      <c r="FB392" s="106">
        <v>2702457.9166666698</v>
      </c>
      <c r="FC392" s="106">
        <v>2797457.9166666698</v>
      </c>
      <c r="FD392" s="106">
        <v>2792457.9166666698</v>
      </c>
      <c r="FE392" s="106">
        <v>3347457.9166666698</v>
      </c>
      <c r="FF392" s="106">
        <v>1281814.45</v>
      </c>
      <c r="FG392" s="106">
        <v>1266814.45</v>
      </c>
      <c r="FH392" s="106">
        <v>1451704.4</v>
      </c>
      <c r="FI392" s="106">
        <v>1544149.36</v>
      </c>
      <c r="FJ392" s="106">
        <v>1677270.12</v>
      </c>
      <c r="FK392" s="106">
        <v>1669874.52</v>
      </c>
      <c r="FL392" s="106">
        <v>1839973.26</v>
      </c>
      <c r="FM392" s="106">
        <v>1832577.67</v>
      </c>
      <c r="FN392" s="106">
        <v>1610709.73</v>
      </c>
      <c r="FO392" s="106">
        <v>1374050.61</v>
      </c>
      <c r="FP392" s="106">
        <v>1448006.59</v>
      </c>
      <c r="FQ392" s="106">
        <v>1533053.84</v>
      </c>
      <c r="FR392" s="103">
        <v>1234088.2</v>
      </c>
      <c r="FS392" s="103">
        <v>1922034.51</v>
      </c>
      <c r="FT392" s="103">
        <v>1368605.81</v>
      </c>
      <c r="FU392" s="103">
        <v>1039845.76</v>
      </c>
      <c r="FV392" s="103">
        <v>1116425.95</v>
      </c>
      <c r="FW392" s="103">
        <v>1374921.7142857099</v>
      </c>
      <c r="FX392" s="103">
        <v>1374921.7142857099</v>
      </c>
      <c r="FY392" s="103">
        <v>1374921.7142857099</v>
      </c>
      <c r="FZ392" s="103">
        <v>1374921.7142857099</v>
      </c>
      <c r="GA392" s="103">
        <v>1374921.7142857099</v>
      </c>
      <c r="GB392" s="103">
        <v>1374921.7142857099</v>
      </c>
      <c r="GC392" s="103">
        <v>1374921.7142857099</v>
      </c>
      <c r="GE392" s="101">
        <f>SUM(FR392:GC392)</f>
        <v>16305452.23</v>
      </c>
    </row>
    <row r="393" spans="1:187" s="2" customFormat="1">
      <c r="A393" s="71" t="s">
        <v>6</v>
      </c>
      <c r="B393" s="71">
        <v>47</v>
      </c>
      <c r="C393" s="71"/>
      <c r="D393" s="71" t="str">
        <f t="shared" si="111"/>
        <v>47p</v>
      </c>
      <c r="E393" s="72" t="s">
        <v>164</v>
      </c>
      <c r="F393" s="73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5"/>
      <c r="R393" s="73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5"/>
      <c r="AD393" s="73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5"/>
      <c r="AP393" s="73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5"/>
      <c r="BB393" s="73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5"/>
      <c r="BN393" s="73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5"/>
      <c r="BZ393" s="73"/>
      <c r="CA393" s="74"/>
      <c r="CB393" s="74"/>
      <c r="CC393" s="74"/>
      <c r="CD393" s="74"/>
      <c r="CE393" s="74"/>
      <c r="CF393" s="74"/>
      <c r="CG393" s="74"/>
      <c r="CH393" s="74"/>
      <c r="CI393" s="74"/>
      <c r="CJ393" s="74"/>
      <c r="CK393" s="74"/>
      <c r="CL393" s="73">
        <f t="shared" ref="CL393:CX393" si="126">+SUM(CL394:CL396)</f>
        <v>613005.79833333299</v>
      </c>
      <c r="CM393" s="74">
        <f t="shared" si="126"/>
        <v>613005.79833333299</v>
      </c>
      <c r="CN393" s="74">
        <f t="shared" si="126"/>
        <v>613005.79833333299</v>
      </c>
      <c r="CO393" s="74">
        <f t="shared" si="126"/>
        <v>613005.79833333299</v>
      </c>
      <c r="CP393" s="74">
        <f t="shared" si="126"/>
        <v>613005.79833333299</v>
      </c>
      <c r="CQ393" s="74">
        <f t="shared" si="126"/>
        <v>613005.79833333299</v>
      </c>
      <c r="CR393" s="74">
        <f t="shared" si="126"/>
        <v>613005.79833333299</v>
      </c>
      <c r="CS393" s="74">
        <f t="shared" si="126"/>
        <v>613005.79833333299</v>
      </c>
      <c r="CT393" s="74">
        <f t="shared" si="126"/>
        <v>613005.79833333299</v>
      </c>
      <c r="CU393" s="74">
        <f t="shared" si="126"/>
        <v>613005.79833333299</v>
      </c>
      <c r="CV393" s="74">
        <f t="shared" si="126"/>
        <v>613005.79833333299</v>
      </c>
      <c r="CW393" s="75">
        <f t="shared" si="126"/>
        <v>613005.79833333299</v>
      </c>
      <c r="CX393" s="110">
        <f t="shared" si="126"/>
        <v>737887.48083333299</v>
      </c>
      <c r="CY393" s="111">
        <f t="shared" ref="CY393:DJ393" si="127">+SUM(CY394:CY396)</f>
        <v>737887.48083333299</v>
      </c>
      <c r="CZ393" s="111">
        <f t="shared" si="127"/>
        <v>737887.48083333299</v>
      </c>
      <c r="DA393" s="111">
        <f t="shared" si="127"/>
        <v>737887.48083333299</v>
      </c>
      <c r="DB393" s="111">
        <f t="shared" si="127"/>
        <v>737887.48083333299</v>
      </c>
      <c r="DC393" s="111">
        <f t="shared" si="127"/>
        <v>737887.48083333299</v>
      </c>
      <c r="DD393" s="111">
        <f t="shared" si="127"/>
        <v>737887.48083333299</v>
      </c>
      <c r="DE393" s="111">
        <f t="shared" si="127"/>
        <v>737887.48083333299</v>
      </c>
      <c r="DF393" s="111">
        <f t="shared" si="127"/>
        <v>737887.48083333299</v>
      </c>
      <c r="DG393" s="111">
        <f t="shared" si="127"/>
        <v>737887.48083333299</v>
      </c>
      <c r="DH393" s="111">
        <f t="shared" si="127"/>
        <v>737887.48083333299</v>
      </c>
      <c r="DI393" s="112">
        <f t="shared" si="127"/>
        <v>737887.48083333299</v>
      </c>
      <c r="DJ393" s="73">
        <f t="shared" si="127"/>
        <v>1087930.2858333299</v>
      </c>
      <c r="DK393" s="74">
        <f t="shared" ref="DK393:DU393" si="128">+SUM(DK394:DK396)</f>
        <v>1087930.2858333299</v>
      </c>
      <c r="DL393" s="74">
        <f t="shared" si="128"/>
        <v>1087930.2858333299</v>
      </c>
      <c r="DM393" s="74">
        <f t="shared" si="128"/>
        <v>1087930.2858333299</v>
      </c>
      <c r="DN393" s="74">
        <f t="shared" si="128"/>
        <v>1087930.2858333299</v>
      </c>
      <c r="DO393" s="74">
        <f t="shared" si="128"/>
        <v>1087930.2858333299</v>
      </c>
      <c r="DP393" s="74">
        <f t="shared" si="128"/>
        <v>1087930.2858333299</v>
      </c>
      <c r="DQ393" s="74">
        <f t="shared" si="128"/>
        <v>1087930.2858333299</v>
      </c>
      <c r="DR393" s="74">
        <f t="shared" si="128"/>
        <v>1087930.2858333299</v>
      </c>
      <c r="DS393" s="74">
        <f t="shared" si="128"/>
        <v>1087930.2858333299</v>
      </c>
      <c r="DT393" s="74">
        <f t="shared" si="128"/>
        <v>1087930.2858333299</v>
      </c>
      <c r="DU393" s="75">
        <f t="shared" si="128"/>
        <v>1087930.2858333299</v>
      </c>
      <c r="DV393" s="97">
        <v>1202439.82166667</v>
      </c>
      <c r="DW393" s="97">
        <v>1202439.82166667</v>
      </c>
      <c r="DX393" s="97">
        <v>1202439.82166667</v>
      </c>
      <c r="DY393" s="97">
        <v>1202439.82166667</v>
      </c>
      <c r="DZ393" s="97">
        <v>1202439.82166667</v>
      </c>
      <c r="EA393" s="97">
        <v>1202439.82166667</v>
      </c>
      <c r="EB393" s="97">
        <v>1202439.82166667</v>
      </c>
      <c r="EC393" s="97">
        <v>1202439.82166667</v>
      </c>
      <c r="ED393" s="97">
        <v>1202439.82166667</v>
      </c>
      <c r="EE393" s="97">
        <v>1202439.82166667</v>
      </c>
      <c r="EF393" s="97">
        <v>1202439.82166667</v>
      </c>
      <c r="EG393" s="97">
        <v>1202439.82166667</v>
      </c>
      <c r="EH393" s="97">
        <v>1191556.15666667</v>
      </c>
      <c r="EI393" s="97">
        <v>1191556.15666667</v>
      </c>
      <c r="EJ393" s="97">
        <v>1191556.15666667</v>
      </c>
      <c r="EK393" s="97">
        <v>1191556.15666667</v>
      </c>
      <c r="EL393" s="97">
        <v>1191556.15666667</v>
      </c>
      <c r="EM393" s="97">
        <v>1191556.15666667</v>
      </c>
      <c r="EN393" s="97">
        <v>1191556.15666667</v>
      </c>
      <c r="EO393" s="97">
        <v>1191556.15666667</v>
      </c>
      <c r="EP393" s="97">
        <v>1191556.15666667</v>
      </c>
      <c r="EQ393" s="97">
        <v>1191556.15666667</v>
      </c>
      <c r="ER393" s="97">
        <v>1191556.15666667</v>
      </c>
      <c r="ES393" s="97">
        <v>1191556.15666667</v>
      </c>
      <c r="ET393" s="106">
        <v>830846.24800000002</v>
      </c>
      <c r="EU393" s="106">
        <v>830846.24800000002</v>
      </c>
      <c r="EV393" s="106">
        <v>830846.24800000002</v>
      </c>
      <c r="EW393" s="106">
        <v>949846.13199999998</v>
      </c>
      <c r="EX393" s="106">
        <v>1306845.784</v>
      </c>
      <c r="EY393" s="106">
        <v>830846.24800000002</v>
      </c>
      <c r="EZ393" s="106">
        <v>1246269.372</v>
      </c>
      <c r="FA393" s="106">
        <v>1246269.372</v>
      </c>
      <c r="FB393" s="106">
        <v>5393218.1469999999</v>
      </c>
      <c r="FC393" s="106">
        <v>5393218.1469999999</v>
      </c>
      <c r="FD393" s="106">
        <v>5393218.1469999999</v>
      </c>
      <c r="FE393" s="106">
        <v>5393218.1469999999</v>
      </c>
      <c r="FF393" s="106">
        <v>1650583.33333333</v>
      </c>
      <c r="FG393" s="106">
        <v>1843583.33333333</v>
      </c>
      <c r="FH393" s="106">
        <v>1650583.33333333</v>
      </c>
      <c r="FI393" s="106">
        <v>1650583.33333333</v>
      </c>
      <c r="FJ393" s="106">
        <v>1650583.33333333</v>
      </c>
      <c r="FK393" s="106">
        <v>1650583.33333333</v>
      </c>
      <c r="FL393" s="106">
        <v>4650583.3333333302</v>
      </c>
      <c r="FM393" s="106">
        <v>1650583.33333333</v>
      </c>
      <c r="FN393" s="106">
        <v>1650583.33333333</v>
      </c>
      <c r="FO393" s="106">
        <v>2317250</v>
      </c>
      <c r="FP393" s="106">
        <v>2317250</v>
      </c>
      <c r="FQ393" s="106">
        <v>2317250</v>
      </c>
      <c r="FR393" s="106">
        <v>1941194</v>
      </c>
      <c r="FS393" s="106">
        <v>720000</v>
      </c>
      <c r="FT393" s="106">
        <v>117020</v>
      </c>
      <c r="FU393" s="106">
        <v>3138464.05</v>
      </c>
      <c r="FV393" s="106">
        <v>16941995.850000001</v>
      </c>
      <c r="FW393" s="106">
        <v>19000000</v>
      </c>
      <c r="FX393" s="106">
        <v>13000000</v>
      </c>
      <c r="FY393" s="106">
        <v>13000000</v>
      </c>
      <c r="FZ393" s="106">
        <v>13000000</v>
      </c>
      <c r="GA393" s="106">
        <v>38000000</v>
      </c>
      <c r="GB393" s="106">
        <v>7385913.0499999998</v>
      </c>
      <c r="GC393" s="106">
        <v>7385913.0499999998</v>
      </c>
      <c r="GE393" s="101">
        <f>SUM(FR393:GC393)</f>
        <v>133630500</v>
      </c>
    </row>
    <row r="394" spans="1:187">
      <c r="A394" s="59" t="s">
        <v>6</v>
      </c>
      <c r="B394" s="59" t="s">
        <v>6</v>
      </c>
      <c r="C394" s="59">
        <v>471</v>
      </c>
      <c r="D394" s="59" t="str">
        <f t="shared" ref="D394:D396" si="129">+CONCATENATE(D185,"p")</f>
        <v>4710p</v>
      </c>
      <c r="E394" s="60" t="s">
        <v>477</v>
      </c>
      <c r="F394" s="67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9"/>
      <c r="R394" s="67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69"/>
      <c r="AD394" s="67"/>
      <c r="AE394" s="68"/>
      <c r="AF394" s="68"/>
      <c r="AG394" s="68"/>
      <c r="AH394" s="68"/>
      <c r="AI394" s="68"/>
      <c r="AJ394" s="68"/>
      <c r="AK394" s="68"/>
      <c r="AL394" s="68"/>
      <c r="AM394" s="68"/>
      <c r="AN394" s="68"/>
      <c r="AO394" s="69"/>
      <c r="AP394" s="67"/>
      <c r="AQ394" s="68"/>
      <c r="AR394" s="68"/>
      <c r="AS394" s="68"/>
      <c r="AT394" s="68"/>
      <c r="AU394" s="68"/>
      <c r="AV394" s="68"/>
      <c r="AW394" s="68"/>
      <c r="AX394" s="68"/>
      <c r="AY394" s="68"/>
      <c r="AZ394" s="68"/>
      <c r="BA394" s="69"/>
      <c r="BB394" s="67"/>
      <c r="BC394" s="68"/>
      <c r="BD394" s="68"/>
      <c r="BE394" s="68"/>
      <c r="BF394" s="68"/>
      <c r="BG394" s="68"/>
      <c r="BH394" s="68"/>
      <c r="BI394" s="68"/>
      <c r="BJ394" s="68"/>
      <c r="BK394" s="68"/>
      <c r="BL394" s="68"/>
      <c r="BM394" s="69"/>
      <c r="BN394" s="67"/>
      <c r="BO394" s="68"/>
      <c r="BP394" s="68"/>
      <c r="BQ394" s="68"/>
      <c r="BR394" s="68"/>
      <c r="BS394" s="68"/>
      <c r="BT394" s="68"/>
      <c r="BU394" s="68"/>
      <c r="BV394" s="68"/>
      <c r="BW394" s="68"/>
      <c r="BX394" s="68"/>
      <c r="BY394" s="69"/>
      <c r="BZ394" s="67"/>
      <c r="CA394" s="68"/>
      <c r="CB394" s="68"/>
      <c r="CC394" s="68"/>
      <c r="CD394" s="68"/>
      <c r="CE394" s="68"/>
      <c r="CF394" s="68"/>
      <c r="CG394" s="68"/>
      <c r="CH394" s="68"/>
      <c r="CI394" s="68"/>
      <c r="CJ394" s="68"/>
      <c r="CK394" s="68"/>
      <c r="CL394" s="67">
        <v>579172.46499999997</v>
      </c>
      <c r="CM394" s="68">
        <v>579172.46499999997</v>
      </c>
      <c r="CN394" s="68">
        <v>579172.46499999997</v>
      </c>
      <c r="CO394" s="68">
        <v>579172.46499999997</v>
      </c>
      <c r="CP394" s="68">
        <v>579172.46499999997</v>
      </c>
      <c r="CQ394" s="68">
        <v>579172.46499999997</v>
      </c>
      <c r="CR394" s="68">
        <v>579172.46499999997</v>
      </c>
      <c r="CS394" s="68">
        <v>579172.46499999997</v>
      </c>
      <c r="CT394" s="68">
        <v>579172.46499999997</v>
      </c>
      <c r="CU394" s="68">
        <v>579172.46499999997</v>
      </c>
      <c r="CV394" s="68">
        <v>579172.46499999997</v>
      </c>
      <c r="CW394" s="69">
        <v>579172.46499999997</v>
      </c>
      <c r="CX394" s="107">
        <v>737887.48083333299</v>
      </c>
      <c r="CY394" s="108">
        <v>737887.48083333299</v>
      </c>
      <c r="CZ394" s="108">
        <v>737887.48083333299</v>
      </c>
      <c r="DA394" s="108">
        <v>737887.48083333299</v>
      </c>
      <c r="DB394" s="108">
        <v>737887.48083333299</v>
      </c>
      <c r="DC394" s="108">
        <v>737887.48083333299</v>
      </c>
      <c r="DD394" s="108">
        <v>737887.48083333299</v>
      </c>
      <c r="DE394" s="108">
        <v>737887.48083333299</v>
      </c>
      <c r="DF394" s="108">
        <v>737887.48083333299</v>
      </c>
      <c r="DG394" s="108">
        <v>737887.48083333299</v>
      </c>
      <c r="DH394" s="108">
        <v>737887.48083333299</v>
      </c>
      <c r="DI394" s="109">
        <v>737887.48083333299</v>
      </c>
      <c r="DJ394" s="67">
        <v>1087930.2858333299</v>
      </c>
      <c r="DK394" s="68">
        <v>1087930.2858333299</v>
      </c>
      <c r="DL394" s="68">
        <v>1087930.2858333299</v>
      </c>
      <c r="DM394" s="68">
        <v>1087930.2858333299</v>
      </c>
      <c r="DN394" s="68">
        <v>1087930.2858333299</v>
      </c>
      <c r="DO394" s="68">
        <v>1087930.2858333299</v>
      </c>
      <c r="DP394" s="68">
        <v>1087930.2858333299</v>
      </c>
      <c r="DQ394" s="68">
        <v>1087930.2858333299</v>
      </c>
      <c r="DR394" s="68">
        <v>1087930.2858333299</v>
      </c>
      <c r="DS394" s="68">
        <v>1087930.2858333299</v>
      </c>
      <c r="DT394" s="68">
        <v>1087930.2858333299</v>
      </c>
      <c r="DU394" s="69">
        <v>1087930.2858333299</v>
      </c>
      <c r="DV394" s="83"/>
      <c r="DW394" s="83"/>
      <c r="DX394" s="83"/>
      <c r="DY394" s="83"/>
      <c r="DZ394" s="83"/>
      <c r="EA394" s="83"/>
      <c r="EB394" s="83"/>
      <c r="EC394" s="83"/>
      <c r="ED394" s="83"/>
      <c r="EE394" s="83"/>
      <c r="EF394" s="83"/>
      <c r="EG394" s="83"/>
      <c r="EH394" s="83"/>
      <c r="EI394" s="61"/>
      <c r="EJ394" s="61"/>
      <c r="EK394" s="61"/>
      <c r="EL394" s="61"/>
      <c r="EM394" s="61"/>
      <c r="EN394" s="61"/>
      <c r="EO394" s="61"/>
      <c r="EP394" s="61"/>
      <c r="EQ394" s="61"/>
      <c r="ER394" s="61"/>
      <c r="ES394" s="61"/>
      <c r="ET394" s="106">
        <v>830846.24800000002</v>
      </c>
      <c r="EU394" s="106">
        <v>830846.24800000002</v>
      </c>
      <c r="EV394" s="106">
        <v>830846.24800000002</v>
      </c>
      <c r="EW394" s="106">
        <v>830846.24800000002</v>
      </c>
      <c r="EX394" s="106">
        <v>830846.24800000002</v>
      </c>
      <c r="EY394" s="106">
        <v>830846.24800000002</v>
      </c>
      <c r="EZ394" s="106">
        <v>1246269.372</v>
      </c>
      <c r="FA394" s="106">
        <v>1246269.372</v>
      </c>
      <c r="FB394" s="106">
        <v>2223304.53675</v>
      </c>
      <c r="FC394" s="106">
        <v>3116522.6837499999</v>
      </c>
      <c r="FD394" s="106">
        <v>8116522.6837499999</v>
      </c>
      <c r="FE394" s="106">
        <v>8116522.6837499999</v>
      </c>
      <c r="FF394" s="114">
        <v>1650583.33333333</v>
      </c>
      <c r="FG394" s="114">
        <v>1843583.33333333</v>
      </c>
      <c r="FH394" s="114">
        <v>1650583.33333333</v>
      </c>
      <c r="FI394" s="114">
        <v>1650583.33333333</v>
      </c>
      <c r="FJ394" s="114">
        <v>1650583.33333333</v>
      </c>
      <c r="FK394" s="114">
        <v>1650583.33333333</v>
      </c>
      <c r="FL394" s="114">
        <f>1650583.33333333+3000000</f>
        <v>4650583.3333333302</v>
      </c>
      <c r="FM394" s="114">
        <v>1650583.33333333</v>
      </c>
      <c r="FN394" s="114">
        <v>1650583.33333333</v>
      </c>
      <c r="FO394" s="114">
        <f>3317250-1000000</f>
        <v>2317250</v>
      </c>
      <c r="FP394" s="114">
        <f>3317250-1000000</f>
        <v>2317250</v>
      </c>
      <c r="FQ394" s="114">
        <f>3317250-1000000</f>
        <v>2317250</v>
      </c>
      <c r="FR394" s="63"/>
      <c r="FS394" s="63"/>
      <c r="FT394" s="63"/>
      <c r="FU394" s="63"/>
      <c r="FV394" s="63"/>
      <c r="FW394" s="63"/>
      <c r="FX394" s="63"/>
      <c r="FY394" s="63"/>
      <c r="FZ394" s="63"/>
      <c r="GA394" s="63"/>
      <c r="GB394" s="63"/>
      <c r="GC394" s="63"/>
      <c r="GE394" s="102"/>
    </row>
    <row r="395" spans="1:187">
      <c r="C395" s="59">
        <v>472</v>
      </c>
      <c r="D395" s="59" t="str">
        <f t="shared" si="129"/>
        <v>4720p</v>
      </c>
      <c r="E395" s="60" t="s">
        <v>478</v>
      </c>
      <c r="F395" s="67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9"/>
      <c r="R395" s="67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69"/>
      <c r="AD395" s="67"/>
      <c r="AE395" s="68"/>
      <c r="AF395" s="68"/>
      <c r="AG395" s="68"/>
      <c r="AH395" s="68"/>
      <c r="AI395" s="68"/>
      <c r="AJ395" s="68"/>
      <c r="AK395" s="68"/>
      <c r="AL395" s="68"/>
      <c r="AM395" s="68"/>
      <c r="AN395" s="68"/>
      <c r="AO395" s="69"/>
      <c r="AP395" s="67"/>
      <c r="AQ395" s="68"/>
      <c r="AR395" s="68"/>
      <c r="AS395" s="68"/>
      <c r="AT395" s="68"/>
      <c r="AU395" s="68"/>
      <c r="AV395" s="68"/>
      <c r="AW395" s="68"/>
      <c r="AX395" s="68"/>
      <c r="AY395" s="68"/>
      <c r="AZ395" s="68"/>
      <c r="BA395" s="69"/>
      <c r="BB395" s="67"/>
      <c r="BC395" s="68"/>
      <c r="BD395" s="68"/>
      <c r="BE395" s="68"/>
      <c r="BF395" s="68"/>
      <c r="BG395" s="68"/>
      <c r="BH395" s="68"/>
      <c r="BI395" s="68"/>
      <c r="BJ395" s="68"/>
      <c r="BK395" s="68"/>
      <c r="BL395" s="68"/>
      <c r="BM395" s="69"/>
      <c r="BN395" s="67"/>
      <c r="BO395" s="68"/>
      <c r="BP395" s="68"/>
      <c r="BQ395" s="68"/>
      <c r="BR395" s="68"/>
      <c r="BS395" s="68"/>
      <c r="BT395" s="68"/>
      <c r="BU395" s="68"/>
      <c r="BV395" s="68"/>
      <c r="BW395" s="68"/>
      <c r="BX395" s="68"/>
      <c r="BY395" s="69"/>
      <c r="BZ395" s="67"/>
      <c r="CA395" s="68"/>
      <c r="CB395" s="68"/>
      <c r="CC395" s="68"/>
      <c r="CD395" s="68"/>
      <c r="CE395" s="68"/>
      <c r="CF395" s="68"/>
      <c r="CG395" s="68"/>
      <c r="CH395" s="68"/>
      <c r="CI395" s="68"/>
      <c r="CJ395" s="68"/>
      <c r="CK395" s="68"/>
      <c r="CL395" s="67">
        <v>33833.333333333299</v>
      </c>
      <c r="CM395" s="68">
        <v>33833.333333333299</v>
      </c>
      <c r="CN395" s="68">
        <v>33833.333333333299</v>
      </c>
      <c r="CO395" s="68">
        <v>33833.333333333299</v>
      </c>
      <c r="CP395" s="68">
        <v>33833.333333333299</v>
      </c>
      <c r="CQ395" s="68">
        <v>33833.333333333299</v>
      </c>
      <c r="CR395" s="68">
        <v>33833.333333333299</v>
      </c>
      <c r="CS395" s="68">
        <v>33833.333333333299</v>
      </c>
      <c r="CT395" s="68">
        <v>33833.333333333299</v>
      </c>
      <c r="CU395" s="68">
        <v>33833.333333333299</v>
      </c>
      <c r="CV395" s="68">
        <v>33833.333333333299</v>
      </c>
      <c r="CW395" s="69">
        <v>33833.333333333299</v>
      </c>
      <c r="CX395" s="107">
        <v>0</v>
      </c>
      <c r="CY395" s="108">
        <v>0</v>
      </c>
      <c r="CZ395" s="108">
        <v>0</v>
      </c>
      <c r="DA395" s="108">
        <v>0</v>
      </c>
      <c r="DB395" s="108">
        <v>0</v>
      </c>
      <c r="DC395" s="108">
        <v>0</v>
      </c>
      <c r="DD395" s="108">
        <v>0</v>
      </c>
      <c r="DE395" s="108">
        <v>0</v>
      </c>
      <c r="DF395" s="108">
        <v>0</v>
      </c>
      <c r="DG395" s="108">
        <v>0</v>
      </c>
      <c r="DH395" s="108">
        <v>0</v>
      </c>
      <c r="DI395" s="109">
        <v>0</v>
      </c>
      <c r="DJ395" s="67">
        <v>0</v>
      </c>
      <c r="DK395" s="68">
        <v>0</v>
      </c>
      <c r="DL395" s="68">
        <v>0</v>
      </c>
      <c r="DM395" s="68">
        <v>0</v>
      </c>
      <c r="DN395" s="68">
        <v>0</v>
      </c>
      <c r="DO395" s="68">
        <v>0</v>
      </c>
      <c r="DP395" s="68">
        <v>0</v>
      </c>
      <c r="DQ395" s="68">
        <v>0</v>
      </c>
      <c r="DR395" s="68">
        <v>0</v>
      </c>
      <c r="DS395" s="68">
        <v>0</v>
      </c>
      <c r="DT395" s="68">
        <v>0</v>
      </c>
      <c r="DU395" s="69">
        <v>0</v>
      </c>
      <c r="DV395" s="83"/>
      <c r="DW395" s="83"/>
      <c r="DX395" s="83"/>
      <c r="DY395" s="83"/>
      <c r="DZ395" s="83"/>
      <c r="EA395" s="83"/>
      <c r="EB395" s="83"/>
      <c r="EC395" s="83"/>
      <c r="ED395" s="83"/>
      <c r="EE395" s="83"/>
      <c r="EF395" s="83"/>
      <c r="EG395" s="83"/>
      <c r="EH395" s="83"/>
      <c r="EI395" s="61"/>
      <c r="EJ395" s="61"/>
      <c r="EK395" s="61"/>
      <c r="EL395" s="61"/>
      <c r="EM395" s="61"/>
      <c r="EN395" s="61"/>
      <c r="EO395" s="61"/>
      <c r="EP395" s="61"/>
      <c r="EQ395" s="61"/>
      <c r="ER395" s="61"/>
      <c r="ES395" s="61"/>
      <c r="ET395" s="106">
        <v>0</v>
      </c>
      <c r="EU395" s="106">
        <v>0</v>
      </c>
      <c r="EV395" s="106">
        <v>0</v>
      </c>
      <c r="EW395" s="106">
        <v>118999.88400000001</v>
      </c>
      <c r="EX395" s="106">
        <v>475999.53600000002</v>
      </c>
      <c r="EY395" s="106">
        <v>0</v>
      </c>
      <c r="EZ395" s="106">
        <v>0</v>
      </c>
      <c r="FA395" s="106">
        <v>0</v>
      </c>
      <c r="FB395" s="106">
        <v>0</v>
      </c>
      <c r="FC395" s="106">
        <v>0</v>
      </c>
      <c r="FD395" s="106">
        <v>0</v>
      </c>
      <c r="FE395" s="106">
        <v>0</v>
      </c>
      <c r="FF395" s="114"/>
      <c r="FR395" s="63"/>
      <c r="FS395" s="63"/>
      <c r="FT395" s="63"/>
      <c r="FU395" s="63"/>
      <c r="FV395" s="63"/>
      <c r="FW395" s="63"/>
      <c r="FX395" s="63"/>
      <c r="FY395" s="63"/>
      <c r="FZ395" s="63"/>
      <c r="GA395" s="63"/>
      <c r="GB395" s="63"/>
      <c r="GC395" s="63"/>
      <c r="GE395" s="102"/>
    </row>
    <row r="396" spans="1:187">
      <c r="C396" s="59">
        <v>473</v>
      </c>
      <c r="D396" s="59" t="str">
        <f t="shared" si="129"/>
        <v>4730p</v>
      </c>
      <c r="E396" s="60" t="s">
        <v>479</v>
      </c>
      <c r="F396" s="67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9"/>
      <c r="R396" s="67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69"/>
      <c r="AD396" s="67"/>
      <c r="AE396" s="68"/>
      <c r="AF396" s="68"/>
      <c r="AG396" s="68"/>
      <c r="AH396" s="68"/>
      <c r="AI396" s="68"/>
      <c r="AJ396" s="68"/>
      <c r="AK396" s="68"/>
      <c r="AL396" s="68"/>
      <c r="AM396" s="68"/>
      <c r="AN396" s="68"/>
      <c r="AO396" s="69"/>
      <c r="AP396" s="67"/>
      <c r="AQ396" s="68"/>
      <c r="AR396" s="68"/>
      <c r="AS396" s="68"/>
      <c r="AT396" s="68"/>
      <c r="AU396" s="68"/>
      <c r="AV396" s="68"/>
      <c r="AW396" s="68"/>
      <c r="AX396" s="68"/>
      <c r="AY396" s="68"/>
      <c r="AZ396" s="68"/>
      <c r="BA396" s="69"/>
      <c r="BB396" s="67"/>
      <c r="BC396" s="68"/>
      <c r="BD396" s="68"/>
      <c r="BE396" s="68"/>
      <c r="BF396" s="68"/>
      <c r="BG396" s="68"/>
      <c r="BH396" s="68"/>
      <c r="BI396" s="68"/>
      <c r="BJ396" s="68"/>
      <c r="BK396" s="68"/>
      <c r="BL396" s="68"/>
      <c r="BM396" s="69"/>
      <c r="BN396" s="67"/>
      <c r="BO396" s="68"/>
      <c r="BP396" s="68"/>
      <c r="BQ396" s="68"/>
      <c r="BR396" s="68"/>
      <c r="BS396" s="68"/>
      <c r="BT396" s="68"/>
      <c r="BU396" s="68"/>
      <c r="BV396" s="68"/>
      <c r="BW396" s="68"/>
      <c r="BX396" s="68"/>
      <c r="BY396" s="69"/>
      <c r="BZ396" s="67"/>
      <c r="CA396" s="68"/>
      <c r="CB396" s="68"/>
      <c r="CC396" s="68"/>
      <c r="CD396" s="68"/>
      <c r="CE396" s="68"/>
      <c r="CF396" s="68"/>
      <c r="CG396" s="68"/>
      <c r="CH396" s="68"/>
      <c r="CI396" s="68"/>
      <c r="CJ396" s="68"/>
      <c r="CK396" s="68"/>
      <c r="CL396" s="67"/>
      <c r="CM396" s="68"/>
      <c r="CN396" s="68"/>
      <c r="CO396" s="68"/>
      <c r="CP396" s="68"/>
      <c r="CQ396" s="68"/>
      <c r="CR396" s="68"/>
      <c r="CS396" s="68"/>
      <c r="CT396" s="68"/>
      <c r="CU396" s="68"/>
      <c r="CV396" s="68"/>
      <c r="CW396" s="69"/>
      <c r="CX396" s="107">
        <v>0</v>
      </c>
      <c r="CY396" s="108">
        <v>0</v>
      </c>
      <c r="CZ396" s="108">
        <v>0</v>
      </c>
      <c r="DA396" s="108">
        <v>0</v>
      </c>
      <c r="DB396" s="108">
        <v>0</v>
      </c>
      <c r="DC396" s="108">
        <v>0</v>
      </c>
      <c r="DD396" s="108">
        <v>0</v>
      </c>
      <c r="DE396" s="108">
        <v>0</v>
      </c>
      <c r="DF396" s="108">
        <v>0</v>
      </c>
      <c r="DG396" s="108">
        <v>0</v>
      </c>
      <c r="DH396" s="108">
        <v>0</v>
      </c>
      <c r="DI396" s="109">
        <v>0</v>
      </c>
      <c r="DJ396" s="67">
        <v>0</v>
      </c>
      <c r="DK396" s="68">
        <v>0</v>
      </c>
      <c r="DL396" s="68">
        <v>0</v>
      </c>
      <c r="DM396" s="68">
        <v>0</v>
      </c>
      <c r="DN396" s="68">
        <v>0</v>
      </c>
      <c r="DO396" s="68">
        <v>0</v>
      </c>
      <c r="DP396" s="68">
        <v>0</v>
      </c>
      <c r="DQ396" s="68">
        <v>0</v>
      </c>
      <c r="DR396" s="68">
        <v>0</v>
      </c>
      <c r="DS396" s="68">
        <v>0</v>
      </c>
      <c r="DT396" s="68">
        <v>0</v>
      </c>
      <c r="DU396" s="69">
        <v>0</v>
      </c>
      <c r="DV396" s="83"/>
      <c r="DW396" s="83"/>
      <c r="DX396" s="83"/>
      <c r="DY396" s="83"/>
      <c r="DZ396" s="83"/>
      <c r="EA396" s="83"/>
      <c r="EB396" s="83"/>
      <c r="EC396" s="83"/>
      <c r="ED396" s="83"/>
      <c r="EE396" s="83"/>
      <c r="EF396" s="83"/>
      <c r="EG396" s="83"/>
      <c r="EH396" s="83"/>
      <c r="EI396" s="61"/>
      <c r="EJ396" s="61"/>
      <c r="EK396" s="61"/>
      <c r="EL396" s="61"/>
      <c r="EM396" s="61"/>
      <c r="EN396" s="61"/>
      <c r="EO396" s="61"/>
      <c r="EP396" s="61"/>
      <c r="EQ396" s="61"/>
      <c r="ER396" s="61"/>
      <c r="ES396" s="61"/>
      <c r="FR396" s="63"/>
      <c r="FS396" s="63"/>
      <c r="FT396" s="63"/>
      <c r="FU396" s="63"/>
      <c r="FV396" s="63"/>
      <c r="FW396" s="63"/>
      <c r="FX396" s="63"/>
      <c r="FY396" s="63"/>
      <c r="FZ396" s="63"/>
      <c r="GA396" s="63"/>
      <c r="GB396" s="63"/>
      <c r="GC396" s="63"/>
      <c r="GE396" s="102"/>
    </row>
    <row r="397" spans="1:187">
      <c r="D397" s="59">
        <v>1005</v>
      </c>
      <c r="E397" s="60" t="s">
        <v>167</v>
      </c>
      <c r="F397" s="67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9"/>
      <c r="R397" s="67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69"/>
      <c r="AD397" s="67"/>
      <c r="AE397" s="68"/>
      <c r="AF397" s="68"/>
      <c r="AG397" s="68"/>
      <c r="AH397" s="68"/>
      <c r="AI397" s="68"/>
      <c r="AJ397" s="68"/>
      <c r="AK397" s="68"/>
      <c r="AL397" s="68"/>
      <c r="AM397" s="68"/>
      <c r="AN397" s="68"/>
      <c r="AO397" s="69"/>
      <c r="AP397" s="67"/>
      <c r="AQ397" s="68"/>
      <c r="AR397" s="68"/>
      <c r="AS397" s="68"/>
      <c r="AT397" s="68"/>
      <c r="AU397" s="68"/>
      <c r="AV397" s="68"/>
      <c r="AW397" s="68"/>
      <c r="AX397" s="68"/>
      <c r="AY397" s="68"/>
      <c r="AZ397" s="68"/>
      <c r="BA397" s="69"/>
      <c r="BB397" s="67"/>
      <c r="BC397" s="68"/>
      <c r="BD397" s="68"/>
      <c r="BE397" s="68"/>
      <c r="BF397" s="68"/>
      <c r="BG397" s="68"/>
      <c r="BH397" s="68"/>
      <c r="BI397" s="68"/>
      <c r="BJ397" s="68"/>
      <c r="BK397" s="68"/>
      <c r="BL397" s="68"/>
      <c r="BM397" s="69"/>
      <c r="BN397" s="67"/>
      <c r="BO397" s="68"/>
      <c r="BP397" s="68"/>
      <c r="BQ397" s="68"/>
      <c r="BR397" s="68"/>
      <c r="BS397" s="68"/>
      <c r="BT397" s="68"/>
      <c r="BU397" s="68"/>
      <c r="BV397" s="68"/>
      <c r="BW397" s="68"/>
      <c r="BX397" s="68"/>
      <c r="BY397" s="69"/>
      <c r="BZ397" s="67"/>
      <c r="CA397" s="68"/>
      <c r="CB397" s="68"/>
      <c r="CC397" s="68"/>
      <c r="CD397" s="68"/>
      <c r="CE397" s="68"/>
      <c r="CF397" s="68"/>
      <c r="CG397" s="68"/>
      <c r="CH397" s="68"/>
      <c r="CI397" s="68"/>
      <c r="CJ397" s="68"/>
      <c r="CK397" s="68"/>
      <c r="CL397" s="67"/>
      <c r="CM397" s="68"/>
      <c r="CN397" s="68"/>
      <c r="CO397" s="68"/>
      <c r="CP397" s="68"/>
      <c r="CQ397" s="68"/>
      <c r="CR397" s="68"/>
      <c r="CS397" s="68"/>
      <c r="CT397" s="68"/>
      <c r="CU397" s="68"/>
      <c r="CV397" s="68"/>
      <c r="CW397" s="69"/>
      <c r="CX397" s="67"/>
      <c r="CY397" s="68"/>
      <c r="CZ397" s="68"/>
      <c r="DA397" s="68"/>
      <c r="DB397" s="68"/>
      <c r="DC397" s="68"/>
      <c r="DD397" s="68"/>
      <c r="DE397" s="68"/>
      <c r="DF397" s="68"/>
      <c r="DG397" s="68"/>
      <c r="DH397" s="68"/>
      <c r="DI397" s="69"/>
      <c r="DJ397" s="67"/>
      <c r="DK397" s="68"/>
      <c r="DL397" s="68"/>
      <c r="DM397" s="68"/>
      <c r="DN397" s="68"/>
      <c r="DO397" s="68"/>
      <c r="DP397" s="68"/>
      <c r="DQ397" s="68"/>
      <c r="DR397" s="68"/>
      <c r="DS397" s="68"/>
      <c r="DT397" s="68"/>
      <c r="DU397" s="69"/>
      <c r="EH397" s="83"/>
      <c r="EI397" s="61"/>
      <c r="EJ397" s="61"/>
      <c r="EK397" s="61"/>
      <c r="EL397" s="61"/>
      <c r="EM397" s="61"/>
      <c r="EN397" s="61"/>
      <c r="EO397" s="61"/>
      <c r="EP397" s="61"/>
      <c r="EQ397" s="61"/>
      <c r="ER397" s="61"/>
      <c r="ES397" s="61"/>
      <c r="FR397" s="63"/>
      <c r="FS397" s="63"/>
      <c r="FT397" s="63"/>
      <c r="FU397" s="63"/>
      <c r="FV397" s="63"/>
      <c r="FW397" s="63"/>
      <c r="FX397" s="63"/>
      <c r="FY397" s="63"/>
      <c r="FZ397" s="63"/>
      <c r="GA397" s="63"/>
      <c r="GB397" s="63"/>
      <c r="GC397" s="63"/>
    </row>
    <row r="398" spans="1:187">
      <c r="F398" s="67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9"/>
      <c r="R398" s="67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69"/>
      <c r="AD398" s="67"/>
      <c r="AE398" s="68"/>
      <c r="AF398" s="68"/>
      <c r="AG398" s="68"/>
      <c r="AH398" s="68"/>
      <c r="AI398" s="68"/>
      <c r="AJ398" s="68"/>
      <c r="AK398" s="68"/>
      <c r="AL398" s="68"/>
      <c r="AM398" s="68"/>
      <c r="AN398" s="68"/>
      <c r="AO398" s="69"/>
      <c r="AP398" s="67"/>
      <c r="AQ398" s="68"/>
      <c r="AR398" s="68"/>
      <c r="AS398" s="68"/>
      <c r="AT398" s="68"/>
      <c r="AU398" s="68"/>
      <c r="AV398" s="68"/>
      <c r="AW398" s="68"/>
      <c r="AX398" s="68"/>
      <c r="AY398" s="68"/>
      <c r="AZ398" s="68"/>
      <c r="BA398" s="69"/>
      <c r="BB398" s="67"/>
      <c r="BC398" s="68"/>
      <c r="BD398" s="68"/>
      <c r="BE398" s="68"/>
      <c r="BF398" s="68"/>
      <c r="BG398" s="68"/>
      <c r="BH398" s="68"/>
      <c r="BI398" s="68"/>
      <c r="BJ398" s="68"/>
      <c r="BK398" s="68"/>
      <c r="BL398" s="68"/>
      <c r="BM398" s="69"/>
      <c r="BN398" s="67"/>
      <c r="BO398" s="68"/>
      <c r="BP398" s="68"/>
      <c r="BQ398" s="68"/>
      <c r="BR398" s="68"/>
      <c r="BS398" s="68"/>
      <c r="BT398" s="68"/>
      <c r="BU398" s="68"/>
      <c r="BV398" s="68"/>
      <c r="BW398" s="68"/>
      <c r="BX398" s="68"/>
      <c r="BY398" s="69"/>
      <c r="BZ398" s="67"/>
      <c r="CA398" s="68"/>
      <c r="CB398" s="68"/>
      <c r="CC398" s="68"/>
      <c r="CD398" s="68"/>
      <c r="CE398" s="68"/>
      <c r="CF398" s="68"/>
      <c r="CG398" s="68"/>
      <c r="CH398" s="68"/>
      <c r="CI398" s="68"/>
      <c r="CJ398" s="68"/>
      <c r="CK398" s="68"/>
      <c r="CL398" s="67"/>
      <c r="CM398" s="68"/>
      <c r="CN398" s="68"/>
      <c r="CO398" s="68"/>
      <c r="CP398" s="68"/>
      <c r="CQ398" s="68"/>
      <c r="CR398" s="68"/>
      <c r="CS398" s="68"/>
      <c r="CT398" s="68"/>
      <c r="CU398" s="68"/>
      <c r="CV398" s="68"/>
      <c r="CW398" s="69"/>
      <c r="CX398" s="67"/>
      <c r="CY398" s="68"/>
      <c r="CZ398" s="68"/>
      <c r="DA398" s="68"/>
      <c r="DB398" s="68"/>
      <c r="DC398" s="68"/>
      <c r="DD398" s="68"/>
      <c r="DE398" s="68"/>
      <c r="DF398" s="68"/>
      <c r="DG398" s="68"/>
      <c r="DH398" s="68"/>
      <c r="DI398" s="69"/>
      <c r="DJ398" s="67"/>
      <c r="DK398" s="68"/>
      <c r="DL398" s="68"/>
      <c r="DM398" s="68"/>
      <c r="DN398" s="68"/>
      <c r="DO398" s="68"/>
      <c r="DP398" s="68"/>
      <c r="DQ398" s="68"/>
      <c r="DR398" s="68"/>
      <c r="DS398" s="68"/>
      <c r="DT398" s="68"/>
      <c r="DU398" s="69"/>
      <c r="EH398" s="83"/>
      <c r="EI398" s="61"/>
      <c r="EJ398" s="61"/>
      <c r="EK398" s="61"/>
      <c r="EL398" s="61"/>
      <c r="EM398" s="61"/>
      <c r="EN398" s="61"/>
      <c r="EO398" s="61"/>
      <c r="EP398" s="61"/>
      <c r="EQ398" s="61"/>
      <c r="ER398" s="61"/>
      <c r="ES398" s="61"/>
    </row>
    <row r="399" spans="1:187">
      <c r="FF399" s="10"/>
      <c r="GE399" s="125"/>
    </row>
    <row r="400" spans="1:187">
      <c r="GE400" s="126"/>
    </row>
    <row r="401" spans="187:187">
      <c r="GE401" s="125"/>
    </row>
  </sheetData>
  <mergeCells count="22">
    <mergeCell ref="E6:E7"/>
    <mergeCell ref="E214:E215"/>
    <mergeCell ref="BN214:BY214"/>
    <mergeCell ref="BZ214:CK214"/>
    <mergeCell ref="CL214:CW214"/>
    <mergeCell ref="BN6:BY6"/>
    <mergeCell ref="BZ6:CK6"/>
    <mergeCell ref="CL6:CW6"/>
    <mergeCell ref="CX214:DI214"/>
    <mergeCell ref="DJ214:DU214"/>
    <mergeCell ref="F214:Q214"/>
    <mergeCell ref="R214:AC214"/>
    <mergeCell ref="AD214:AO214"/>
    <mergeCell ref="AP214:BA214"/>
    <mergeCell ref="BB214:BM214"/>
    <mergeCell ref="CX6:DI6"/>
    <mergeCell ref="DJ6:DU6"/>
    <mergeCell ref="F6:Q6"/>
    <mergeCell ref="R6:AC6"/>
    <mergeCell ref="AD6:AO6"/>
    <mergeCell ref="AP6:BA6"/>
    <mergeCell ref="BB6:BM6"/>
  </mergeCells>
  <pageMargins left="0.7" right="0.7" top="0.75" bottom="0.75" header="0.3" footer="0.3"/>
  <pageSetup orientation="portrait"/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"/>
  <dimension ref="B1:G286"/>
  <sheetViews>
    <sheetView workbookViewId="0">
      <pane ySplit="4" topLeftCell="A5" activePane="bottomLeft" state="frozen"/>
      <selection pane="bottomLeft" activeCell="B4" sqref="B4"/>
    </sheetView>
  </sheetViews>
  <sheetFormatPr defaultColWidth="9.140625" defaultRowHeight="15"/>
  <cols>
    <col min="1" max="1" width="1.28515625" customWidth="1"/>
    <col min="2" max="2" width="5" customWidth="1"/>
    <col min="3" max="3" width="12.140625" style="1" customWidth="1"/>
    <col min="4" max="4" width="9.140625" style="1"/>
    <col min="5" max="5" width="35.42578125" style="2" customWidth="1"/>
    <col min="6" max="6" width="43.140625" style="3" customWidth="1"/>
    <col min="7" max="7" width="88.85546875" style="4" customWidth="1"/>
  </cols>
  <sheetData>
    <row r="1" spans="2:7" ht="13.15" customHeight="1"/>
    <row r="2" spans="2:7">
      <c r="B2" s="5">
        <v>1</v>
      </c>
      <c r="C2" s="6" t="s">
        <v>615</v>
      </c>
    </row>
    <row r="3" spans="2:7">
      <c r="B3" s="7">
        <v>9</v>
      </c>
      <c r="C3" s="6" t="s">
        <v>616</v>
      </c>
      <c r="E3" s="2" t="s">
        <v>617</v>
      </c>
      <c r="F3" s="3" t="s">
        <v>618</v>
      </c>
      <c r="G3" s="4" t="str">
        <f>+IF(ISBLANK(IF($B$2=1,E3,F3)),"",IF($B$2=1,E3,F3))</f>
        <v>Crnogorski</v>
      </c>
    </row>
    <row r="4" spans="2:7">
      <c r="B4" s="7">
        <v>2026</v>
      </c>
      <c r="C4" s="6" t="s">
        <v>619</v>
      </c>
    </row>
    <row r="5" spans="2:7">
      <c r="E5" s="8"/>
      <c r="F5" s="9"/>
      <c r="G5" s="4" t="str">
        <f>+IF(ISBLANK(IF($B$2=1,E5,F5)),"",IF($B$2=1,E5,F5))</f>
        <v/>
      </c>
    </row>
    <row r="6" spans="2:7">
      <c r="D6" s="1" t="s">
        <v>620</v>
      </c>
      <c r="E6" s="8" t="s">
        <v>96</v>
      </c>
      <c r="F6" s="9" t="s">
        <v>621</v>
      </c>
      <c r="G6" s="4" t="str">
        <f t="shared" ref="G6:G76" si="0">+IF(ISBLANK(IF($B$2=1,E6,F6)),"",IF($B$2=1,E6,F6))</f>
        <v>Crna Gora</v>
      </c>
    </row>
    <row r="7" spans="2:7">
      <c r="E7" s="8" t="s">
        <v>97</v>
      </c>
      <c r="F7" s="9" t="s">
        <v>622</v>
      </c>
      <c r="G7" s="4" t="str">
        <f t="shared" si="0"/>
        <v>Ministarstvo finansija</v>
      </c>
    </row>
    <row r="8" spans="2:7">
      <c r="D8" s="10"/>
      <c r="E8" s="11" t="s">
        <v>98</v>
      </c>
      <c r="F8" s="12" t="s">
        <v>623</v>
      </c>
      <c r="G8" s="13" t="str">
        <f t="shared" si="0"/>
        <v>Direktorat za državni budžet</v>
      </c>
    </row>
    <row r="9" spans="2:7">
      <c r="D9" s="14"/>
      <c r="E9" s="15"/>
      <c r="F9" s="15"/>
      <c r="G9" s="16" t="str">
        <f t="shared" si="0"/>
        <v/>
      </c>
    </row>
    <row r="10" spans="2:7">
      <c r="D10" s="1" t="s">
        <v>624</v>
      </c>
      <c r="E10" s="8" t="s">
        <v>625</v>
      </c>
      <c r="F10" s="9" t="s">
        <v>626</v>
      </c>
      <c r="G10" s="4" t="str">
        <f t="shared" si="0"/>
        <v>Analitika</v>
      </c>
    </row>
    <row r="11" spans="2:7">
      <c r="E11" s="8" t="s">
        <v>627</v>
      </c>
      <c r="F11" s="9" t="s">
        <v>628</v>
      </c>
      <c r="G11" s="4" t="str">
        <f t="shared" si="0"/>
        <v>Mjesečni podaci 2022</v>
      </c>
    </row>
    <row r="12" spans="2:7">
      <c r="E12" s="8" t="s">
        <v>629</v>
      </c>
      <c r="F12" s="9" t="s">
        <v>630</v>
      </c>
      <c r="G12" s="4" t="str">
        <f t="shared" si="0"/>
        <v>Mjesečni podaci 2021</v>
      </c>
    </row>
    <row r="13" spans="2:7">
      <c r="E13" s="8" t="s">
        <v>631</v>
      </c>
      <c r="F13" s="9" t="s">
        <v>632</v>
      </c>
      <c r="G13" s="4" t="str">
        <f t="shared" si="0"/>
        <v>Mjesečni podaci 2020</v>
      </c>
    </row>
    <row r="14" spans="2:7">
      <c r="E14" s="8" t="s">
        <v>633</v>
      </c>
      <c r="F14" s="9" t="s">
        <v>634</v>
      </c>
      <c r="G14" s="4" t="str">
        <f t="shared" si="0"/>
        <v>Mjesečni podaci 2019</v>
      </c>
    </row>
    <row r="15" spans="2:7">
      <c r="E15" s="8" t="s">
        <v>635</v>
      </c>
      <c r="F15" s="9" t="s">
        <v>636</v>
      </c>
      <c r="G15" s="4" t="str">
        <f t="shared" si="0"/>
        <v>Mjesečni podaci 2018</v>
      </c>
    </row>
    <row r="16" spans="2:7">
      <c r="E16" s="8" t="s">
        <v>637</v>
      </c>
      <c r="F16" s="9" t="s">
        <v>638</v>
      </c>
      <c r="G16" s="4" t="str">
        <f t="shared" si="0"/>
        <v>Mjesečni podaci 2017</v>
      </c>
    </row>
    <row r="17" spans="2:7">
      <c r="E17" s="8" t="s">
        <v>639</v>
      </c>
      <c r="F17" s="9" t="s">
        <v>640</v>
      </c>
      <c r="G17" s="4" t="str">
        <f t="shared" si="0"/>
        <v>Mjesečni podaci 2016</v>
      </c>
    </row>
    <row r="18" spans="2:7">
      <c r="E18" s="8" t="s">
        <v>641</v>
      </c>
      <c r="F18" s="9" t="s">
        <v>642</v>
      </c>
      <c r="G18" s="4" t="str">
        <f t="shared" si="0"/>
        <v>Mjesečni podaci 2015</v>
      </c>
    </row>
    <row r="19" spans="2:7">
      <c r="E19" s="8" t="s">
        <v>643</v>
      </c>
      <c r="F19" s="9" t="s">
        <v>644</v>
      </c>
      <c r="G19" s="4" t="str">
        <f t="shared" si="0"/>
        <v>Mjesečni podaci 2014</v>
      </c>
    </row>
    <row r="20" spans="2:7">
      <c r="E20" s="8" t="s">
        <v>645</v>
      </c>
      <c r="F20" s="9" t="s">
        <v>646</v>
      </c>
      <c r="G20" s="4" t="str">
        <f t="shared" si="0"/>
        <v>Mjesečni podaci 2013</v>
      </c>
    </row>
    <row r="21" spans="2:7">
      <c r="E21" s="8" t="s">
        <v>647</v>
      </c>
      <c r="F21" s="9" t="s">
        <v>648</v>
      </c>
      <c r="G21" s="4" t="str">
        <f t="shared" si="0"/>
        <v>Mjesečni podaci 2012</v>
      </c>
    </row>
    <row r="22" spans="2:7">
      <c r="E22" s="8" t="s">
        <v>649</v>
      </c>
      <c r="F22" s="9" t="s">
        <v>650</v>
      </c>
      <c r="G22" s="4" t="str">
        <f t="shared" si="0"/>
        <v>Mjesečni podaci 2011</v>
      </c>
    </row>
    <row r="23" spans="2:7">
      <c r="E23" s="8" t="s">
        <v>651</v>
      </c>
      <c r="F23" s="9" t="s">
        <v>652</v>
      </c>
      <c r="G23" s="4" t="str">
        <f t="shared" si="0"/>
        <v>Istorijski podaci, od 2006</v>
      </c>
    </row>
    <row r="24" spans="2:7">
      <c r="E24" s="8" t="s">
        <v>653</v>
      </c>
      <c r="F24" s="9" t="s">
        <v>654</v>
      </c>
      <c r="G24" s="4" t="str">
        <f t="shared" si="0"/>
        <v>Javni dug</v>
      </c>
    </row>
    <row r="25" spans="2:7">
      <c r="E25" s="8" t="s">
        <v>655</v>
      </c>
      <c r="F25" s="9" t="s">
        <v>655</v>
      </c>
      <c r="G25" s="4" t="str">
        <f t="shared" si="0"/>
        <v>Plan</v>
      </c>
    </row>
    <row r="26" spans="2:7">
      <c r="E26" s="8" t="s">
        <v>656</v>
      </c>
      <c r="F26" s="9" t="s">
        <v>657</v>
      </c>
      <c r="G26" s="4" t="str">
        <f t="shared" si="0"/>
        <v>Ostvarenje</v>
      </c>
    </row>
    <row r="27" spans="2:7">
      <c r="D27" s="10"/>
      <c r="E27" s="11" t="s">
        <v>658</v>
      </c>
      <c r="F27" s="12" t="s">
        <v>659</v>
      </c>
      <c r="G27" s="13" t="str">
        <f t="shared" si="0"/>
        <v>Početak</v>
      </c>
    </row>
    <row r="28" spans="2:7">
      <c r="D28" s="14"/>
      <c r="E28" s="15"/>
      <c r="F28" s="15"/>
      <c r="G28" s="16" t="str">
        <f t="shared" si="0"/>
        <v/>
      </c>
    </row>
    <row r="29" spans="2:7">
      <c r="E29" s="8"/>
      <c r="F29" s="9"/>
      <c r="G29" s="4" t="str">
        <f t="shared" si="0"/>
        <v/>
      </c>
    </row>
    <row r="30" spans="2:7">
      <c r="C30" s="17"/>
      <c r="D30" s="17">
        <v>7</v>
      </c>
      <c r="E30" s="18" t="s">
        <v>126</v>
      </c>
      <c r="F30" s="19" t="s">
        <v>660</v>
      </c>
      <c r="G30" s="4" t="str">
        <f t="shared" si="0"/>
        <v>Prihodi budžeta</v>
      </c>
    </row>
    <row r="31" spans="2:7">
      <c r="C31" s="20"/>
      <c r="D31" s="20">
        <v>71</v>
      </c>
      <c r="E31" s="18" t="s">
        <v>349</v>
      </c>
      <c r="F31" s="19" t="s">
        <v>661</v>
      </c>
      <c r="G31" s="4" t="str">
        <f t="shared" si="0"/>
        <v>Tekući prihodi</v>
      </c>
    </row>
    <row r="32" spans="2:7">
      <c r="B32" s="21"/>
      <c r="D32" s="20">
        <v>711</v>
      </c>
      <c r="E32" s="22" t="s">
        <v>127</v>
      </c>
      <c r="F32" s="23" t="s">
        <v>662</v>
      </c>
      <c r="G32" s="4" t="str">
        <f t="shared" si="0"/>
        <v>Porezi</v>
      </c>
    </row>
    <row r="33" spans="2:7">
      <c r="B33" s="21"/>
      <c r="C33" s="24"/>
      <c r="D33" s="24">
        <v>7111</v>
      </c>
      <c r="E33" s="25" t="s">
        <v>128</v>
      </c>
      <c r="F33" s="26" t="s">
        <v>663</v>
      </c>
      <c r="G33" s="4" t="str">
        <f t="shared" si="0"/>
        <v>Porez na dohodak fizičkih lica</v>
      </c>
    </row>
    <row r="34" spans="2:7">
      <c r="B34" s="27"/>
      <c r="C34" s="24"/>
      <c r="D34" s="24">
        <v>7112</v>
      </c>
      <c r="E34" s="25" t="s">
        <v>129</v>
      </c>
      <c r="F34" s="26" t="s">
        <v>664</v>
      </c>
      <c r="G34" s="4" t="str">
        <f t="shared" si="0"/>
        <v>Porez na dobit pravnih lica</v>
      </c>
    </row>
    <row r="35" spans="2:7">
      <c r="B35" s="27"/>
      <c r="C35" s="24"/>
      <c r="D35" s="24">
        <v>7113</v>
      </c>
      <c r="E35" s="25" t="s">
        <v>130</v>
      </c>
      <c r="F35" s="26" t="s">
        <v>665</v>
      </c>
      <c r="G35" s="4" t="str">
        <f t="shared" si="0"/>
        <v>Porez na promet nepokretnosti</v>
      </c>
    </row>
    <row r="36" spans="2:7">
      <c r="B36" s="27"/>
      <c r="C36" s="24"/>
      <c r="D36" s="24">
        <v>7114</v>
      </c>
      <c r="E36" s="25" t="s">
        <v>131</v>
      </c>
      <c r="F36" s="26" t="s">
        <v>666</v>
      </c>
      <c r="G36" s="4" t="str">
        <f t="shared" si="0"/>
        <v>Porez na dodatu vrijednost</v>
      </c>
    </row>
    <row r="37" spans="2:7">
      <c r="B37" s="27"/>
      <c r="C37" s="24"/>
      <c r="D37" s="24">
        <v>7115</v>
      </c>
      <c r="E37" s="25" t="s">
        <v>132</v>
      </c>
      <c r="F37" s="26" t="s">
        <v>667</v>
      </c>
      <c r="G37" s="4" t="str">
        <f t="shared" si="0"/>
        <v>Akcize</v>
      </c>
    </row>
    <row r="38" spans="2:7">
      <c r="B38" s="27"/>
      <c r="C38" s="24"/>
      <c r="D38" s="24">
        <v>7116</v>
      </c>
      <c r="E38" s="25" t="s">
        <v>133</v>
      </c>
      <c r="F38" s="26" t="s">
        <v>668</v>
      </c>
      <c r="G38" s="4" t="str">
        <f t="shared" si="0"/>
        <v>Porez na međunarodnu trgovinu i transakcije</v>
      </c>
    </row>
    <row r="39" spans="2:7">
      <c r="B39" s="27"/>
      <c r="C39" s="24"/>
      <c r="D39" s="24"/>
      <c r="E39" s="25"/>
      <c r="F39" s="26"/>
    </row>
    <row r="40" spans="2:7">
      <c r="B40" s="27"/>
      <c r="C40" s="24"/>
      <c r="D40" s="24">
        <v>7118</v>
      </c>
      <c r="E40" s="25" t="s">
        <v>134</v>
      </c>
      <c r="F40" s="26" t="s">
        <v>669</v>
      </c>
      <c r="G40" s="4" t="str">
        <f t="shared" si="0"/>
        <v>Ostali državni porezi</v>
      </c>
    </row>
    <row r="41" spans="2:7">
      <c r="B41" s="27"/>
      <c r="D41" s="20">
        <v>712</v>
      </c>
      <c r="E41" s="22" t="s">
        <v>135</v>
      </c>
      <c r="F41" s="23" t="s">
        <v>670</v>
      </c>
      <c r="G41" s="4" t="str">
        <f t="shared" si="0"/>
        <v>Doprinosi</v>
      </c>
    </row>
    <row r="42" spans="2:7">
      <c r="B42" s="21"/>
      <c r="C42" s="24"/>
      <c r="D42" s="24">
        <v>7121</v>
      </c>
      <c r="E42" s="25" t="s">
        <v>136</v>
      </c>
      <c r="F42" s="26" t="s">
        <v>671</v>
      </c>
      <c r="G42" s="4" t="str">
        <f t="shared" si="0"/>
        <v>Doprinosi za penzijsko i invalidsko osiguranje</v>
      </c>
    </row>
    <row r="43" spans="2:7">
      <c r="B43" s="27"/>
      <c r="C43" s="24"/>
      <c r="D43" s="24">
        <v>7122</v>
      </c>
      <c r="E43" s="25" t="s">
        <v>137</v>
      </c>
      <c r="F43" s="26" t="s">
        <v>672</v>
      </c>
      <c r="G43" s="4" t="str">
        <f t="shared" si="0"/>
        <v>Doprinosi za zdravstveno osiguranje</v>
      </c>
    </row>
    <row r="44" spans="2:7">
      <c r="B44" s="27"/>
      <c r="C44" s="24"/>
      <c r="D44" s="24">
        <v>7123</v>
      </c>
      <c r="E44" s="25" t="s">
        <v>138</v>
      </c>
      <c r="F44" s="26" t="s">
        <v>673</v>
      </c>
      <c r="G44" s="4" t="str">
        <f t="shared" si="0"/>
        <v>Doprinosi za osiguranje od nezaposlenosti</v>
      </c>
    </row>
    <row r="45" spans="2:7">
      <c r="B45" s="27"/>
      <c r="C45" s="24"/>
      <c r="D45" s="24">
        <v>7124</v>
      </c>
      <c r="E45" s="25" t="s">
        <v>139</v>
      </c>
      <c r="F45" s="26" t="s">
        <v>674</v>
      </c>
      <c r="G45" s="4" t="str">
        <f t="shared" si="0"/>
        <v>Ostali doprinosi</v>
      </c>
    </row>
    <row r="46" spans="2:7">
      <c r="B46" s="27"/>
      <c r="D46" s="20">
        <v>713</v>
      </c>
      <c r="E46" s="22" t="s">
        <v>140</v>
      </c>
      <c r="F46" s="23" t="s">
        <v>675</v>
      </c>
      <c r="G46" s="4" t="str">
        <f t="shared" si="0"/>
        <v>Takse</v>
      </c>
    </row>
    <row r="47" spans="2:7">
      <c r="B47" s="21"/>
      <c r="C47" s="24"/>
      <c r="D47" s="24">
        <v>7131</v>
      </c>
      <c r="E47" s="25" t="s">
        <v>351</v>
      </c>
      <c r="F47" s="26" t="s">
        <v>676</v>
      </c>
      <c r="G47" s="4" t="str">
        <f t="shared" si="0"/>
        <v>Administrativne takse</v>
      </c>
    </row>
    <row r="48" spans="2:7">
      <c r="B48" s="27"/>
      <c r="C48" s="24"/>
      <c r="D48" s="24">
        <v>7132</v>
      </c>
      <c r="E48" s="25" t="s">
        <v>352</v>
      </c>
      <c r="F48" s="26" t="s">
        <v>677</v>
      </c>
      <c r="G48" s="4" t="str">
        <f t="shared" si="0"/>
        <v>Sudske takse</v>
      </c>
    </row>
    <row r="49" spans="2:7">
      <c r="B49" s="27"/>
      <c r="C49" s="24"/>
      <c r="D49" s="24">
        <v>7133</v>
      </c>
      <c r="E49" s="25" t="s">
        <v>353</v>
      </c>
      <c r="F49" s="26" t="s">
        <v>678</v>
      </c>
      <c r="G49" s="4" t="str">
        <f t="shared" si="0"/>
        <v>Boravišne takse</v>
      </c>
    </row>
    <row r="50" spans="2:7">
      <c r="B50" s="27"/>
      <c r="C50" s="24"/>
      <c r="D50" s="24">
        <v>7134</v>
      </c>
      <c r="E50" s="25" t="s">
        <v>679</v>
      </c>
      <c r="F50" s="26" t="s">
        <v>680</v>
      </c>
      <c r="G50" s="4" t="str">
        <f t="shared" si="0"/>
        <v>Registracione takse</v>
      </c>
    </row>
    <row r="51" spans="2:7">
      <c r="B51" s="27"/>
      <c r="C51" s="24"/>
      <c r="D51" s="24">
        <v>7135</v>
      </c>
      <c r="E51" s="25" t="s">
        <v>681</v>
      </c>
      <c r="F51" s="26" t="s">
        <v>682</v>
      </c>
      <c r="G51" s="4" t="str">
        <f t="shared" si="0"/>
        <v>Lokalne komunalne takse</v>
      </c>
    </row>
    <row r="52" spans="2:7">
      <c r="B52" s="27"/>
      <c r="C52" s="24"/>
      <c r="D52" s="24">
        <v>7136</v>
      </c>
      <c r="E52" s="25" t="s">
        <v>354</v>
      </c>
      <c r="F52" s="26" t="s">
        <v>683</v>
      </c>
      <c r="G52" s="4" t="str">
        <f t="shared" si="0"/>
        <v>Ostale takse</v>
      </c>
    </row>
    <row r="53" spans="2:7">
      <c r="B53" s="27"/>
      <c r="D53" s="20">
        <v>714</v>
      </c>
      <c r="E53" s="22" t="s">
        <v>141</v>
      </c>
      <c r="F53" s="23" t="s">
        <v>684</v>
      </c>
      <c r="G53" s="4" t="str">
        <f t="shared" si="0"/>
        <v>Naknade</v>
      </c>
    </row>
    <row r="54" spans="2:7" ht="23.25">
      <c r="B54" s="21"/>
      <c r="C54" s="24"/>
      <c r="D54" s="24">
        <v>7141</v>
      </c>
      <c r="E54" s="25" t="s">
        <v>355</v>
      </c>
      <c r="F54" s="26" t="s">
        <v>685</v>
      </c>
      <c r="G54" s="4" t="str">
        <f t="shared" si="0"/>
        <v>Naknade za korišćenje dobara od opšteg interesa</v>
      </c>
    </row>
    <row r="55" spans="2:7">
      <c r="B55" s="27"/>
      <c r="C55" s="24"/>
      <c r="D55" s="24">
        <v>7142</v>
      </c>
      <c r="E55" s="25" t="s">
        <v>356</v>
      </c>
      <c r="F55" s="26" t="s">
        <v>686</v>
      </c>
      <c r="G55" s="4" t="str">
        <f t="shared" si="0"/>
        <v>Naknade za korišćenje prirodnih dobara</v>
      </c>
    </row>
    <row r="56" spans="2:7">
      <c r="B56" s="27"/>
      <c r="C56" s="24"/>
      <c r="D56" s="24">
        <v>7143</v>
      </c>
      <c r="E56" s="25" t="s">
        <v>358</v>
      </c>
      <c r="F56" s="26" t="s">
        <v>687</v>
      </c>
      <c r="G56" s="4" t="str">
        <f t="shared" si="0"/>
        <v>Ekološke naknade</v>
      </c>
    </row>
    <row r="57" spans="2:7">
      <c r="B57" s="27"/>
      <c r="C57" s="24"/>
      <c r="D57" s="24">
        <v>7144</v>
      </c>
      <c r="E57" s="25" t="s">
        <v>359</v>
      </c>
      <c r="F57" s="26" t="s">
        <v>688</v>
      </c>
      <c r="G57" s="4" t="str">
        <f t="shared" si="0"/>
        <v>Naknade za priređivanje igara na sreću</v>
      </c>
    </row>
    <row r="58" spans="2:7">
      <c r="B58" s="27"/>
      <c r="C58" s="24"/>
      <c r="D58" s="24">
        <v>7145</v>
      </c>
      <c r="E58" s="25" t="s">
        <v>689</v>
      </c>
      <c r="F58" s="26" t="s">
        <v>690</v>
      </c>
      <c r="G58" s="4" t="str">
        <f t="shared" si="0"/>
        <v>Naknade za korišćenje građevinskog zemljišta</v>
      </c>
    </row>
    <row r="59" spans="2:7" ht="23.25">
      <c r="B59" s="27"/>
      <c r="C59" s="24"/>
      <c r="D59" s="24">
        <v>7146</v>
      </c>
      <c r="E59" s="25" t="s">
        <v>691</v>
      </c>
      <c r="F59" s="26" t="s">
        <v>692</v>
      </c>
      <c r="G59" s="4" t="str">
        <f t="shared" si="0"/>
        <v>Naknade za uređivanje i izgradnju građevinskog zemljišta</v>
      </c>
    </row>
    <row r="60" spans="2:7" ht="34.5">
      <c r="B60" s="27"/>
      <c r="C60" s="24"/>
      <c r="D60" s="24">
        <v>7147</v>
      </c>
      <c r="E60" s="25" t="s">
        <v>693</v>
      </c>
      <c r="F60" s="26" t="s">
        <v>694</v>
      </c>
      <c r="G60" s="4" t="str">
        <f t="shared" si="0"/>
        <v>Naknade za izgradnju i održavanje lokalnih puteva i drugih javnih objekata od opštinskog značaja</v>
      </c>
    </row>
    <row r="61" spans="2:7">
      <c r="B61" s="27"/>
      <c r="C61" s="24"/>
      <c r="D61" s="24">
        <v>7148</v>
      </c>
      <c r="E61" s="25" t="s">
        <v>364</v>
      </c>
      <c r="F61" s="26" t="s">
        <v>695</v>
      </c>
      <c r="G61" s="4" t="str">
        <f t="shared" si="0"/>
        <v>Naknada za puteve</v>
      </c>
    </row>
    <row r="62" spans="2:7">
      <c r="B62" s="27"/>
      <c r="C62" s="24"/>
      <c r="D62" s="24">
        <v>7149</v>
      </c>
      <c r="E62" s="25" t="s">
        <v>365</v>
      </c>
      <c r="F62" s="26" t="s">
        <v>696</v>
      </c>
      <c r="G62" s="4" t="str">
        <f t="shared" si="0"/>
        <v>Ostale naknade</v>
      </c>
    </row>
    <row r="63" spans="2:7">
      <c r="B63" s="27"/>
      <c r="D63" s="20">
        <v>715</v>
      </c>
      <c r="E63" s="22" t="s">
        <v>142</v>
      </c>
      <c r="F63" s="23" t="s">
        <v>697</v>
      </c>
      <c r="G63" s="4" t="str">
        <f t="shared" si="0"/>
        <v>Ostali prihodi</v>
      </c>
    </row>
    <row r="64" spans="2:7">
      <c r="B64" s="21"/>
      <c r="C64" s="24"/>
      <c r="D64" s="24">
        <v>7151</v>
      </c>
      <c r="E64" s="25" t="s">
        <v>366</v>
      </c>
      <c r="F64" s="26" t="s">
        <v>698</v>
      </c>
      <c r="G64" s="4" t="str">
        <f t="shared" si="0"/>
        <v>Prihodi od kapitala</v>
      </c>
    </row>
    <row r="65" spans="2:7">
      <c r="B65" s="27"/>
      <c r="C65" s="24"/>
      <c r="D65" s="24">
        <v>7152</v>
      </c>
      <c r="E65" s="25" t="s">
        <v>367</v>
      </c>
      <c r="F65" s="26" t="s">
        <v>699</v>
      </c>
      <c r="G65" s="4" t="str">
        <f t="shared" si="0"/>
        <v>Novčane kazne i oduzete imovinske koristi</v>
      </c>
    </row>
    <row r="66" spans="2:7" ht="23.25">
      <c r="B66" s="27"/>
      <c r="C66" s="24"/>
      <c r="D66" s="24">
        <v>7153</v>
      </c>
      <c r="E66" s="25" t="s">
        <v>368</v>
      </c>
      <c r="F66" s="26" t="s">
        <v>700</v>
      </c>
      <c r="G66" s="4" t="str">
        <f t="shared" si="0"/>
        <v>Prihodi koje organi ostvaruju vršenjem svoje djelatnosti</v>
      </c>
    </row>
    <row r="67" spans="2:7">
      <c r="B67" s="27"/>
      <c r="C67" s="24"/>
      <c r="D67" s="24">
        <v>7154</v>
      </c>
      <c r="E67" s="25" t="s">
        <v>701</v>
      </c>
      <c r="F67" s="26" t="s">
        <v>702</v>
      </c>
      <c r="G67" s="4" t="str">
        <f t="shared" si="0"/>
        <v>Samodoprinosi</v>
      </c>
    </row>
    <row r="68" spans="2:7">
      <c r="B68" s="27"/>
      <c r="C68" s="24"/>
      <c r="D68" s="24">
        <v>7155</v>
      </c>
      <c r="E68" s="25" t="s">
        <v>142</v>
      </c>
      <c r="F68" s="26" t="s">
        <v>703</v>
      </c>
      <c r="G68" s="4" t="str">
        <f t="shared" si="0"/>
        <v>Ostali prihodi</v>
      </c>
    </row>
    <row r="69" spans="2:7">
      <c r="B69" s="27"/>
      <c r="C69" s="20" t="s">
        <v>6</v>
      </c>
      <c r="D69" s="20">
        <v>72</v>
      </c>
      <c r="E69" s="28" t="s">
        <v>178</v>
      </c>
      <c r="F69" s="19" t="s">
        <v>704</v>
      </c>
      <c r="G69" s="4" t="str">
        <f t="shared" si="0"/>
        <v>Primici od prodaje imovine</v>
      </c>
    </row>
    <row r="70" spans="2:7">
      <c r="B70" s="21"/>
      <c r="C70" s="24">
        <v>721</v>
      </c>
      <c r="D70" s="24">
        <v>7212</v>
      </c>
      <c r="E70" s="25" t="s">
        <v>369</v>
      </c>
      <c r="F70" s="26" t="s">
        <v>705</v>
      </c>
      <c r="G70" s="4" t="str">
        <f t="shared" si="0"/>
        <v>Primici od prodaje nefinansijske imovine</v>
      </c>
    </row>
    <row r="71" spans="2:7">
      <c r="B71" s="27"/>
      <c r="C71" s="24">
        <v>722</v>
      </c>
      <c r="D71" s="24">
        <v>7222</v>
      </c>
      <c r="E71" s="25" t="s">
        <v>370</v>
      </c>
      <c r="F71" s="26" t="s">
        <v>706</v>
      </c>
      <c r="G71" s="4" t="str">
        <f t="shared" si="0"/>
        <v>Primici od prodaje finansijske imovine</v>
      </c>
    </row>
    <row r="72" spans="2:7" ht="23.25">
      <c r="B72" s="27"/>
      <c r="C72" s="20"/>
      <c r="D72" s="20">
        <v>73</v>
      </c>
      <c r="E72" s="28" t="s">
        <v>143</v>
      </c>
      <c r="F72" s="19" t="s">
        <v>707</v>
      </c>
      <c r="G72" s="4" t="str">
        <f t="shared" si="0"/>
        <v>Primici od otplate kredita i sredstva prenesena iz prethodne godine</v>
      </c>
    </row>
    <row r="73" spans="2:7">
      <c r="B73" s="21"/>
      <c r="C73" s="24">
        <v>731</v>
      </c>
      <c r="D73" s="24">
        <v>7311</v>
      </c>
      <c r="E73" s="25" t="s">
        <v>20</v>
      </c>
      <c r="F73" s="26" t="s">
        <v>708</v>
      </c>
      <c r="G73" s="4" t="str">
        <f t="shared" si="0"/>
        <v>Primici od otplate kredita</v>
      </c>
    </row>
    <row r="74" spans="2:7">
      <c r="B74" s="27"/>
      <c r="C74" s="24">
        <v>732</v>
      </c>
      <c r="D74" s="24">
        <v>7321</v>
      </c>
      <c r="E74" s="25" t="s">
        <v>371</v>
      </c>
      <c r="F74" s="26" t="s">
        <v>709</v>
      </c>
      <c r="G74" s="4" t="str">
        <f t="shared" si="0"/>
        <v>Sredstva prenesena iz prethodne godine</v>
      </c>
    </row>
    <row r="75" spans="2:7">
      <c r="B75" s="27"/>
      <c r="C75" s="20" t="s">
        <v>6</v>
      </c>
      <c r="D75" s="20">
        <v>74</v>
      </c>
      <c r="E75" s="28" t="s">
        <v>144</v>
      </c>
      <c r="F75" s="19" t="s">
        <v>710</v>
      </c>
      <c r="G75" s="4" t="str">
        <f t="shared" si="0"/>
        <v>Donacije i transferi</v>
      </c>
    </row>
    <row r="76" spans="2:7">
      <c r="B76" s="21"/>
      <c r="C76" s="24">
        <v>741</v>
      </c>
      <c r="D76" s="24">
        <v>7411</v>
      </c>
      <c r="E76" s="25" t="s">
        <v>372</v>
      </c>
      <c r="F76" s="26" t="s">
        <v>711</v>
      </c>
      <c r="G76" s="4" t="str">
        <f t="shared" si="0"/>
        <v>Donacije</v>
      </c>
    </row>
    <row r="77" spans="2:7">
      <c r="B77" s="27"/>
      <c r="C77" s="24">
        <v>742</v>
      </c>
      <c r="D77" s="24">
        <v>7421</v>
      </c>
      <c r="E77" s="25" t="s">
        <v>373</v>
      </c>
      <c r="F77" s="26" t="s">
        <v>712</v>
      </c>
      <c r="G77" s="4" t="str">
        <f t="shared" ref="G77:G142" si="1">+IF(ISBLANK(IF($B$2=1,E77,F77)),"",IF($B$2=1,E77,F77))</f>
        <v>Transferi</v>
      </c>
    </row>
    <row r="78" spans="2:7">
      <c r="B78" s="27"/>
      <c r="D78" s="20">
        <v>75</v>
      </c>
      <c r="E78" s="28" t="s">
        <v>374</v>
      </c>
      <c r="F78" s="19" t="s">
        <v>713</v>
      </c>
      <c r="G78" s="4" t="str">
        <f t="shared" si="1"/>
        <v>Pozajmice i krediti</v>
      </c>
    </row>
    <row r="79" spans="2:7">
      <c r="B79" s="21"/>
      <c r="C79" s="20"/>
      <c r="D79" s="20">
        <v>751</v>
      </c>
      <c r="E79" s="22" t="s">
        <v>22</v>
      </c>
      <c r="F79" s="23" t="s">
        <v>713</v>
      </c>
      <c r="G79" s="4" t="str">
        <f t="shared" si="1"/>
        <v>Pozajmice i krediti</v>
      </c>
    </row>
    <row r="80" spans="2:7">
      <c r="B80" s="21"/>
      <c r="C80" s="24"/>
      <c r="D80" s="24">
        <v>7511</v>
      </c>
      <c r="E80" s="25" t="s">
        <v>176</v>
      </c>
      <c r="F80" s="26" t="s">
        <v>714</v>
      </c>
      <c r="G80" s="4" t="str">
        <f t="shared" si="1"/>
        <v>Pozajmice i krediti od domaćih izvora</v>
      </c>
    </row>
    <row r="81" spans="2:7">
      <c r="B81" s="27"/>
      <c r="C81" s="29"/>
      <c r="D81" s="29">
        <v>7512</v>
      </c>
      <c r="E81" s="30" t="s">
        <v>177</v>
      </c>
      <c r="F81" s="31" t="s">
        <v>715</v>
      </c>
      <c r="G81" s="13" t="str">
        <f t="shared" si="1"/>
        <v>Pozajmice i krediti od inostranih izvora</v>
      </c>
    </row>
    <row r="82" spans="2:7">
      <c r="B82" s="27"/>
      <c r="C82" s="17"/>
      <c r="D82" s="17">
        <v>4</v>
      </c>
      <c r="E82" s="18" t="s">
        <v>145</v>
      </c>
      <c r="F82" s="19" t="s">
        <v>716</v>
      </c>
      <c r="G82" s="4" t="str">
        <f t="shared" si="1"/>
        <v>Izdaci budžeta</v>
      </c>
    </row>
    <row r="83" spans="2:7">
      <c r="B83" s="27"/>
      <c r="C83" s="17"/>
      <c r="D83" s="17">
        <v>40</v>
      </c>
      <c r="E83" s="18" t="s">
        <v>182</v>
      </c>
      <c r="F83" s="19" t="s">
        <v>717</v>
      </c>
      <c r="G83" s="4" t="str">
        <f t="shared" si="1"/>
        <v>Tekuća budžetska potrošnja</v>
      </c>
    </row>
    <row r="84" spans="2:7">
      <c r="C84" s="17"/>
      <c r="D84" s="17">
        <v>41</v>
      </c>
      <c r="E84" s="18" t="s">
        <v>146</v>
      </c>
      <c r="F84" s="19" t="s">
        <v>718</v>
      </c>
      <c r="G84" s="4" t="str">
        <f t="shared" si="1"/>
        <v>Tekući izdaci</v>
      </c>
    </row>
    <row r="85" spans="2:7">
      <c r="B85" s="32" t="s">
        <v>6</v>
      </c>
      <c r="D85" s="17">
        <v>411</v>
      </c>
      <c r="E85" s="22" t="s">
        <v>147</v>
      </c>
      <c r="F85" s="23" t="s">
        <v>719</v>
      </c>
      <c r="G85" s="4" t="str">
        <f t="shared" si="1"/>
        <v>Bruto zarade i doprinosi na teret poslodavca</v>
      </c>
    </row>
    <row r="86" spans="2:7">
      <c r="B86" s="32"/>
      <c r="C86" s="33"/>
      <c r="D86" s="33">
        <v>4111</v>
      </c>
      <c r="E86" s="25" t="s">
        <v>376</v>
      </c>
      <c r="F86" s="26" t="s">
        <v>720</v>
      </c>
      <c r="G86" s="4" t="str">
        <f t="shared" si="1"/>
        <v>Neto zarade</v>
      </c>
    </row>
    <row r="87" spans="2:7">
      <c r="B87" s="34"/>
      <c r="C87" s="33"/>
      <c r="D87" s="33">
        <v>4112</v>
      </c>
      <c r="E87" s="25" t="s">
        <v>377</v>
      </c>
      <c r="F87" s="26" t="s">
        <v>663</v>
      </c>
      <c r="G87" s="4" t="str">
        <f t="shared" si="1"/>
        <v>Porez na zarade</v>
      </c>
    </row>
    <row r="88" spans="2:7">
      <c r="B88" s="34"/>
      <c r="C88" s="33"/>
      <c r="D88" s="33">
        <v>4113</v>
      </c>
      <c r="E88" s="25" t="s">
        <v>378</v>
      </c>
      <c r="F88" s="26" t="s">
        <v>721</v>
      </c>
      <c r="G88" s="4" t="str">
        <f t="shared" si="1"/>
        <v>Doprinosi na teret zaposlenog</v>
      </c>
    </row>
    <row r="89" spans="2:7" ht="15.75">
      <c r="B89" s="34"/>
      <c r="C89" s="35"/>
      <c r="D89" s="33">
        <v>4114</v>
      </c>
      <c r="E89" s="25" t="s">
        <v>379</v>
      </c>
      <c r="F89" s="26" t="s">
        <v>722</v>
      </c>
      <c r="G89" s="4" t="str">
        <f t="shared" si="1"/>
        <v>Doprinosi na teret poslodavca</v>
      </c>
    </row>
    <row r="90" spans="2:7" ht="15.75">
      <c r="B90" s="36"/>
      <c r="C90" s="33"/>
      <c r="D90" s="33">
        <v>4115</v>
      </c>
      <c r="E90" s="25" t="s">
        <v>380</v>
      </c>
      <c r="F90" s="26" t="s">
        <v>723</v>
      </c>
      <c r="G90" s="4" t="str">
        <f t="shared" si="1"/>
        <v>Opštinski prirez</v>
      </c>
    </row>
    <row r="91" spans="2:7">
      <c r="B91" s="34"/>
      <c r="D91" s="17">
        <v>412</v>
      </c>
      <c r="E91" s="22" t="s">
        <v>148</v>
      </c>
      <c r="F91" s="23" t="s">
        <v>724</v>
      </c>
      <c r="G91" s="4" t="str">
        <f t="shared" si="1"/>
        <v>Ostala lična primanja</v>
      </c>
    </row>
    <row r="92" spans="2:7">
      <c r="B92" s="32"/>
      <c r="C92" s="33"/>
      <c r="D92" s="33">
        <v>4121</v>
      </c>
      <c r="E92" s="25" t="s">
        <v>381</v>
      </c>
      <c r="F92" s="26" t="s">
        <v>725</v>
      </c>
      <c r="G92" s="4" t="str">
        <f t="shared" si="1"/>
        <v>Naknada za zimnicu</v>
      </c>
    </row>
    <row r="93" spans="2:7">
      <c r="B93" s="34"/>
      <c r="C93" s="33"/>
      <c r="D93" s="33">
        <v>4122</v>
      </c>
      <c r="E93" s="25" t="s">
        <v>382</v>
      </c>
      <c r="F93" s="26" t="s">
        <v>726</v>
      </c>
      <c r="G93" s="4" t="str">
        <f t="shared" si="1"/>
        <v>Naknada za stanovanje i odvojen život</v>
      </c>
    </row>
    <row r="94" spans="2:7">
      <c r="B94" s="34"/>
      <c r="C94" s="33"/>
      <c r="D94" s="33">
        <v>4123</v>
      </c>
      <c r="E94" s="25" t="s">
        <v>383</v>
      </c>
      <c r="F94" s="26" t="s">
        <v>727</v>
      </c>
      <c r="G94" s="4" t="str">
        <f t="shared" si="1"/>
        <v>Naknada za prevoz</v>
      </c>
    </row>
    <row r="95" spans="2:7">
      <c r="B95" s="34"/>
      <c r="C95" s="33"/>
      <c r="D95" s="33">
        <v>4124</v>
      </c>
      <c r="E95" s="25" t="s">
        <v>384</v>
      </c>
      <c r="F95" s="26" t="s">
        <v>728</v>
      </c>
      <c r="G95" s="4" t="str">
        <f t="shared" si="1"/>
        <v>Jubilarne nagrade</v>
      </c>
    </row>
    <row r="96" spans="2:7">
      <c r="B96" s="34"/>
      <c r="C96" s="33"/>
      <c r="D96" s="33">
        <v>4125</v>
      </c>
      <c r="E96" s="25" t="s">
        <v>385</v>
      </c>
      <c r="F96" s="26" t="s">
        <v>729</v>
      </c>
      <c r="G96" s="4" t="str">
        <f t="shared" si="1"/>
        <v>Otpremnine</v>
      </c>
    </row>
    <row r="97" spans="2:7">
      <c r="B97" s="34"/>
      <c r="C97" s="33"/>
      <c r="D97" s="33">
        <v>4126</v>
      </c>
      <c r="E97" s="25" t="s">
        <v>386</v>
      </c>
      <c r="F97" s="26" t="s">
        <v>730</v>
      </c>
      <c r="G97" s="4" t="str">
        <f t="shared" si="1"/>
        <v>Naknada skupstinskim poslanicima</v>
      </c>
    </row>
    <row r="98" spans="2:7">
      <c r="B98" s="34"/>
      <c r="C98" s="33"/>
      <c r="D98" s="33">
        <v>4127</v>
      </c>
      <c r="E98" s="25" t="s">
        <v>365</v>
      </c>
      <c r="F98" s="26" t="s">
        <v>731</v>
      </c>
      <c r="G98" s="4" t="str">
        <f t="shared" si="1"/>
        <v>Ostale naknade</v>
      </c>
    </row>
    <row r="99" spans="2:7">
      <c r="B99" s="34"/>
      <c r="C99" s="33"/>
      <c r="D99" s="33">
        <v>4128</v>
      </c>
      <c r="E99" s="25" t="s">
        <v>614</v>
      </c>
      <c r="F99" s="26" t="s">
        <v>732</v>
      </c>
      <c r="G99" s="4" t="str">
        <f t="shared" si="1"/>
        <v>Ostala prava iz oblasti socijalne zaštite</v>
      </c>
    </row>
    <row r="100" spans="2:7">
      <c r="B100" s="34"/>
      <c r="D100" s="17">
        <v>413</v>
      </c>
      <c r="E100" s="22" t="s">
        <v>149</v>
      </c>
      <c r="F100" s="23" t="s">
        <v>733</v>
      </c>
      <c r="G100" s="4" t="str">
        <f t="shared" si="1"/>
        <v>Rashodi za materijal</v>
      </c>
    </row>
    <row r="101" spans="2:7">
      <c r="B101" s="32"/>
      <c r="C101" s="33"/>
      <c r="D101" s="33">
        <v>4131</v>
      </c>
      <c r="E101" s="25" t="s">
        <v>387</v>
      </c>
      <c r="F101" s="26" t="s">
        <v>734</v>
      </c>
      <c r="G101" s="4" t="str">
        <f t="shared" si="1"/>
        <v>Administrativni materijal</v>
      </c>
    </row>
    <row r="102" spans="2:7">
      <c r="B102" s="34"/>
      <c r="C102" s="33"/>
      <c r="D102" s="33">
        <v>4132</v>
      </c>
      <c r="E102" s="25" t="s">
        <v>388</v>
      </c>
      <c r="F102" s="26" t="s">
        <v>735</v>
      </c>
      <c r="G102" s="4" t="str">
        <f t="shared" si="1"/>
        <v>Materijal za zdravstvenu zaštitu</v>
      </c>
    </row>
    <row r="103" spans="2:7">
      <c r="B103" s="34"/>
      <c r="C103" s="33"/>
      <c r="D103" s="33">
        <v>4133</v>
      </c>
      <c r="E103" s="25" t="s">
        <v>389</v>
      </c>
      <c r="F103" s="26" t="s">
        <v>736</v>
      </c>
      <c r="G103" s="4" t="str">
        <f t="shared" si="1"/>
        <v>Materijal za posebne namjene</v>
      </c>
    </row>
    <row r="104" spans="2:7">
      <c r="B104" s="34"/>
      <c r="C104" s="33"/>
      <c r="D104" s="33">
        <v>4134</v>
      </c>
      <c r="E104" s="25" t="s">
        <v>390</v>
      </c>
      <c r="F104" s="26" t="s">
        <v>737</v>
      </c>
      <c r="G104" s="4" t="str">
        <f t="shared" si="1"/>
        <v>Rashodi za energiju</v>
      </c>
    </row>
    <row r="105" spans="2:7">
      <c r="B105" s="34"/>
      <c r="C105" s="33"/>
      <c r="D105" s="33">
        <v>4135</v>
      </c>
      <c r="E105" s="25" t="s">
        <v>391</v>
      </c>
      <c r="F105" s="26" t="s">
        <v>738</v>
      </c>
      <c r="G105" s="4" t="str">
        <f t="shared" si="1"/>
        <v>Rashodi za gorivo</v>
      </c>
    </row>
    <row r="106" spans="2:7">
      <c r="B106" s="34"/>
      <c r="C106" s="33"/>
      <c r="D106" s="33">
        <v>4139</v>
      </c>
      <c r="E106" s="25" t="s">
        <v>392</v>
      </c>
      <c r="F106" s="26" t="s">
        <v>739</v>
      </c>
      <c r="G106" s="4" t="str">
        <f t="shared" si="1"/>
        <v>Ostali rashodi za materijal</v>
      </c>
    </row>
    <row r="107" spans="2:7">
      <c r="B107" s="34"/>
      <c r="D107" s="17">
        <v>414</v>
      </c>
      <c r="E107" s="22" t="s">
        <v>150</v>
      </c>
      <c r="F107" s="23" t="s">
        <v>740</v>
      </c>
      <c r="G107" s="4" t="str">
        <f t="shared" si="1"/>
        <v>Rashodi za usluge</v>
      </c>
    </row>
    <row r="108" spans="2:7">
      <c r="B108" s="32"/>
      <c r="C108" s="33"/>
      <c r="D108" s="33">
        <v>4141</v>
      </c>
      <c r="E108" s="25" t="s">
        <v>393</v>
      </c>
      <c r="F108" s="26" t="s">
        <v>741</v>
      </c>
      <c r="G108" s="4" t="str">
        <f t="shared" si="1"/>
        <v>Službena putovanja</v>
      </c>
    </row>
    <row r="109" spans="2:7">
      <c r="B109" s="34"/>
      <c r="C109" s="33"/>
      <c r="D109" s="33">
        <v>4142</v>
      </c>
      <c r="E109" s="25" t="s">
        <v>394</v>
      </c>
      <c r="F109" s="26" t="s">
        <v>742</v>
      </c>
      <c r="G109" s="4" t="str">
        <f t="shared" si="1"/>
        <v>Reprezentacija</v>
      </c>
    </row>
    <row r="110" spans="2:7">
      <c r="B110" s="34"/>
      <c r="C110" s="33"/>
      <c r="D110" s="33">
        <v>4143</v>
      </c>
      <c r="E110" s="25" t="s">
        <v>395</v>
      </c>
      <c r="F110" s="26" t="s">
        <v>743</v>
      </c>
      <c r="G110" s="4" t="str">
        <f t="shared" si="1"/>
        <v>Komunikacione usluge</v>
      </c>
    </row>
    <row r="111" spans="2:7">
      <c r="B111" s="34"/>
      <c r="C111" s="33"/>
      <c r="D111" s="33">
        <v>4144</v>
      </c>
      <c r="E111" s="25" t="s">
        <v>396</v>
      </c>
      <c r="F111" s="26" t="s">
        <v>744</v>
      </c>
      <c r="G111" s="4" t="str">
        <f t="shared" si="1"/>
        <v>Bankarske usluge i negativne kursne razlike</v>
      </c>
    </row>
    <row r="112" spans="2:7">
      <c r="B112" s="34"/>
      <c r="C112" s="33"/>
      <c r="D112" s="33">
        <v>4145</v>
      </c>
      <c r="E112" s="25" t="s">
        <v>397</v>
      </c>
      <c r="F112" s="26" t="s">
        <v>745</v>
      </c>
      <c r="G112" s="4" t="str">
        <f t="shared" si="1"/>
        <v>Usluge prevoza</v>
      </c>
    </row>
    <row r="113" spans="2:7">
      <c r="B113" s="34"/>
      <c r="C113" s="33"/>
      <c r="D113" s="33">
        <v>4146</v>
      </c>
      <c r="E113" s="25" t="s">
        <v>398</v>
      </c>
      <c r="F113" s="26" t="s">
        <v>746</v>
      </c>
      <c r="G113" s="4" t="str">
        <f t="shared" si="1"/>
        <v>Advokatske, notarske i pravne usluge</v>
      </c>
    </row>
    <row r="114" spans="2:7">
      <c r="B114" s="34"/>
      <c r="C114" s="33"/>
      <c r="D114" s="33">
        <v>4147</v>
      </c>
      <c r="E114" s="25" t="s">
        <v>399</v>
      </c>
      <c r="F114" s="26" t="s">
        <v>747</v>
      </c>
      <c r="G114" s="4" t="str">
        <f t="shared" si="1"/>
        <v>Konsultantske usluge, projekti i studije</v>
      </c>
    </row>
    <row r="115" spans="2:7">
      <c r="B115" s="34"/>
      <c r="C115" s="33"/>
      <c r="D115" s="33">
        <v>4148</v>
      </c>
      <c r="E115" s="25" t="s">
        <v>400</v>
      </c>
      <c r="F115" s="26" t="s">
        <v>748</v>
      </c>
      <c r="G115" s="4" t="str">
        <f t="shared" si="1"/>
        <v>Usluge stručnog usavršavanja</v>
      </c>
    </row>
    <row r="116" spans="2:7">
      <c r="B116" s="34"/>
      <c r="C116" s="33"/>
      <c r="D116" s="33">
        <v>4149</v>
      </c>
      <c r="E116" s="25" t="s">
        <v>401</v>
      </c>
      <c r="F116" s="26" t="s">
        <v>749</v>
      </c>
      <c r="G116" s="4" t="str">
        <f t="shared" si="1"/>
        <v>Ostale usluge</v>
      </c>
    </row>
    <row r="117" spans="2:7">
      <c r="B117" s="34"/>
      <c r="D117" s="17">
        <v>415</v>
      </c>
      <c r="E117" s="22" t="s">
        <v>151</v>
      </c>
      <c r="F117" s="23" t="s">
        <v>750</v>
      </c>
      <c r="G117" s="4" t="str">
        <f t="shared" si="1"/>
        <v>Rashodi za tekuće održavanje</v>
      </c>
    </row>
    <row r="118" spans="2:7">
      <c r="B118" s="32"/>
      <c r="C118" s="33"/>
      <c r="D118" s="33">
        <v>4151</v>
      </c>
      <c r="E118" s="25" t="s">
        <v>402</v>
      </c>
      <c r="F118" s="26" t="s">
        <v>751</v>
      </c>
      <c r="G118" s="4" t="str">
        <f t="shared" si="1"/>
        <v>Tekuće održavanje javne infrastrukture</v>
      </c>
    </row>
    <row r="119" spans="2:7">
      <c r="B119" s="34"/>
      <c r="C119" s="33"/>
      <c r="D119" s="33">
        <v>4152</v>
      </c>
      <c r="E119" s="25" t="s">
        <v>403</v>
      </c>
      <c r="F119" s="26" t="s">
        <v>752</v>
      </c>
      <c r="G119" s="4" t="str">
        <f t="shared" si="1"/>
        <v>Tekuće održavanje građevinskih objekata</v>
      </c>
    </row>
    <row r="120" spans="2:7">
      <c r="B120" s="34"/>
      <c r="C120" s="33"/>
      <c r="D120" s="33">
        <v>4153</v>
      </c>
      <c r="E120" s="25" t="s">
        <v>404</v>
      </c>
      <c r="F120" s="26" t="s">
        <v>753</v>
      </c>
      <c r="G120" s="4" t="str">
        <f t="shared" si="1"/>
        <v>Tekuće održavanje opreme</v>
      </c>
    </row>
    <row r="121" spans="2:7">
      <c r="B121" s="34"/>
      <c r="D121" s="17">
        <v>416</v>
      </c>
      <c r="E121" s="22" t="s">
        <v>152</v>
      </c>
      <c r="F121" s="23" t="s">
        <v>754</v>
      </c>
      <c r="G121" s="4" t="str">
        <f t="shared" si="1"/>
        <v>Kamate</v>
      </c>
    </row>
    <row r="122" spans="2:7">
      <c r="B122" s="32"/>
      <c r="C122" s="33"/>
      <c r="D122" s="33">
        <v>4161</v>
      </c>
      <c r="E122" s="25" t="s">
        <v>405</v>
      </c>
      <c r="F122" s="26" t="s">
        <v>755</v>
      </c>
      <c r="G122" s="4" t="str">
        <f t="shared" si="1"/>
        <v>Kamate rezidentima</v>
      </c>
    </row>
    <row r="123" spans="2:7">
      <c r="B123" s="34"/>
      <c r="C123" s="33"/>
      <c r="D123" s="33">
        <v>4162</v>
      </c>
      <c r="E123" s="25" t="s">
        <v>406</v>
      </c>
      <c r="F123" s="26" t="s">
        <v>756</v>
      </c>
      <c r="G123" s="4" t="str">
        <f t="shared" si="1"/>
        <v>Kamate nerezidentima</v>
      </c>
    </row>
    <row r="124" spans="2:7">
      <c r="B124" s="34"/>
      <c r="D124" s="17">
        <v>417</v>
      </c>
      <c r="E124" s="22" t="s">
        <v>153</v>
      </c>
      <c r="F124" s="23" t="s">
        <v>757</v>
      </c>
      <c r="G124" s="4" t="str">
        <f t="shared" si="1"/>
        <v>Renta</v>
      </c>
    </row>
    <row r="125" spans="2:7">
      <c r="B125" s="32"/>
      <c r="C125" s="33"/>
      <c r="D125" s="33">
        <v>4171</v>
      </c>
      <c r="E125" s="25" t="s">
        <v>407</v>
      </c>
      <c r="F125" s="26" t="s">
        <v>758</v>
      </c>
      <c r="G125" s="4" t="str">
        <f t="shared" si="1"/>
        <v>Zakup objekata</v>
      </c>
    </row>
    <row r="126" spans="2:7">
      <c r="B126" s="34"/>
      <c r="C126" s="33"/>
      <c r="D126" s="33">
        <v>4172</v>
      </c>
      <c r="E126" s="25" t="s">
        <v>408</v>
      </c>
      <c r="F126" s="26" t="s">
        <v>759</v>
      </c>
      <c r="G126" s="4" t="str">
        <f t="shared" si="1"/>
        <v>Zakup opreme</v>
      </c>
    </row>
    <row r="127" spans="2:7">
      <c r="B127" s="34"/>
      <c r="C127" s="33"/>
      <c r="D127" s="33">
        <v>4173</v>
      </c>
      <c r="E127" s="25" t="s">
        <v>409</v>
      </c>
      <c r="F127" s="26" t="s">
        <v>760</v>
      </c>
      <c r="G127" s="4" t="str">
        <f t="shared" si="1"/>
        <v>Zakup zemljišta</v>
      </c>
    </row>
    <row r="128" spans="2:7">
      <c r="B128" s="34"/>
      <c r="D128" s="17">
        <v>418</v>
      </c>
      <c r="E128" s="22" t="s">
        <v>154</v>
      </c>
      <c r="F128" s="23" t="s">
        <v>761</v>
      </c>
      <c r="G128" s="4" t="str">
        <f t="shared" si="1"/>
        <v>Subvencije</v>
      </c>
    </row>
    <row r="129" spans="2:7">
      <c r="B129" s="32"/>
      <c r="C129" s="33"/>
      <c r="D129" s="33">
        <v>4181</v>
      </c>
      <c r="E129" s="25" t="s">
        <v>410</v>
      </c>
      <c r="F129" s="26" t="s">
        <v>762</v>
      </c>
      <c r="G129" s="4" t="str">
        <f t="shared" si="1"/>
        <v>Subvencije za proizvodnju i pružanje usluga</v>
      </c>
    </row>
    <row r="130" spans="2:7">
      <c r="B130" s="34"/>
      <c r="C130" s="33"/>
      <c r="D130" s="33">
        <v>4182</v>
      </c>
      <c r="E130" s="25" t="s">
        <v>411</v>
      </c>
      <c r="F130" s="26" t="s">
        <v>763</v>
      </c>
      <c r="G130" s="4" t="str">
        <f t="shared" si="1"/>
        <v>Izvozne subvencije</v>
      </c>
    </row>
    <row r="131" spans="2:7">
      <c r="B131" s="34"/>
      <c r="C131" s="33"/>
      <c r="D131" s="33">
        <v>4183</v>
      </c>
      <c r="E131" s="25" t="s">
        <v>412</v>
      </c>
      <c r="F131" s="26" t="s">
        <v>764</v>
      </c>
      <c r="G131" s="4" t="str">
        <f t="shared" si="1"/>
        <v>Uvozne subvencije</v>
      </c>
    </row>
    <row r="132" spans="2:7">
      <c r="B132" s="34"/>
      <c r="D132" s="17">
        <v>419</v>
      </c>
      <c r="E132" s="22" t="s">
        <v>155</v>
      </c>
      <c r="F132" s="23" t="s">
        <v>765</v>
      </c>
      <c r="G132" s="4" t="str">
        <f t="shared" si="1"/>
        <v>Ostali izdaci</v>
      </c>
    </row>
    <row r="133" spans="2:7">
      <c r="B133" s="32"/>
      <c r="C133" s="33"/>
      <c r="D133" s="33">
        <v>4191</v>
      </c>
      <c r="E133" s="25" t="s">
        <v>413</v>
      </c>
      <c r="F133" s="26" t="s">
        <v>766</v>
      </c>
      <c r="G133" s="4" t="str">
        <f t="shared" si="1"/>
        <v>Izdaci po osnovu isplate ugovora o djelu</v>
      </c>
    </row>
    <row r="134" spans="2:7">
      <c r="B134" s="34"/>
      <c r="C134" s="33"/>
      <c r="D134" s="33">
        <v>4192</v>
      </c>
      <c r="E134" s="25" t="s">
        <v>414</v>
      </c>
      <c r="F134" s="26" t="s">
        <v>767</v>
      </c>
      <c r="G134" s="4" t="str">
        <f t="shared" si="1"/>
        <v>Izdaci po osnovu troškova sudskih postupaka</v>
      </c>
    </row>
    <row r="135" spans="2:7">
      <c r="B135" s="34"/>
      <c r="C135" s="33"/>
      <c r="D135" s="33">
        <v>4193</v>
      </c>
      <c r="E135" s="25" t="s">
        <v>415</v>
      </c>
      <c r="F135" s="26" t="s">
        <v>768</v>
      </c>
      <c r="G135" s="4" t="str">
        <f t="shared" si="1"/>
        <v>Izrada i održavanje softvera</v>
      </c>
    </row>
    <row r="136" spans="2:7">
      <c r="B136" s="34"/>
      <c r="C136" s="33"/>
      <c r="D136" s="33">
        <v>4194</v>
      </c>
      <c r="E136" s="25" t="s">
        <v>416</v>
      </c>
      <c r="F136" s="26" t="s">
        <v>769</v>
      </c>
      <c r="G136" s="4" t="str">
        <f t="shared" si="1"/>
        <v>Osiguranje</v>
      </c>
    </row>
    <row r="137" spans="2:7" ht="23.25">
      <c r="B137" s="34"/>
      <c r="C137" s="24"/>
      <c r="D137" s="24">
        <v>4195</v>
      </c>
      <c r="E137" s="37" t="s">
        <v>417</v>
      </c>
      <c r="F137" s="26" t="s">
        <v>770</v>
      </c>
      <c r="G137" s="4" t="str">
        <f t="shared" si="1"/>
        <v>Kontribucije za članstvo u domaćim i međunarodnim organizacijama</v>
      </c>
    </row>
    <row r="138" spans="2:7">
      <c r="B138" s="27"/>
      <c r="C138" s="33"/>
      <c r="D138" s="33">
        <v>4196</v>
      </c>
      <c r="E138" s="25" t="s">
        <v>418</v>
      </c>
      <c r="F138" s="26" t="s">
        <v>771</v>
      </c>
      <c r="G138" s="4" t="str">
        <f t="shared" si="1"/>
        <v>Komunalne naknade</v>
      </c>
    </row>
    <row r="139" spans="2:7">
      <c r="B139" s="34"/>
      <c r="C139" s="33"/>
      <c r="D139" s="24">
        <v>4197</v>
      </c>
      <c r="E139" s="25" t="s">
        <v>419</v>
      </c>
      <c r="F139" s="26" t="s">
        <v>772</v>
      </c>
      <c r="G139" s="4" t="str">
        <f t="shared" si="1"/>
        <v>Kazne</v>
      </c>
    </row>
    <row r="140" spans="2:7">
      <c r="B140" s="34"/>
      <c r="C140" s="33"/>
      <c r="D140" s="33">
        <v>4198</v>
      </c>
      <c r="E140" s="25" t="s">
        <v>140</v>
      </c>
      <c r="F140" s="26" t="s">
        <v>684</v>
      </c>
      <c r="G140" s="4" t="str">
        <f t="shared" si="1"/>
        <v>Takse</v>
      </c>
    </row>
    <row r="141" spans="2:7">
      <c r="B141" s="34"/>
      <c r="C141" s="33"/>
      <c r="D141" s="24">
        <v>4199</v>
      </c>
      <c r="E141" s="25" t="s">
        <v>420</v>
      </c>
      <c r="F141" s="26" t="s">
        <v>773</v>
      </c>
      <c r="G141" s="4" t="str">
        <f t="shared" si="1"/>
        <v>Ostalo</v>
      </c>
    </row>
    <row r="142" spans="2:7">
      <c r="B142" s="34"/>
      <c r="C142" s="17" t="s">
        <v>6</v>
      </c>
      <c r="D142" s="17">
        <v>42</v>
      </c>
      <c r="E142" s="18" t="s">
        <v>156</v>
      </c>
      <c r="F142" s="19" t="s">
        <v>774</v>
      </c>
      <c r="G142" s="4" t="str">
        <f t="shared" si="1"/>
        <v>Transferi za socijalnu zaštitu</v>
      </c>
    </row>
    <row r="143" spans="2:7">
      <c r="B143" s="32"/>
      <c r="D143" s="17">
        <v>421</v>
      </c>
      <c r="E143" s="22" t="s">
        <v>157</v>
      </c>
      <c r="F143" s="23" t="s">
        <v>775</v>
      </c>
      <c r="G143" s="4" t="str">
        <f t="shared" ref="G143:G206" si="2">+IF(ISBLANK(IF($B$2=1,E143,F143)),"",IF($B$2=1,E143,F143))</f>
        <v>Prava iz oblasti socijalne zaštite</v>
      </c>
    </row>
    <row r="144" spans="2:7">
      <c r="B144" s="32"/>
      <c r="C144" s="33" t="s">
        <v>6</v>
      </c>
      <c r="D144" s="33">
        <v>4211</v>
      </c>
      <c r="E144" s="25" t="s">
        <v>421</v>
      </c>
      <c r="F144" s="26" t="s">
        <v>776</v>
      </c>
      <c r="G144" s="4" t="str">
        <f t="shared" si="2"/>
        <v>Dječiji dodaci</v>
      </c>
    </row>
    <row r="145" spans="2:7">
      <c r="B145" s="34"/>
      <c r="C145" s="33"/>
      <c r="D145" s="33">
        <v>4212</v>
      </c>
      <c r="E145" s="25" t="s">
        <v>422</v>
      </c>
      <c r="F145" s="26" t="s">
        <v>777</v>
      </c>
      <c r="G145" s="4" t="str">
        <f t="shared" si="2"/>
        <v>Boračko invalidska zaštita</v>
      </c>
    </row>
    <row r="146" spans="2:7">
      <c r="B146" s="34"/>
      <c r="C146" s="33"/>
      <c r="D146" s="33">
        <v>4213</v>
      </c>
      <c r="E146" s="25" t="s">
        <v>423</v>
      </c>
      <c r="F146" s="26" t="s">
        <v>778</v>
      </c>
      <c r="G146" s="4" t="str">
        <f t="shared" si="2"/>
        <v>Materijalno obezbjeđenje porodice</v>
      </c>
    </row>
    <row r="147" spans="2:7">
      <c r="B147" s="34"/>
      <c r="C147" s="33"/>
      <c r="D147" s="33">
        <v>4214</v>
      </c>
      <c r="E147" s="25" t="s">
        <v>424</v>
      </c>
      <c r="F147" s="26" t="s">
        <v>779</v>
      </c>
      <c r="G147" s="4" t="str">
        <f t="shared" si="2"/>
        <v>Porodiljska odsustva</v>
      </c>
    </row>
    <row r="148" spans="2:7">
      <c r="B148" s="34"/>
      <c r="C148" s="33"/>
      <c r="D148" s="33">
        <v>4215</v>
      </c>
      <c r="E148" s="25" t="s">
        <v>425</v>
      </c>
      <c r="F148" s="26" t="s">
        <v>780</v>
      </c>
      <c r="G148" s="4" t="str">
        <f t="shared" si="2"/>
        <v>Tuđa njega i pomoć</v>
      </c>
    </row>
    <row r="149" spans="2:7">
      <c r="B149" s="34"/>
      <c r="C149" s="33"/>
      <c r="D149" s="33">
        <v>4216</v>
      </c>
      <c r="E149" s="25" t="s">
        <v>426</v>
      </c>
      <c r="F149" s="26" t="s">
        <v>781</v>
      </c>
      <c r="G149" s="4" t="str">
        <f t="shared" si="2"/>
        <v>Ishrana djece u predškolskim ustanovama</v>
      </c>
    </row>
    <row r="150" spans="2:7">
      <c r="B150" s="34"/>
      <c r="C150" s="33"/>
      <c r="D150" s="33">
        <v>4217</v>
      </c>
      <c r="E150" s="25" t="s">
        <v>427</v>
      </c>
      <c r="F150" s="26" t="s">
        <v>782</v>
      </c>
      <c r="G150" s="4" t="str">
        <f t="shared" si="2"/>
        <v>Izdržavanje štićenika u domovima</v>
      </c>
    </row>
    <row r="151" spans="2:7">
      <c r="B151" s="34"/>
      <c r="C151" s="33"/>
      <c r="D151" s="33">
        <v>4218</v>
      </c>
      <c r="E151" s="25" t="s">
        <v>614</v>
      </c>
      <c r="F151" s="26" t="s">
        <v>783</v>
      </c>
      <c r="G151" s="4" t="str">
        <f t="shared" si="2"/>
        <v>Ostala prava iz oblasti socijalne zaštite</v>
      </c>
    </row>
    <row r="152" spans="2:7">
      <c r="B152" s="34"/>
      <c r="D152" s="17">
        <v>422</v>
      </c>
      <c r="E152" s="22" t="s">
        <v>158</v>
      </c>
      <c r="F152" s="23" t="s">
        <v>784</v>
      </c>
      <c r="G152" s="4" t="str">
        <f t="shared" si="2"/>
        <v>Sredstva za tehnološke viškove</v>
      </c>
    </row>
    <row r="153" spans="2:7">
      <c r="B153" s="32"/>
      <c r="C153" s="33"/>
      <c r="D153" s="33">
        <v>4221</v>
      </c>
      <c r="E153" s="25" t="s">
        <v>429</v>
      </c>
      <c r="F153" s="26" t="s">
        <v>785</v>
      </c>
      <c r="G153" s="4" t="str">
        <f t="shared" si="2"/>
        <v>Garantovane zarade</v>
      </c>
    </row>
    <row r="154" spans="2:7">
      <c r="B154" s="34"/>
      <c r="C154" s="33"/>
      <c r="D154" s="33">
        <v>4222</v>
      </c>
      <c r="E154" s="25" t="s">
        <v>430</v>
      </c>
      <c r="F154" s="26" t="s">
        <v>786</v>
      </c>
      <c r="G154" s="4" t="str">
        <f t="shared" si="2"/>
        <v>Otpremnine za tehnološke viškove</v>
      </c>
    </row>
    <row r="155" spans="2:7">
      <c r="B155" s="34"/>
      <c r="C155" s="33"/>
      <c r="D155" s="33">
        <v>4223</v>
      </c>
      <c r="E155" s="25" t="s">
        <v>431</v>
      </c>
      <c r="F155" s="26" t="s">
        <v>787</v>
      </c>
      <c r="G155" s="4" t="str">
        <f t="shared" si="2"/>
        <v>Dokup staža</v>
      </c>
    </row>
    <row r="156" spans="2:7">
      <c r="B156" s="34"/>
      <c r="C156" s="33"/>
      <c r="D156" s="33">
        <v>4224</v>
      </c>
      <c r="E156" s="25" t="s">
        <v>432</v>
      </c>
      <c r="F156" s="26" t="s">
        <v>788</v>
      </c>
      <c r="G156" s="4" t="str">
        <f t="shared" si="2"/>
        <v>Naknade nezaposlenim licima</v>
      </c>
    </row>
    <row r="157" spans="2:7">
      <c r="B157" s="34"/>
      <c r="C157" s="33"/>
      <c r="D157" s="33">
        <v>4225</v>
      </c>
      <c r="E157" s="25" t="s">
        <v>420</v>
      </c>
      <c r="F157" s="26" t="s">
        <v>789</v>
      </c>
      <c r="G157" s="4" t="str">
        <f t="shared" si="2"/>
        <v>Ostalo</v>
      </c>
    </row>
    <row r="158" spans="2:7">
      <c r="B158" s="34"/>
      <c r="D158" s="17">
        <v>423</v>
      </c>
      <c r="E158" s="22" t="s">
        <v>159</v>
      </c>
      <c r="F158" s="23" t="s">
        <v>790</v>
      </c>
      <c r="G158" s="4" t="str">
        <f t="shared" si="2"/>
        <v>Prava iz oblasti penzijskog i invalidskog osiguranja</v>
      </c>
    </row>
    <row r="159" spans="2:7">
      <c r="B159" s="32"/>
      <c r="C159" s="33"/>
      <c r="D159" s="33">
        <v>4231</v>
      </c>
      <c r="E159" s="25" t="s">
        <v>433</v>
      </c>
      <c r="F159" s="26" t="s">
        <v>791</v>
      </c>
      <c r="G159" s="4" t="str">
        <f t="shared" si="2"/>
        <v>Starosna penzija</v>
      </c>
    </row>
    <row r="160" spans="2:7">
      <c r="B160" s="34"/>
      <c r="C160" s="33"/>
      <c r="D160" s="33">
        <v>4232</v>
      </c>
      <c r="E160" s="25" t="s">
        <v>434</v>
      </c>
      <c r="F160" s="26" t="s">
        <v>792</v>
      </c>
      <c r="G160" s="4" t="str">
        <f t="shared" si="2"/>
        <v>Invalidska penzija</v>
      </c>
    </row>
    <row r="161" spans="2:7">
      <c r="B161" s="34"/>
      <c r="C161" s="33"/>
      <c r="D161" s="33">
        <v>4233</v>
      </c>
      <c r="E161" s="25" t="s">
        <v>435</v>
      </c>
      <c r="F161" s="26" t="s">
        <v>793</v>
      </c>
      <c r="G161" s="4" t="str">
        <f t="shared" si="2"/>
        <v>Porodična penzija</v>
      </c>
    </row>
    <row r="162" spans="2:7">
      <c r="B162" s="34"/>
      <c r="C162" s="33"/>
      <c r="D162" s="33">
        <v>4234</v>
      </c>
      <c r="E162" s="25" t="s">
        <v>141</v>
      </c>
      <c r="F162" s="26" t="s">
        <v>794</v>
      </c>
      <c r="G162" s="4" t="str">
        <f t="shared" si="2"/>
        <v>Naknade</v>
      </c>
    </row>
    <row r="163" spans="2:7">
      <c r="B163" s="34"/>
      <c r="C163" s="33"/>
      <c r="D163" s="33">
        <v>4235</v>
      </c>
      <c r="E163" s="25" t="s">
        <v>436</v>
      </c>
      <c r="F163" s="26" t="s">
        <v>795</v>
      </c>
      <c r="G163" s="4" t="str">
        <f t="shared" si="2"/>
        <v>Dodaci</v>
      </c>
    </row>
    <row r="164" spans="2:7">
      <c r="B164" s="34"/>
      <c r="C164" s="33"/>
      <c r="D164" s="33">
        <v>4236</v>
      </c>
      <c r="E164" s="25" t="s">
        <v>437</v>
      </c>
      <c r="F164" s="26" t="s">
        <v>796</v>
      </c>
      <c r="G164" s="4" t="str">
        <f t="shared" si="2"/>
        <v>Ostala prava</v>
      </c>
    </row>
    <row r="165" spans="2:7">
      <c r="B165" s="34"/>
      <c r="C165" s="33"/>
      <c r="D165" s="33">
        <v>4237</v>
      </c>
      <c r="E165" s="25" t="s">
        <v>438</v>
      </c>
      <c r="F165" s="26" t="s">
        <v>797</v>
      </c>
      <c r="G165" s="4" t="str">
        <f t="shared" si="2"/>
        <v>Doprinos za zdravstvenu zaštitu penzionera</v>
      </c>
    </row>
    <row r="166" spans="2:7">
      <c r="B166" s="34"/>
      <c r="D166" s="17">
        <v>424</v>
      </c>
      <c r="E166" s="22" t="s">
        <v>160</v>
      </c>
      <c r="F166" s="23" t="s">
        <v>798</v>
      </c>
      <c r="G166" s="4" t="str">
        <f t="shared" si="2"/>
        <v>Ostala prava iz oblasti zdravstvene zaštite</v>
      </c>
    </row>
    <row r="167" spans="2:7">
      <c r="B167" s="32"/>
      <c r="C167" s="33"/>
      <c r="D167" s="33">
        <v>4241</v>
      </c>
      <c r="E167" s="25" t="s">
        <v>439</v>
      </c>
      <c r="F167" s="26" t="s">
        <v>799</v>
      </c>
      <c r="G167" s="4" t="str">
        <f t="shared" si="2"/>
        <v>Liječenje van Crne Gore</v>
      </c>
    </row>
    <row r="168" spans="2:7">
      <c r="B168" s="34"/>
      <c r="D168" s="17">
        <v>425</v>
      </c>
      <c r="E168" s="22" t="s">
        <v>161</v>
      </c>
      <c r="F168" s="23" t="s">
        <v>800</v>
      </c>
      <c r="G168" s="4" t="str">
        <f t="shared" si="2"/>
        <v>Ostala prava iz zdravstvenog osiguranja</v>
      </c>
    </row>
    <row r="169" spans="2:7">
      <c r="B169" s="32"/>
      <c r="C169" s="33"/>
      <c r="D169" s="33">
        <v>4251</v>
      </c>
      <c r="E169" s="25" t="s">
        <v>440</v>
      </c>
      <c r="F169" s="26" t="s">
        <v>801</v>
      </c>
      <c r="G169" s="4" t="str">
        <f t="shared" si="2"/>
        <v>Ortopedske sprave i pomagala</v>
      </c>
    </row>
    <row r="170" spans="2:7">
      <c r="B170" s="34"/>
      <c r="C170" s="33"/>
      <c r="D170" s="33">
        <v>4252</v>
      </c>
      <c r="E170" s="25" t="s">
        <v>441</v>
      </c>
      <c r="F170" s="26" t="s">
        <v>802</v>
      </c>
      <c r="G170" s="4" t="str">
        <f t="shared" si="2"/>
        <v>Naknade za bolovanje preko 60 dana</v>
      </c>
    </row>
    <row r="171" spans="2:7">
      <c r="B171" s="34"/>
      <c r="C171" s="33"/>
      <c r="D171" s="33">
        <v>4253</v>
      </c>
      <c r="E171" s="25" t="s">
        <v>442</v>
      </c>
      <c r="F171" s="26" t="s">
        <v>803</v>
      </c>
      <c r="G171" s="4" t="str">
        <f t="shared" si="2"/>
        <v>Naknade za putne troškove osiguranika</v>
      </c>
    </row>
    <row r="172" spans="2:7" ht="23.25">
      <c r="B172" s="34"/>
      <c r="C172" s="17"/>
      <c r="D172" s="17">
        <v>43</v>
      </c>
      <c r="E172" s="18" t="s">
        <v>162</v>
      </c>
      <c r="F172" s="19" t="s">
        <v>804</v>
      </c>
      <c r="G172" s="4" t="str">
        <f t="shared" si="2"/>
        <v>Transferi institucijama, pojedincima, nevladinom i javnom sektoru</v>
      </c>
    </row>
    <row r="173" spans="2:7" ht="23.25">
      <c r="B173" s="32" t="s">
        <v>6</v>
      </c>
      <c r="D173" s="17">
        <v>431</v>
      </c>
      <c r="E173" s="22" t="s">
        <v>162</v>
      </c>
      <c r="F173" s="23" t="s">
        <v>804</v>
      </c>
      <c r="G173" s="4" t="str">
        <f t="shared" si="2"/>
        <v>Transferi institucijama, pojedincima, nevladinom i javnom sektoru</v>
      </c>
    </row>
    <row r="174" spans="2:7">
      <c r="B174" s="32" t="s">
        <v>6</v>
      </c>
      <c r="C174" s="33"/>
      <c r="D174" s="33">
        <v>4311</v>
      </c>
      <c r="E174" s="25" t="s">
        <v>443</v>
      </c>
      <c r="F174" s="26" t="s">
        <v>805</v>
      </c>
      <c r="G174" s="4" t="str">
        <f t="shared" si="2"/>
        <v>Transferi za zdravstvenu zaštitu</v>
      </c>
    </row>
    <row r="175" spans="2:7">
      <c r="B175" s="34"/>
      <c r="C175" s="33"/>
      <c r="D175" s="33">
        <v>4312</v>
      </c>
      <c r="E175" s="25" t="s">
        <v>444</v>
      </c>
      <c r="F175" s="26" t="s">
        <v>806</v>
      </c>
      <c r="G175" s="4" t="str">
        <f t="shared" si="2"/>
        <v>Transferi obrazovanju</v>
      </c>
    </row>
    <row r="176" spans="2:7">
      <c r="B176" s="34"/>
      <c r="C176" s="33"/>
      <c r="D176" s="33">
        <v>4313</v>
      </c>
      <c r="E176" s="25" t="s">
        <v>445</v>
      </c>
      <c r="F176" s="26" t="s">
        <v>807</v>
      </c>
      <c r="G176" s="4" t="str">
        <f t="shared" si="2"/>
        <v>Transferi institucijama kulture i sporta</v>
      </c>
    </row>
    <row r="177" spans="2:7">
      <c r="B177" s="34"/>
      <c r="C177" s="33"/>
      <c r="D177" s="33">
        <v>4314</v>
      </c>
      <c r="E177" s="25" t="s">
        <v>446</v>
      </c>
      <c r="F177" s="26" t="s">
        <v>808</v>
      </c>
      <c r="G177" s="4" t="str">
        <f t="shared" si="2"/>
        <v>Transferi nevladinim organizacijama</v>
      </c>
    </row>
    <row r="178" spans="2:7" ht="23.25">
      <c r="B178" s="34"/>
      <c r="C178" s="33"/>
      <c r="D178" s="33">
        <v>4315</v>
      </c>
      <c r="E178" s="25" t="s">
        <v>447</v>
      </c>
      <c r="F178" s="26" t="s">
        <v>809</v>
      </c>
      <c r="G178" s="4" t="str">
        <f t="shared" si="2"/>
        <v>Transferi političkim partijama, strankama i udruženjima</v>
      </c>
    </row>
    <row r="179" spans="2:7">
      <c r="B179" s="34"/>
      <c r="C179" s="33"/>
      <c r="D179" s="33">
        <v>4316</v>
      </c>
      <c r="E179" s="25" t="s">
        <v>448</v>
      </c>
      <c r="F179" s="26" t="s">
        <v>810</v>
      </c>
      <c r="G179" s="4" t="str">
        <f t="shared" si="2"/>
        <v>Transferi za jednokratne socijalne pomoći</v>
      </c>
    </row>
    <row r="180" spans="2:7">
      <c r="B180" s="34"/>
      <c r="C180" s="33"/>
      <c r="D180" s="33">
        <v>4317</v>
      </c>
      <c r="E180" s="25" t="s">
        <v>449</v>
      </c>
      <c r="F180" s="26" t="s">
        <v>811</v>
      </c>
      <c r="G180" s="4" t="str">
        <f t="shared" si="2"/>
        <v>Transferi za lična primanja pripravnika</v>
      </c>
    </row>
    <row r="181" spans="2:7">
      <c r="B181" s="34"/>
      <c r="C181" s="33"/>
      <c r="D181" s="33">
        <v>4318</v>
      </c>
      <c r="E181" s="25" t="s">
        <v>450</v>
      </c>
      <c r="F181" s="26" t="s">
        <v>812</v>
      </c>
      <c r="G181" s="4" t="str">
        <f t="shared" si="2"/>
        <v>Ostali transferi pojedincima</v>
      </c>
    </row>
    <row r="182" spans="2:7">
      <c r="B182" s="34"/>
      <c r="C182" s="33"/>
      <c r="D182" s="33">
        <v>4319</v>
      </c>
      <c r="E182" s="25" t="s">
        <v>451</v>
      </c>
      <c r="F182" s="26" t="s">
        <v>813</v>
      </c>
      <c r="G182" s="4" t="str">
        <f t="shared" si="2"/>
        <v>Ostali transferi institucijama</v>
      </c>
    </row>
    <row r="183" spans="2:7">
      <c r="B183" s="34"/>
      <c r="D183" s="17">
        <v>432</v>
      </c>
      <c r="E183" s="22" t="s">
        <v>452</v>
      </c>
      <c r="F183" s="23" t="s">
        <v>814</v>
      </c>
      <c r="G183" s="4" t="str">
        <f t="shared" si="2"/>
        <v>Ostali transferi</v>
      </c>
    </row>
    <row r="184" spans="2:7" ht="23.25">
      <c r="B184" s="32" t="s">
        <v>6</v>
      </c>
      <c r="C184" s="33"/>
      <c r="D184" s="33">
        <v>4321</v>
      </c>
      <c r="E184" s="25" t="s">
        <v>453</v>
      </c>
      <c r="F184" s="26" t="s">
        <v>815</v>
      </c>
      <c r="G184" s="4" t="str">
        <f t="shared" si="2"/>
        <v>Transferi Fondu penzijskog i invalidskog osiguranja</v>
      </c>
    </row>
    <row r="185" spans="2:7">
      <c r="B185" s="34"/>
      <c r="C185" s="33"/>
      <c r="D185" s="33">
        <v>4322</v>
      </c>
      <c r="E185" s="25" t="s">
        <v>454</v>
      </c>
      <c r="F185" s="26" t="s">
        <v>816</v>
      </c>
      <c r="G185" s="4" t="str">
        <f t="shared" si="2"/>
        <v>Transferi Fondu zdravstva</v>
      </c>
    </row>
    <row r="186" spans="2:7">
      <c r="B186" s="34"/>
      <c r="C186" s="33"/>
      <c r="D186" s="33">
        <v>4323</v>
      </c>
      <c r="E186" s="25" t="s">
        <v>455</v>
      </c>
      <c r="F186" s="26" t="s">
        <v>817</v>
      </c>
      <c r="G186" s="4" t="str">
        <f t="shared" si="2"/>
        <v>Transferi zavodu za zapošljavanje</v>
      </c>
    </row>
    <row r="187" spans="2:7">
      <c r="B187" s="34"/>
      <c r="C187" s="33"/>
      <c r="D187" s="33">
        <v>4324</v>
      </c>
      <c r="E187" s="25" t="s">
        <v>456</v>
      </c>
      <c r="F187" s="26" t="s">
        <v>818</v>
      </c>
      <c r="G187" s="4" t="str">
        <f t="shared" si="2"/>
        <v>Transferi opštinama</v>
      </c>
    </row>
    <row r="188" spans="2:7">
      <c r="B188" s="34"/>
      <c r="C188" s="33"/>
      <c r="D188" s="33">
        <v>4325</v>
      </c>
      <c r="E188" s="25" t="s">
        <v>457</v>
      </c>
      <c r="F188" s="26" t="s">
        <v>819</v>
      </c>
      <c r="G188" s="4" t="str">
        <f t="shared" si="2"/>
        <v>Transferi budžetu države</v>
      </c>
    </row>
    <row r="189" spans="2:7">
      <c r="B189" s="34"/>
      <c r="C189" s="33"/>
      <c r="D189" s="33">
        <v>4326</v>
      </c>
      <c r="E189" s="25" t="s">
        <v>458</v>
      </c>
      <c r="F189" s="26" t="s">
        <v>820</v>
      </c>
      <c r="G189" s="4" t="str">
        <f t="shared" si="2"/>
        <v>Transferi javnim preduzećima</v>
      </c>
    </row>
    <row r="190" spans="2:7">
      <c r="B190" s="32" t="s">
        <v>6</v>
      </c>
      <c r="D190" s="17">
        <v>44</v>
      </c>
      <c r="E190" s="22" t="s">
        <v>163</v>
      </c>
      <c r="F190" s="23" t="s">
        <v>821</v>
      </c>
      <c r="G190" s="4" t="str">
        <f t="shared" si="2"/>
        <v>Kapitalni izdaci</v>
      </c>
    </row>
    <row r="191" spans="2:7">
      <c r="B191" s="32"/>
      <c r="C191" s="33"/>
      <c r="D191" s="33">
        <v>4411</v>
      </c>
      <c r="E191" s="25" t="s">
        <v>460</v>
      </c>
      <c r="F191" s="26" t="s">
        <v>822</v>
      </c>
      <c r="G191" s="4" t="str">
        <f t="shared" si="2"/>
        <v>Izdaci za infrastrukturu opšeg značaja</v>
      </c>
    </row>
    <row r="192" spans="2:7">
      <c r="B192" s="34"/>
      <c r="C192" s="33"/>
      <c r="D192" s="33">
        <v>4412</v>
      </c>
      <c r="E192" s="25" t="s">
        <v>461</v>
      </c>
      <c r="F192" s="26" t="s">
        <v>823</v>
      </c>
      <c r="G192" s="4" t="str">
        <f t="shared" si="2"/>
        <v>Izdaci za lokalnu infrastrukturu</v>
      </c>
    </row>
    <row r="193" spans="2:7">
      <c r="B193" s="34"/>
      <c r="C193" s="33"/>
      <c r="D193" s="33">
        <v>4413</v>
      </c>
      <c r="E193" s="25" t="s">
        <v>462</v>
      </c>
      <c r="F193" s="26" t="s">
        <v>824</v>
      </c>
      <c r="G193" s="4" t="str">
        <f t="shared" si="2"/>
        <v>Izdaci za građevinske objekte</v>
      </c>
    </row>
    <row r="194" spans="2:7">
      <c r="B194" s="34"/>
      <c r="C194" s="33"/>
      <c r="D194" s="33">
        <v>4414</v>
      </c>
      <c r="E194" s="25" t="s">
        <v>463</v>
      </c>
      <c r="F194" s="26" t="s">
        <v>825</v>
      </c>
      <c r="G194" s="4" t="str">
        <f t="shared" si="2"/>
        <v>Izdaci za uređenje zemljišta</v>
      </c>
    </row>
    <row r="195" spans="2:7">
      <c r="B195" s="34"/>
      <c r="C195" s="33"/>
      <c r="D195" s="33">
        <v>4415</v>
      </c>
      <c r="E195" s="25" t="s">
        <v>464</v>
      </c>
      <c r="F195" s="26" t="s">
        <v>826</v>
      </c>
      <c r="G195" s="4" t="str">
        <f t="shared" si="2"/>
        <v>Izdaci za opremu</v>
      </c>
    </row>
    <row r="196" spans="2:7">
      <c r="B196" s="34"/>
      <c r="C196" s="33"/>
      <c r="D196" s="33">
        <v>4416</v>
      </c>
      <c r="E196" s="25" t="s">
        <v>465</v>
      </c>
      <c r="F196" s="26" t="s">
        <v>827</v>
      </c>
      <c r="G196" s="4" t="str">
        <f t="shared" si="2"/>
        <v>Izdaci za investiciono održavanje</v>
      </c>
    </row>
    <row r="197" spans="2:7">
      <c r="B197" s="34"/>
      <c r="C197" s="33"/>
      <c r="D197" s="33">
        <v>4417</v>
      </c>
      <c r="E197" s="25" t="s">
        <v>466</v>
      </c>
      <c r="F197" s="26" t="s">
        <v>828</v>
      </c>
      <c r="G197" s="4" t="str">
        <f t="shared" si="2"/>
        <v>Izdaci za zalihe</v>
      </c>
    </row>
    <row r="198" spans="2:7">
      <c r="B198" s="34"/>
      <c r="C198" s="33"/>
      <c r="D198" s="33">
        <v>4418</v>
      </c>
      <c r="E198" s="25" t="s">
        <v>173</v>
      </c>
      <c r="F198" s="26" t="s">
        <v>829</v>
      </c>
      <c r="G198" s="4" t="str">
        <f t="shared" si="2"/>
        <v>Izdaci za kupovinu hartija od vrijednosti</v>
      </c>
    </row>
    <row r="199" spans="2:7">
      <c r="B199" s="34"/>
      <c r="C199" s="33"/>
      <c r="D199" s="33">
        <v>4419</v>
      </c>
      <c r="E199" s="25" t="s">
        <v>467</v>
      </c>
      <c r="F199" s="26" t="s">
        <v>830</v>
      </c>
      <c r="G199" s="4" t="str">
        <f t="shared" si="2"/>
        <v>Ostali kapitalni izdaci</v>
      </c>
    </row>
    <row r="200" spans="2:7">
      <c r="B200" s="34"/>
      <c r="C200" s="17"/>
      <c r="D200" s="17">
        <v>45</v>
      </c>
      <c r="E200" s="18" t="s">
        <v>468</v>
      </c>
      <c r="F200" s="19" t="s">
        <v>831</v>
      </c>
      <c r="G200" s="4" t="str">
        <f t="shared" si="2"/>
        <v>Krediti i pozajmice</v>
      </c>
    </row>
    <row r="201" spans="2:7">
      <c r="B201" s="32" t="s">
        <v>6</v>
      </c>
      <c r="D201" s="17">
        <v>451</v>
      </c>
      <c r="E201" s="22" t="s">
        <v>22</v>
      </c>
      <c r="F201" s="23" t="s">
        <v>831</v>
      </c>
      <c r="G201" s="4" t="str">
        <f t="shared" si="2"/>
        <v>Pozajmice i krediti</v>
      </c>
    </row>
    <row r="202" spans="2:7" ht="23.25">
      <c r="B202" s="32"/>
      <c r="C202" s="33"/>
      <c r="D202" s="33">
        <v>4511</v>
      </c>
      <c r="E202" s="25" t="s">
        <v>469</v>
      </c>
      <c r="F202" s="26" t="s">
        <v>832</v>
      </c>
      <c r="G202" s="4" t="str">
        <f t="shared" si="2"/>
        <v>Pozajmice i krediti nefinansijskim institucijama</v>
      </c>
    </row>
    <row r="203" spans="2:7">
      <c r="B203" s="34"/>
      <c r="C203" s="33"/>
      <c r="D203" s="33">
        <v>4512</v>
      </c>
      <c r="E203" s="25" t="s">
        <v>470</v>
      </c>
      <c r="F203" s="26" t="s">
        <v>833</v>
      </c>
      <c r="G203" s="4" t="str">
        <f t="shared" si="2"/>
        <v>Pozajmice i krediti finansijskim institucijama</v>
      </c>
    </row>
    <row r="204" spans="2:7">
      <c r="B204" s="34"/>
      <c r="C204" s="33"/>
      <c r="D204" s="33">
        <v>4513</v>
      </c>
      <c r="E204" s="25" t="s">
        <v>471</v>
      </c>
      <c r="F204" s="26" t="s">
        <v>834</v>
      </c>
      <c r="G204" s="4" t="str">
        <f t="shared" si="2"/>
        <v>Pozajmice i krediti pojedincima</v>
      </c>
    </row>
    <row r="205" spans="2:7" ht="23.25">
      <c r="B205" s="34"/>
      <c r="C205" s="33"/>
      <c r="D205" s="33">
        <v>4514</v>
      </c>
      <c r="E205" s="25" t="s">
        <v>472</v>
      </c>
      <c r="F205" s="26" t="s">
        <v>835</v>
      </c>
      <c r="G205" s="4" t="str">
        <f t="shared" si="2"/>
        <v>Pozajmice i krediti vanbudžetskim fondovima i opštinama</v>
      </c>
    </row>
    <row r="206" spans="2:7">
      <c r="B206" s="34"/>
      <c r="C206" s="33"/>
      <c r="D206" s="33">
        <v>4515</v>
      </c>
      <c r="E206" s="25" t="s">
        <v>473</v>
      </c>
      <c r="F206" s="26" t="s">
        <v>836</v>
      </c>
      <c r="G206" s="4" t="str">
        <f t="shared" si="2"/>
        <v>Ostale pozajmice i krediti</v>
      </c>
    </row>
    <row r="207" spans="2:7">
      <c r="B207" s="34"/>
      <c r="C207" s="17"/>
      <c r="D207" s="17">
        <v>46</v>
      </c>
      <c r="E207" s="18" t="s">
        <v>170</v>
      </c>
      <c r="F207" s="19" t="s">
        <v>837</v>
      </c>
      <c r="G207" s="4" t="str">
        <f t="shared" ref="G207:G280" si="3">+IF(ISBLANK(IF($B$2=1,E207,F207)),"",IF($B$2=1,E207,F207))</f>
        <v>Otplata dugova</v>
      </c>
    </row>
    <row r="208" spans="2:7">
      <c r="B208" s="32" t="s">
        <v>6</v>
      </c>
      <c r="D208" s="17">
        <v>461</v>
      </c>
      <c r="E208" s="22" t="s">
        <v>474</v>
      </c>
      <c r="F208" s="23" t="s">
        <v>837</v>
      </c>
      <c r="G208" s="4" t="str">
        <f t="shared" si="3"/>
        <v>Otplata duga</v>
      </c>
    </row>
    <row r="209" spans="2:7" ht="23.25">
      <c r="B209" s="32"/>
      <c r="C209" s="33"/>
      <c r="D209" s="33">
        <v>4611</v>
      </c>
      <c r="E209" s="25" t="s">
        <v>171</v>
      </c>
      <c r="F209" s="26" t="s">
        <v>838</v>
      </c>
      <c r="G209" s="4" t="str">
        <f t="shared" si="3"/>
        <v>Otplata hartija od vrijednosti i kredita rezidentima</v>
      </c>
    </row>
    <row r="210" spans="2:7" ht="23.25">
      <c r="B210" s="34"/>
      <c r="C210" s="33"/>
      <c r="D210" s="33">
        <v>4612</v>
      </c>
      <c r="E210" s="25" t="s">
        <v>172</v>
      </c>
      <c r="F210" s="26" t="s">
        <v>839</v>
      </c>
      <c r="G210" s="4" t="str">
        <f t="shared" si="3"/>
        <v>Otplata hartija od vrijednosti i kredita nerezidentima</v>
      </c>
    </row>
    <row r="211" spans="2:7">
      <c r="B211" s="34"/>
      <c r="D211" s="17">
        <v>462</v>
      </c>
      <c r="E211" s="22" t="s">
        <v>165</v>
      </c>
      <c r="F211" s="23" t="s">
        <v>840</v>
      </c>
      <c r="G211" s="4" t="str">
        <f t="shared" si="3"/>
        <v>Otplata garancija</v>
      </c>
    </row>
    <row r="212" spans="2:7">
      <c r="B212" s="32"/>
      <c r="C212" s="33"/>
      <c r="D212" s="33">
        <v>4621</v>
      </c>
      <c r="E212" s="25" t="s">
        <v>475</v>
      </c>
      <c r="F212" s="26" t="s">
        <v>841</v>
      </c>
      <c r="G212" s="4" t="str">
        <f t="shared" si="3"/>
        <v>Otplata garancija u zemlji</v>
      </c>
    </row>
    <row r="213" spans="2:7">
      <c r="B213" s="34"/>
      <c r="C213" s="33"/>
      <c r="D213" s="33">
        <v>4622</v>
      </c>
      <c r="E213" s="25" t="s">
        <v>476</v>
      </c>
      <c r="F213" s="26" t="s">
        <v>842</v>
      </c>
      <c r="G213" s="4" t="str">
        <f t="shared" si="3"/>
        <v>Otplata garancija u inostranstvu</v>
      </c>
    </row>
    <row r="214" spans="2:7">
      <c r="B214" s="34"/>
      <c r="C214" s="17">
        <v>463</v>
      </c>
      <c r="D214" s="17">
        <v>4630</v>
      </c>
      <c r="E214" s="22" t="s">
        <v>166</v>
      </c>
      <c r="F214" s="23" t="s">
        <v>843</v>
      </c>
      <c r="G214" s="4" t="str">
        <f t="shared" si="3"/>
        <v>Otplata obaveza iz prethodnog perioda</v>
      </c>
    </row>
    <row r="215" spans="2:7">
      <c r="B215" s="32"/>
      <c r="C215" s="17"/>
      <c r="D215" s="17">
        <v>47</v>
      </c>
      <c r="E215" s="38" t="s">
        <v>164</v>
      </c>
      <c r="F215" s="39" t="s">
        <v>844</v>
      </c>
      <c r="G215" s="4" t="str">
        <f t="shared" si="3"/>
        <v>Rezerve</v>
      </c>
    </row>
    <row r="216" spans="2:7">
      <c r="B216" s="32" t="s">
        <v>6</v>
      </c>
      <c r="C216" s="33">
        <v>471</v>
      </c>
      <c r="D216" s="33">
        <v>4710</v>
      </c>
      <c r="E216" s="40" t="s">
        <v>477</v>
      </c>
      <c r="F216" s="41" t="s">
        <v>845</v>
      </c>
      <c r="G216" s="4" t="str">
        <f t="shared" si="3"/>
        <v>Tekuća budžetska rezerva</v>
      </c>
    </row>
    <row r="217" spans="2:7">
      <c r="B217" s="34" t="s">
        <v>6</v>
      </c>
      <c r="C217" s="33">
        <v>472</v>
      </c>
      <c r="D217" s="33">
        <v>4720</v>
      </c>
      <c r="E217" s="40" t="s">
        <v>478</v>
      </c>
      <c r="F217" s="41" t="s">
        <v>846</v>
      </c>
      <c r="G217" s="4" t="str">
        <f t="shared" si="3"/>
        <v>Stalna budžetska rezerva</v>
      </c>
    </row>
    <row r="218" spans="2:7">
      <c r="B218" s="34"/>
      <c r="C218" s="33">
        <v>473</v>
      </c>
      <c r="D218" s="42">
        <v>4730</v>
      </c>
      <c r="E218" s="43" t="s">
        <v>479</v>
      </c>
      <c r="F218" s="44" t="s">
        <v>847</v>
      </c>
      <c r="G218" s="13" t="str">
        <f t="shared" si="3"/>
        <v>Ostale rezerve</v>
      </c>
    </row>
    <row r="219" spans="2:7">
      <c r="B219" s="34"/>
      <c r="C219" s="33"/>
      <c r="D219" s="45"/>
      <c r="E219" s="46"/>
      <c r="F219" s="47"/>
      <c r="G219" s="48"/>
    </row>
    <row r="220" spans="2:7">
      <c r="B220" s="34"/>
      <c r="C220" s="33"/>
      <c r="D220" s="33">
        <v>1000</v>
      </c>
      <c r="E220" s="40" t="s">
        <v>168</v>
      </c>
      <c r="F220" s="41" t="s">
        <v>848</v>
      </c>
      <c r="G220" s="4" t="str">
        <f t="shared" si="3"/>
        <v>Suficit / deficit</v>
      </c>
    </row>
    <row r="221" spans="2:7">
      <c r="B221" s="34"/>
      <c r="C221" s="33"/>
      <c r="D221" s="33">
        <v>1001</v>
      </c>
      <c r="E221" s="40" t="s">
        <v>169</v>
      </c>
      <c r="F221" s="41" t="s">
        <v>201</v>
      </c>
      <c r="G221" s="4" t="str">
        <f t="shared" si="3"/>
        <v>Primarni suficit/deficit</v>
      </c>
    </row>
    <row r="222" spans="2:7">
      <c r="B222" s="34"/>
      <c r="C222" s="33"/>
      <c r="D222" s="33"/>
      <c r="E222" s="40"/>
      <c r="F222" s="41" t="s">
        <v>6</v>
      </c>
      <c r="G222" s="4" t="str">
        <f t="shared" si="3"/>
        <v/>
      </c>
    </row>
    <row r="223" spans="2:7">
      <c r="B223" s="34"/>
      <c r="C223" s="33"/>
      <c r="D223" s="33">
        <v>1002</v>
      </c>
      <c r="E223" s="40" t="s">
        <v>174</v>
      </c>
      <c r="F223" s="41" t="s">
        <v>849</v>
      </c>
      <c r="G223" s="4" t="str">
        <f t="shared" si="3"/>
        <v>Nedostajuća sredstva</v>
      </c>
    </row>
    <row r="224" spans="2:7">
      <c r="B224" s="34"/>
      <c r="C224" s="33"/>
      <c r="D224" s="33">
        <v>1003</v>
      </c>
      <c r="E224" s="40" t="s">
        <v>175</v>
      </c>
      <c r="F224" s="41" t="s">
        <v>850</v>
      </c>
      <c r="G224" s="4" t="str">
        <f t="shared" si="3"/>
        <v>Finansiranje</v>
      </c>
    </row>
    <row r="225" spans="2:7">
      <c r="B225" s="34"/>
      <c r="C225" s="33"/>
      <c r="D225" s="33"/>
      <c r="E225" s="40"/>
      <c r="F225" s="41"/>
      <c r="G225" s="4" t="str">
        <f t="shared" si="3"/>
        <v/>
      </c>
    </row>
    <row r="226" spans="2:7">
      <c r="B226" s="34"/>
      <c r="C226" s="33"/>
      <c r="D226" s="33">
        <v>1004</v>
      </c>
      <c r="E226" s="40" t="s">
        <v>179</v>
      </c>
      <c r="F226" s="41" t="s">
        <v>851</v>
      </c>
      <c r="G226" s="4" t="str">
        <f t="shared" si="3"/>
        <v>Povećanje / smanjenje depozita</v>
      </c>
    </row>
    <row r="227" spans="2:7">
      <c r="B227" s="34"/>
      <c r="C227" s="33"/>
      <c r="D227" s="33"/>
      <c r="E227" s="40"/>
      <c r="F227" s="41"/>
    </row>
    <row r="228" spans="2:7">
      <c r="B228" s="34"/>
      <c r="C228" s="33"/>
      <c r="D228" s="33">
        <v>1005</v>
      </c>
      <c r="E228" s="40" t="s">
        <v>167</v>
      </c>
      <c r="F228" s="41" t="s">
        <v>185</v>
      </c>
      <c r="G228" s="4" t="str">
        <f t="shared" si="3"/>
        <v>Neto povećanje obaveza</v>
      </c>
    </row>
    <row r="229" spans="2:7">
      <c r="B229" s="34"/>
      <c r="C229" s="33"/>
      <c r="D229" s="42"/>
      <c r="E229" s="43"/>
      <c r="F229" s="44"/>
      <c r="G229" s="13"/>
    </row>
    <row r="230" spans="2:7">
      <c r="B230" s="34"/>
      <c r="C230" s="33"/>
      <c r="D230" s="14"/>
      <c r="E230" s="14"/>
      <c r="F230" s="14"/>
      <c r="G230" s="16" t="str">
        <f t="shared" si="3"/>
        <v/>
      </c>
    </row>
    <row r="231" spans="2:7">
      <c r="G231" s="4" t="str">
        <f t="shared" si="3"/>
        <v/>
      </c>
    </row>
    <row r="232" spans="2:7">
      <c r="C232" s="1" t="s">
        <v>852</v>
      </c>
      <c r="D232" s="33">
        <v>1</v>
      </c>
      <c r="E232" s="2" t="s">
        <v>113</v>
      </c>
      <c r="F232" s="3" t="s">
        <v>853</v>
      </c>
      <c r="G232" s="4" t="str">
        <f t="shared" si="3"/>
        <v>Januar</v>
      </c>
    </row>
    <row r="233" spans="2:7">
      <c r="C233" s="1" t="s">
        <v>854</v>
      </c>
      <c r="D233" s="33">
        <v>2</v>
      </c>
      <c r="E233" s="2" t="s">
        <v>114</v>
      </c>
      <c r="F233" s="3" t="s">
        <v>855</v>
      </c>
      <c r="G233" s="4" t="str">
        <f t="shared" si="3"/>
        <v>Februar</v>
      </c>
    </row>
    <row r="234" spans="2:7">
      <c r="C234" s="1" t="s">
        <v>856</v>
      </c>
      <c r="D234" s="33">
        <v>3</v>
      </c>
      <c r="E234" s="2" t="s">
        <v>115</v>
      </c>
      <c r="F234" s="3" t="s">
        <v>857</v>
      </c>
      <c r="G234" s="4" t="str">
        <f t="shared" si="3"/>
        <v>Mart</v>
      </c>
    </row>
    <row r="235" spans="2:7">
      <c r="D235" s="33">
        <v>4</v>
      </c>
      <c r="E235" s="2" t="s">
        <v>116</v>
      </c>
      <c r="F235" s="3" t="s">
        <v>116</v>
      </c>
      <c r="G235" s="4" t="str">
        <f t="shared" si="3"/>
        <v>April</v>
      </c>
    </row>
    <row r="236" spans="2:7">
      <c r="D236" s="33">
        <v>5</v>
      </c>
      <c r="E236" s="2" t="s">
        <v>117</v>
      </c>
      <c r="F236" s="3" t="s">
        <v>858</v>
      </c>
      <c r="G236" s="4" t="str">
        <f t="shared" si="3"/>
        <v>Maj</v>
      </c>
    </row>
    <row r="237" spans="2:7">
      <c r="D237" s="33">
        <v>6</v>
      </c>
      <c r="E237" s="2" t="s">
        <v>118</v>
      </c>
      <c r="F237" s="3" t="s">
        <v>859</v>
      </c>
      <c r="G237" s="4" t="str">
        <f t="shared" si="3"/>
        <v>Jun</v>
      </c>
    </row>
    <row r="238" spans="2:7">
      <c r="D238" s="33">
        <v>7</v>
      </c>
      <c r="E238" s="2" t="s">
        <v>119</v>
      </c>
      <c r="F238" s="3" t="s">
        <v>860</v>
      </c>
      <c r="G238" s="4" t="str">
        <f t="shared" si="3"/>
        <v>Jul</v>
      </c>
    </row>
    <row r="239" spans="2:7">
      <c r="D239" s="33">
        <v>8</v>
      </c>
      <c r="E239" s="2" t="s">
        <v>120</v>
      </c>
      <c r="F239" s="3" t="s">
        <v>861</v>
      </c>
      <c r="G239" s="4" t="str">
        <f t="shared" si="3"/>
        <v>Avgust</v>
      </c>
    </row>
    <row r="240" spans="2:7">
      <c r="D240" s="33">
        <v>9</v>
      </c>
      <c r="E240" s="2" t="s">
        <v>121</v>
      </c>
      <c r="F240" s="3" t="s">
        <v>862</v>
      </c>
      <c r="G240" s="4" t="str">
        <f t="shared" si="3"/>
        <v>Septembar</v>
      </c>
    </row>
    <row r="241" spans="4:7">
      <c r="D241" s="33">
        <v>10</v>
      </c>
      <c r="E241" s="2" t="s">
        <v>122</v>
      </c>
      <c r="F241" s="3" t="s">
        <v>863</v>
      </c>
      <c r="G241" s="4" t="str">
        <f t="shared" si="3"/>
        <v>Oktobar</v>
      </c>
    </row>
    <row r="242" spans="4:7">
      <c r="D242" s="33">
        <v>11</v>
      </c>
      <c r="E242" s="2" t="s">
        <v>123</v>
      </c>
      <c r="F242" s="3" t="s">
        <v>864</v>
      </c>
      <c r="G242" s="4" t="str">
        <f t="shared" si="3"/>
        <v>Novembar</v>
      </c>
    </row>
    <row r="243" spans="4:7">
      <c r="D243" s="33">
        <v>12</v>
      </c>
      <c r="E243" s="2" t="s">
        <v>124</v>
      </c>
      <c r="F243" s="3" t="s">
        <v>865</v>
      </c>
      <c r="G243" s="4" t="str">
        <f t="shared" si="3"/>
        <v>Decembar</v>
      </c>
    </row>
    <row r="244" spans="4:7">
      <c r="D244" s="33"/>
      <c r="G244"/>
    </row>
    <row r="245" spans="4:7">
      <c r="D245" s="33"/>
      <c r="G245" s="4" t="str">
        <f>+VLOOKUP($B$3,$D$232:$F$243,$B$2+1,FALSE)</f>
        <v>Septembar</v>
      </c>
    </row>
    <row r="246" spans="4:7">
      <c r="D246" s="33"/>
      <c r="G246" s="4" t="str">
        <f>+CONCATENATE("Jan - ",LEFT(G245,3))</f>
        <v>Jan - Sep</v>
      </c>
    </row>
    <row r="247" spans="4:7">
      <c r="D247" s="33"/>
      <c r="G247" s="4" t="str">
        <f>+CONCATENATE("Jan - ",LEFT(G243,3))</f>
        <v>Jan - Dec</v>
      </c>
    </row>
    <row r="248" spans="4:7">
      <c r="D248" s="33"/>
    </row>
    <row r="249" spans="4:7">
      <c r="E249" s="2" t="s">
        <v>112</v>
      </c>
      <c r="F249" s="3" t="s">
        <v>866</v>
      </c>
      <c r="G249" s="4" t="str">
        <f t="shared" si="3"/>
        <v>BDP</v>
      </c>
    </row>
    <row r="250" spans="4:7">
      <c r="G250" s="4" t="str">
        <f>+CONCATENATE("% ",G249)</f>
        <v>% BDP</v>
      </c>
    </row>
    <row r="252" spans="4:7">
      <c r="E252" s="2" t="s">
        <v>111</v>
      </c>
      <c r="F252" s="3" t="s">
        <v>867</v>
      </c>
      <c r="G252" s="4" t="str">
        <f t="shared" si="3"/>
        <v>Ostvarenje budžeta</v>
      </c>
    </row>
    <row r="253" spans="4:7">
      <c r="E253" s="2" t="s">
        <v>180</v>
      </c>
      <c r="F253" s="3" t="s">
        <v>868</v>
      </c>
      <c r="G253" s="4" t="str">
        <f t="shared" si="3"/>
        <v>Plan ostvarenja budžeta</v>
      </c>
    </row>
    <row r="254" spans="4:7">
      <c r="E254" s="2" t="str">
        <f>+CONCATENATE("Analitika za period ",G246)</f>
        <v>Analitika za period Jan - Sep</v>
      </c>
      <c r="F254" s="3" t="str">
        <f>+CONCATENATE("Analytics for period ",G246)</f>
        <v>Analytics for period Jan - Sep</v>
      </c>
      <c r="G254" s="4" t="str">
        <f t="shared" si="3"/>
        <v>Analitika za period Jan - Sep</v>
      </c>
    </row>
    <row r="255" spans="4:7">
      <c r="E255" s="2" t="str">
        <f>+CONCATENATE("Analitika za period ",G245)</f>
        <v>Analitika za period Septembar</v>
      </c>
      <c r="F255" s="3" t="str">
        <f>+CONCATENATE("Analytics for period ",G245)</f>
        <v>Analytics for period Septembar</v>
      </c>
      <c r="G255" s="4" t="str">
        <f t="shared" si="3"/>
        <v>Analitika za period Septembar</v>
      </c>
    </row>
    <row r="256" spans="4:7">
      <c r="D256" s="14"/>
      <c r="E256" s="49"/>
      <c r="F256" s="50"/>
      <c r="G256" s="16"/>
    </row>
    <row r="258" spans="4:7">
      <c r="E258" s="2" t="s">
        <v>655</v>
      </c>
      <c r="F258" s="3" t="s">
        <v>655</v>
      </c>
      <c r="G258" s="4" t="str">
        <f t="shared" si="3"/>
        <v>Plan</v>
      </c>
    </row>
    <row r="259" spans="4:7">
      <c r="E259" s="2" t="s">
        <v>656</v>
      </c>
      <c r="F259" s="3" t="s">
        <v>869</v>
      </c>
      <c r="G259" s="4" t="str">
        <f t="shared" si="3"/>
        <v>Ostvarenje</v>
      </c>
    </row>
    <row r="261" spans="4:7">
      <c r="E261" s="2" t="s">
        <v>870</v>
      </c>
      <c r="F261" s="3" t="s">
        <v>871</v>
      </c>
      <c r="G261" s="4" t="str">
        <f t="shared" si="3"/>
        <v>Odstupanje</v>
      </c>
    </row>
    <row r="263" spans="4:7">
      <c r="E263" s="2" t="s">
        <v>872</v>
      </c>
      <c r="F263" s="3" t="s">
        <v>873</v>
      </c>
      <c r="G263" s="4" t="str">
        <f t="shared" si="3"/>
        <v>Realizacija budžeta</v>
      </c>
    </row>
    <row r="267" spans="4:7">
      <c r="D267" s="10"/>
      <c r="E267" s="51"/>
    </row>
    <row r="268" spans="4:7">
      <c r="D268" s="52"/>
      <c r="E268" s="49"/>
      <c r="F268" s="50"/>
      <c r="G268" s="16" t="str">
        <f t="shared" si="3"/>
        <v/>
      </c>
    </row>
    <row r="269" spans="4:7">
      <c r="G269" s="4" t="str">
        <f t="shared" si="3"/>
        <v/>
      </c>
    </row>
    <row r="270" spans="4:7">
      <c r="D270" s="1" t="s">
        <v>874</v>
      </c>
      <c r="E270" s="2" t="s">
        <v>875</v>
      </c>
      <c r="F270" s="3" t="s">
        <v>876</v>
      </c>
      <c r="G270" s="4" t="str">
        <f>+CONCATENATE(IF(ISBLANK(IF($B$2=1,E270,F270)),"",IF($B$2=1,E270,F270))," ",$G$245)</f>
        <v>Prihodi za mjesec Septembar</v>
      </c>
    </row>
    <row r="271" spans="4:7">
      <c r="E271" s="2" t="s">
        <v>877</v>
      </c>
      <c r="F271" s="3" t="s">
        <v>878</v>
      </c>
      <c r="G271" s="4" t="str">
        <f>+CONCATENATE(IF(ISBLANK(IF($B$2=1,E271,F271)),"",IF($B$2=1,E271,F271))," ",$G$245)</f>
        <v>Rashodi za mjesec Septembar</v>
      </c>
    </row>
    <row r="272" spans="4:7">
      <c r="E272" s="2" t="s">
        <v>879</v>
      </c>
      <c r="F272" s="3" t="s">
        <v>880</v>
      </c>
      <c r="G272" s="4" t="str">
        <f>+CONCATENATE(IF(ISBLANK(IF($B$2=1,E272,F272)),"",IF($B$2=1,E272,F272))," ",$G$245)</f>
        <v>Suficit/Deficit za mjesec Septembar</v>
      </c>
    </row>
    <row r="274" spans="5:7">
      <c r="E274" s="2" t="s">
        <v>881</v>
      </c>
      <c r="F274" s="3" t="s">
        <v>882</v>
      </c>
      <c r="G274" s="4" t="str">
        <f>+CONCATENATE(IF(ISBLANK(IF($B$2=1,E274,F274)),"",IF($B$2=1,E274,F274))," ",$G$245)</f>
        <v>Prihodi za period Januar - Septembar</v>
      </c>
    </row>
    <row r="275" spans="5:7">
      <c r="E275" s="2" t="s">
        <v>883</v>
      </c>
      <c r="F275" s="3" t="s">
        <v>884</v>
      </c>
      <c r="G275" s="4" t="str">
        <f>+CONCATENATE(IF(ISBLANK(IF($B$2=1,E275,F275)),"",IF($B$2=1,E275,F275))," ",$G$245)</f>
        <v>Rashodi za period Januar - Septembar</v>
      </c>
    </row>
    <row r="276" spans="5:7">
      <c r="E276" s="2" t="s">
        <v>885</v>
      </c>
      <c r="F276" s="3" t="s">
        <v>886</v>
      </c>
      <c r="G276" s="4" t="str">
        <f>+CONCATENATE(IF(ISBLANK(IF($B$2=1,E276,F276)),"",IF($B$2=1,E276,F276))," ",$G$245)</f>
        <v>Suficit/Deficit za period Januar - Septembar</v>
      </c>
    </row>
    <row r="278" spans="5:7">
      <c r="E278" s="2" t="s">
        <v>887</v>
      </c>
      <c r="F278" s="3" t="s">
        <v>888</v>
      </c>
      <c r="G278" s="4" t="str">
        <f t="shared" si="3"/>
        <v>Stanje javnog duga (% BDP)</v>
      </c>
    </row>
    <row r="280" spans="5:7">
      <c r="E280" s="2" t="s">
        <v>889</v>
      </c>
      <c r="F280" s="3" t="s">
        <v>890</v>
      </c>
      <c r="G280" s="4" t="str">
        <f t="shared" si="3"/>
        <v>Pregled</v>
      </c>
    </row>
    <row r="282" spans="5:7" ht="60">
      <c r="E282" s="53" t="s">
        <v>891</v>
      </c>
      <c r="F282" s="54" t="s">
        <v>892</v>
      </c>
      <c r="G282" s="55" t="str">
        <f>+IF(ISBLANK(IF($B$2=1,E282,F282)),"",IF($B$2=1,E282,F282))</f>
        <v>Kontakt:
e-mail: mf@mif.gov.me
tel/fax: 00 382 20 242 835</v>
      </c>
    </row>
    <row r="283" spans="5:7">
      <c r="E283" s="56"/>
    </row>
    <row r="284" spans="5:7">
      <c r="E284" s="57"/>
    </row>
    <row r="285" spans="5:7">
      <c r="E285" s="57"/>
    </row>
    <row r="286" spans="5:7">
      <c r="E286" s="58"/>
    </row>
  </sheetData>
  <sheetProtection selectLockedCells="1" selectUnlockedCell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Analitika - 2014</vt:lpstr>
      <vt:lpstr>Pregled</vt:lpstr>
      <vt:lpstr>2024</vt:lpstr>
      <vt:lpstr>Analitika 2026</vt:lpstr>
      <vt:lpstr>2025</vt:lpstr>
      <vt:lpstr>2026</vt:lpstr>
      <vt:lpstr>2023</vt:lpstr>
      <vt:lpstr>2022</vt:lpstr>
      <vt:lpstr>2021</vt:lpstr>
      <vt:lpstr>2020</vt:lpstr>
      <vt:lpstr>2019</vt:lpstr>
      <vt:lpstr>2018</vt:lpstr>
      <vt:lpstr>DataEx</vt:lpstr>
      <vt:lpstr>Master</vt:lpstr>
      <vt:lpstr>'2018'!_2015plan</vt:lpstr>
      <vt:lpstr>'2019'!_2015plan</vt:lpstr>
      <vt:lpstr>'2020'!_2015plan</vt:lpstr>
      <vt:lpstr>'2021'!_2015plan</vt:lpstr>
      <vt:lpstr>'2022'!_2015plan</vt:lpstr>
      <vt:lpstr>'2023'!_2015plan</vt:lpstr>
      <vt:lpstr>'2024'!_2015plan</vt:lpstr>
      <vt:lpstr>'2025'!_2015plan</vt:lpstr>
      <vt:lpstr>'2026'!_2015plan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branko.krvavac</dc:creator>
  <cp:lastModifiedBy>Dragana Nedic</cp:lastModifiedBy>
  <cp:lastPrinted>2026-09-23T05:48:14Z</cp:lastPrinted>
  <dcterms:created xsi:type="dcterms:W3CDTF">2014-09-15T13:41:00Z</dcterms:created>
  <dcterms:modified xsi:type="dcterms:W3CDTF">2026-10-30T12:08:23Z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0402C91DF24B4CDE95AE5BB0A5CA6A1D_12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