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7\"/>
    </mc:Choice>
  </mc:AlternateContent>
  <bookViews>
    <workbookView xWindow="0" yWindow="0" windowWidth="24240" windowHeight="10635" tabRatio="593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R53" i="13" l="1"/>
  <c r="EL8" i="6" l="1"/>
  <c r="EL9" i="6"/>
  <c r="EK9" i="6" l="1"/>
  <c r="EK8" i="6" s="1"/>
  <c r="EJ9" i="6" l="1"/>
  <c r="EJ8" i="6" s="1"/>
  <c r="M60" i="11" l="1"/>
  <c r="L60" i="11"/>
  <c r="EI10" i="6" l="1"/>
  <c r="EI18" i="6"/>
  <c r="EI9" i="6" s="1"/>
  <c r="EI8" i="6" s="1"/>
  <c r="G126" i="13" l="1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G120" i="13" s="1"/>
  <c r="EI251" i="6"/>
  <c r="H120" i="13" s="1"/>
  <c r="EJ251" i="6"/>
  <c r="I120" i="13" s="1"/>
  <c r="EK251" i="6"/>
  <c r="J120" i="13" s="1"/>
  <c r="EL251" i="6"/>
  <c r="K120" i="13" s="1"/>
  <c r="EM251" i="6"/>
  <c r="L120" i="13" s="1"/>
  <c r="EN251" i="6"/>
  <c r="M120" i="13" s="1"/>
  <c r="EO251" i="6"/>
  <c r="N120" i="13" s="1"/>
  <c r="EP251" i="6"/>
  <c r="O120" i="13" s="1"/>
  <c r="EQ251" i="6"/>
  <c r="P120" i="13" s="1"/>
  <c r="ER251" i="6"/>
  <c r="Q120" i="13" s="1"/>
  <c r="ES251" i="6"/>
  <c r="R120" i="13" s="1"/>
  <c r="EH241" i="6"/>
  <c r="G119" i="13" s="1"/>
  <c r="EI241" i="6"/>
  <c r="H119" i="13" s="1"/>
  <c r="EJ241" i="6"/>
  <c r="I119" i="13" s="1"/>
  <c r="EK241" i="6"/>
  <c r="J119" i="13" s="1"/>
  <c r="EL241" i="6"/>
  <c r="K119" i="13" s="1"/>
  <c r="EM241" i="6"/>
  <c r="L119" i="13" s="1"/>
  <c r="EN241" i="6"/>
  <c r="M119" i="13" s="1"/>
  <c r="EO241" i="6"/>
  <c r="N119" i="13" s="1"/>
  <c r="EP241" i="6"/>
  <c r="O119" i="13" s="1"/>
  <c r="EQ241" i="6"/>
  <c r="P119" i="13" s="1"/>
  <c r="ER241" i="6"/>
  <c r="Q119" i="13" s="1"/>
  <c r="ES241" i="6"/>
  <c r="R119" i="13" s="1"/>
  <c r="EH234" i="6"/>
  <c r="G118" i="13" s="1"/>
  <c r="EI234" i="6"/>
  <c r="H118" i="13" s="1"/>
  <c r="EJ234" i="6"/>
  <c r="I118" i="13" s="1"/>
  <c r="EK234" i="6"/>
  <c r="J118" i="13" s="1"/>
  <c r="EL234" i="6"/>
  <c r="K118" i="13" s="1"/>
  <c r="EM234" i="6"/>
  <c r="L118" i="13" s="1"/>
  <c r="EN234" i="6"/>
  <c r="M118" i="13" s="1"/>
  <c r="EO234" i="6"/>
  <c r="N118" i="13" s="1"/>
  <c r="EP234" i="6"/>
  <c r="O118" i="13" s="1"/>
  <c r="EQ234" i="6"/>
  <c r="P118" i="13" s="1"/>
  <c r="ER234" i="6"/>
  <c r="Q118" i="13" s="1"/>
  <c r="ES234" i="6"/>
  <c r="R118" i="13" s="1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W218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A218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E218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N397" i="6"/>
  <c r="CM397" i="6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/>
  <c r="DR267" i="6"/>
  <c r="DR218" i="6" s="1"/>
  <c r="DQ267" i="6"/>
  <c r="DQ218" i="6" s="1"/>
  <c r="DP267" i="6"/>
  <c r="DP218" i="6" s="1"/>
  <c r="DO267" i="6"/>
  <c r="DO218" i="6" s="1"/>
  <c r="DN267" i="6"/>
  <c r="DN218" i="6" s="1"/>
  <c r="DM267" i="6"/>
  <c r="DM218" i="6" s="1"/>
  <c r="DL267" i="6"/>
  <c r="DL218" i="6" s="1"/>
  <c r="DK267" i="6"/>
  <c r="DK218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B118" i="9" s="1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 s="1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 s="1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 s="1"/>
  <c r="A126" i="4"/>
  <c r="B126" i="4" s="1"/>
  <c r="A125" i="4"/>
  <c r="B125" i="4" s="1"/>
  <c r="A124" i="4"/>
  <c r="B124" i="4" s="1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Q143" i="9" s="1"/>
  <c r="CZ357" i="6"/>
  <c r="I143" i="4" s="1"/>
  <c r="DD357" i="6"/>
  <c r="M143" i="4" s="1"/>
  <c r="DH357" i="6"/>
  <c r="Q143" i="4" s="1"/>
  <c r="DL357" i="6"/>
  <c r="I142" i="10"/>
  <c r="DP357" i="6"/>
  <c r="M142" i="10" s="1"/>
  <c r="DT357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L143" i="9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T144" i="8" l="1"/>
  <c r="H107" i="8"/>
  <c r="W107" i="8" s="1"/>
  <c r="X107" i="8" s="1"/>
  <c r="DS357" i="6"/>
  <c r="CM393" i="6"/>
  <c r="CO393" i="6"/>
  <c r="Q10" i="4"/>
  <c r="DH192" i="6" s="1"/>
  <c r="O10" i="4"/>
  <c r="DF192" i="6" s="1"/>
  <c r="M10" i="4"/>
  <c r="DD192" i="6" s="1"/>
  <c r="K10" i="4"/>
  <c r="DB192" i="6" s="1"/>
  <c r="I10" i="4"/>
  <c r="CZ192" i="6" s="1"/>
  <c r="G10" i="4"/>
  <c r="CX192" i="6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3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DD194" i="6" s="1"/>
  <c r="L42" i="4"/>
  <c r="L29" i="4" s="1"/>
  <c r="DC193" i="6" s="1"/>
  <c r="DC194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O65" i="11" l="1"/>
  <c r="O59" i="11"/>
  <c r="O49" i="11"/>
  <c r="P49" i="11" s="1"/>
  <c r="O48" i="11"/>
  <c r="P48" i="11" s="1"/>
  <c r="CZ194" i="6"/>
  <c r="CX194" i="6"/>
  <c r="O64" i="11"/>
  <c r="P64" i="11" s="1"/>
  <c r="O58" i="11"/>
  <c r="Q58" i="11" s="1"/>
  <c r="O63" i="11"/>
  <c r="Q63" i="11" s="1"/>
  <c r="R11" i="11"/>
  <c r="S11" i="11" s="1"/>
  <c r="H59" i="11"/>
  <c r="I59" i="11" s="1"/>
  <c r="H60" i="11"/>
  <c r="H123" i="13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3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P65" i="11"/>
  <c r="S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Q48" i="11" l="1"/>
  <c r="O29" i="11"/>
  <c r="P29" i="11" s="1"/>
  <c r="Q64" i="11"/>
  <c r="P58" i="11"/>
  <c r="T11" i="11"/>
  <c r="H29" i="11"/>
  <c r="I60" i="11"/>
  <c r="J60" i="11"/>
  <c r="O57" i="11"/>
  <c r="P57" i="11" s="1"/>
  <c r="H57" i="11"/>
  <c r="I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4" i="6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J57" i="11"/>
  <c r="H55" i="11"/>
  <c r="G155" i="8"/>
  <c r="W155" i="8" s="1"/>
  <c r="X155" i="8" s="1"/>
  <c r="K55" i="11"/>
  <c r="S10" i="11"/>
  <c r="O55" i="11"/>
  <c r="P55" i="11" s="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G160" i="8"/>
  <c r="W160" i="8" s="1"/>
  <c r="X160" i="8" s="1"/>
  <c r="H56" i="11"/>
  <c r="Q55" i="11"/>
  <c r="O56" i="11"/>
  <c r="P56" i="11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<sst xmlns="http://schemas.openxmlformats.org/spreadsheetml/2006/main" count="1468" uniqueCount="762">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</sst>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4" fontId="7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2017-05</v>
      </c>
      <c r="O6" s="169" t="str">
        <f>+CONCATENATE(N6,"p")</f>
        <v>2017-05p</v>
      </c>
      <c r="P6" s="153"/>
      <c r="Q6" s="153"/>
      <c r="R6" s="169" t="str">
        <f>+IF(Master!B3-10&gt;=0,CONCATENATE(Master!B4-1,"-",Master!B3),CONCATENATE(Master!B4-1,"-0",Master!B3))</f>
        <v>2016-05</v>
      </c>
      <c r="S6" s="153"/>
      <c r="T6" s="153"/>
    </row>
    <row r="7" spans="1:20">
      <c r="A7" s="170"/>
      <c r="B7" s="449" t="s">
        <v>709</v>
      </c>
      <c r="C7" s="450"/>
      <c r="D7" s="450"/>
      <c r="E7" s="450"/>
      <c r="F7" s="450"/>
      <c r="G7" s="458" t="s">
        <v>707</v>
      </c>
      <c r="H7" s="459"/>
      <c r="I7" s="459"/>
      <c r="J7" s="459"/>
      <c r="K7" s="459"/>
      <c r="L7" s="459"/>
      <c r="M7" s="460"/>
      <c r="N7" s="461" t="str">
        <f>+Master!G240</f>
        <v>Decembar</v>
      </c>
      <c r="O7" s="459"/>
      <c r="P7" s="459"/>
      <c r="Q7" s="459"/>
      <c r="R7" s="459"/>
      <c r="S7" s="459"/>
      <c r="T7" s="462"/>
    </row>
    <row r="8" spans="1:20">
      <c r="A8" s="170"/>
      <c r="B8" s="451"/>
      <c r="C8" s="452"/>
      <c r="D8" s="452"/>
      <c r="E8" s="452"/>
      <c r="F8" s="453"/>
      <c r="G8" s="171" t="str">
        <f>+Master!G21</f>
        <v>Ostvarenje</v>
      </c>
      <c r="H8" s="171" t="str">
        <f>+Master!G20</f>
        <v>Plan</v>
      </c>
      <c r="I8" s="447" t="str">
        <f>+Master!G258</f>
        <v>Odstupanje</v>
      </c>
      <c r="J8" s="447"/>
      <c r="K8" s="171" t="str">
        <f>+CONCATENATE(Master!G243," ",Master!B4-1)</f>
        <v>Jan - Maj 2016</v>
      </c>
      <c r="L8" s="447" t="str">
        <f>+I8</f>
        <v>Odstupanje</v>
      </c>
      <c r="M8" s="457"/>
      <c r="N8" s="172" t="str">
        <f>+G8</f>
        <v>Ostvarenje</v>
      </c>
      <c r="O8" s="171" t="str">
        <f>+H8</f>
        <v>Plan</v>
      </c>
      <c r="P8" s="447" t="str">
        <f>+I8</f>
        <v>Odstupanje</v>
      </c>
      <c r="Q8" s="447"/>
      <c r="R8" s="171" t="str">
        <f>+CONCATENATE(Master!G242," ",Master!B4-1)</f>
        <v>Maj 2016</v>
      </c>
      <c r="S8" s="447" t="str">
        <f>+P8</f>
        <v>Odstupanje</v>
      </c>
      <c r="T8" s="448"/>
    </row>
    <row r="9" spans="1:20" ht="15.7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1" t="e">
        <f>+VLOOKUP($A18,Master!$D$25:$G$223,4,FALSE)</f>
        <v>#N/A</v>
      </c>
      <c r="C18" s="422"/>
      <c r="D18" s="422"/>
      <c r="E18" s="422"/>
      <c r="F18" s="42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1" t="str">
        <f>+VLOOKUP($A19,Master!$D$25:$G$223,4,FALSE)</f>
        <v>Ostali državni porezi</v>
      </c>
      <c r="C19" s="422"/>
      <c r="D19" s="422"/>
      <c r="E19" s="422"/>
      <c r="F19" s="42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5" t="str">
        <f>+VLOOKUP($A20,Master!$D$25:$G$223,4,FALSE)</f>
        <v>Doprinosi</v>
      </c>
      <c r="C20" s="426"/>
      <c r="D20" s="426"/>
      <c r="E20" s="426"/>
      <c r="F20" s="426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1" t="str">
        <f>+VLOOKUP($A21,Master!$D$25:$G$223,4,FALSE)</f>
        <v>Doprinosi za penzijsko i invalidsko osiguranje</v>
      </c>
      <c r="C21" s="422"/>
      <c r="D21" s="422"/>
      <c r="E21" s="422"/>
      <c r="F21" s="42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1" t="str">
        <f>+VLOOKUP($A22,Master!$D$25:$G$223,4,FALSE)</f>
        <v>Doprinosi za zdravstveno osiguranje</v>
      </c>
      <c r="C22" s="422"/>
      <c r="D22" s="422"/>
      <c r="E22" s="422"/>
      <c r="F22" s="42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1" t="str">
        <f>+VLOOKUP($A23,Master!$D$25:$G$223,4,FALSE)</f>
        <v>Doprinosi za osiguranje od nezaposlenosti</v>
      </c>
      <c r="C23" s="422"/>
      <c r="D23" s="422"/>
      <c r="E23" s="422"/>
      <c r="F23" s="42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1" t="str">
        <f>+VLOOKUP($A24,Master!$D$25:$G$223,4,FALSE)</f>
        <v>Ostali doprinosi</v>
      </c>
      <c r="C24" s="422"/>
      <c r="D24" s="422"/>
      <c r="E24" s="422"/>
      <c r="F24" s="42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3" t="str">
        <f>+VLOOKUP($A25,Master!$D$25:$G$223,4,FALSE)</f>
        <v>Takse</v>
      </c>
      <c r="C25" s="424"/>
      <c r="D25" s="424"/>
      <c r="E25" s="424"/>
      <c r="F25" s="424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3" t="str">
        <f>+VLOOKUP($A26,Master!$D$25:$G$223,4,FALSE)</f>
        <v>Naknade</v>
      </c>
      <c r="C26" s="424"/>
      <c r="D26" s="424"/>
      <c r="E26" s="424"/>
      <c r="F26" s="424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3" t="str">
        <f>+VLOOKUP($A27,Master!$D$25:$G$223,4,FALSE)</f>
        <v>Ostali prihodi</v>
      </c>
      <c r="C27" s="424"/>
      <c r="D27" s="424"/>
      <c r="E27" s="424"/>
      <c r="F27" s="424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3" t="str">
        <f>+VLOOKUP($A28,Master!$D$25:$G$223,4,FALSE)</f>
        <v>Primici od otplate kredita i sredstva prenesena iz prethodne godine</v>
      </c>
      <c r="C28" s="424"/>
      <c r="D28" s="424"/>
      <c r="E28" s="424"/>
      <c r="F28" s="424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7" t="str">
        <f>+VLOOKUP($A29,Master!$D$25:$G$223,4,FALSE)</f>
        <v>Donacije i transferi</v>
      </c>
      <c r="C29" s="428"/>
      <c r="D29" s="428"/>
      <c r="E29" s="428"/>
      <c r="F29" s="428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29" t="str">
        <f>+VLOOKUP($A30,Master!$D$25:$G$223,4,FALSE)</f>
        <v>Budžetki izdaci</v>
      </c>
      <c r="C30" s="430"/>
      <c r="D30" s="430"/>
      <c r="E30" s="430"/>
      <c r="F30" s="43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1" t="str">
        <f>+VLOOKUP($A31,Master!$D$25:$G$223,4,FALSE)</f>
        <v>Tekući izdaci</v>
      </c>
      <c r="C31" s="432"/>
      <c r="D31" s="432"/>
      <c r="E31" s="432"/>
      <c r="F31" s="432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3" t="str">
        <f>+VLOOKUP($A32,Master!$D$25:$G$223,4,FALSE)</f>
        <v>Tekući budžetski izdaci</v>
      </c>
      <c r="C32" s="434"/>
      <c r="D32" s="434"/>
      <c r="E32" s="434"/>
      <c r="F32" s="434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1" t="str">
        <f>+VLOOKUP($A33,Master!$D$25:$G$223,4,FALSE)</f>
        <v>Bruto zarade i doprinosi na teret poslodavca</v>
      </c>
      <c r="C33" s="422"/>
      <c r="D33" s="422"/>
      <c r="E33" s="422"/>
      <c r="F33" s="42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1" t="str">
        <f>+VLOOKUP($A34,Master!$D$25:$G$223,4,FALSE)</f>
        <v>Ostala lična primanja</v>
      </c>
      <c r="C34" s="422"/>
      <c r="D34" s="422"/>
      <c r="E34" s="422"/>
      <c r="F34" s="42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1" t="str">
        <f>+VLOOKUP($A35,Master!$D$25:$G$223,4,FALSE)</f>
        <v>Rashodi za materijal</v>
      </c>
      <c r="C35" s="422"/>
      <c r="D35" s="422"/>
      <c r="E35" s="422"/>
      <c r="F35" s="42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1" t="str">
        <f>+VLOOKUP($A36,Master!$D$25:$G$223,4,FALSE)</f>
        <v>Rashodi za usluge</v>
      </c>
      <c r="C36" s="422"/>
      <c r="D36" s="422"/>
      <c r="E36" s="422"/>
      <c r="F36" s="42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1" t="str">
        <f>+VLOOKUP($A37,Master!$D$25:$G$223,4,FALSE)</f>
        <v>Rashodi za tekuće održavanje</v>
      </c>
      <c r="C37" s="422"/>
      <c r="D37" s="422"/>
      <c r="E37" s="422"/>
      <c r="F37" s="42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1" t="str">
        <f>+VLOOKUP($A38,Master!$D$25:$G$223,4,FALSE)</f>
        <v>Kamate</v>
      </c>
      <c r="C38" s="422"/>
      <c r="D38" s="422"/>
      <c r="E38" s="422"/>
      <c r="F38" s="42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1" t="str">
        <f>+VLOOKUP($A39,Master!$D$25:$G$223,4,FALSE)</f>
        <v>Renta</v>
      </c>
      <c r="C39" s="422"/>
      <c r="D39" s="422"/>
      <c r="E39" s="422"/>
      <c r="F39" s="42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1" t="str">
        <f>+VLOOKUP($A40,Master!$D$25:$G$223,4,FALSE)</f>
        <v>Subvencije</v>
      </c>
      <c r="C40" s="422"/>
      <c r="D40" s="422"/>
      <c r="E40" s="422"/>
      <c r="F40" s="42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1" t="str">
        <f>+VLOOKUP($A41,Master!$D$25:$G$223,4,FALSE)</f>
        <v>Ostali izdaci</v>
      </c>
      <c r="C41" s="422"/>
      <c r="D41" s="422"/>
      <c r="E41" s="422"/>
      <c r="F41" s="42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1" t="str">
        <f>+VLOOKUP($A42,Master!$D$25:$G$223,4,FALSE)</f>
        <v>Kapitalni izdaci u tekućem budžetu</v>
      </c>
      <c r="C42" s="422"/>
      <c r="D42" s="422"/>
      <c r="E42" s="422"/>
      <c r="F42" s="42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7" t="str">
        <f>+VLOOKUP($A43,Master!$D$25:$G$223,4,FALSE)</f>
        <v>Transferi za socijalnu zaštitu</v>
      </c>
      <c r="C43" s="438"/>
      <c r="D43" s="438"/>
      <c r="E43" s="438"/>
      <c r="F43" s="438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1" t="str">
        <f>+VLOOKUP($A44,Master!$D$25:$G$223,4,FALSE)</f>
        <v>Prava iz oblasti socijalne zaštite</v>
      </c>
      <c r="C44" s="422"/>
      <c r="D44" s="422"/>
      <c r="E44" s="422"/>
      <c r="F44" s="42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1" t="str">
        <f>+VLOOKUP($A45,Master!$D$25:$G$223,4,FALSE)</f>
        <v>Sredstva za tehnološke viškove</v>
      </c>
      <c r="C45" s="422"/>
      <c r="D45" s="422"/>
      <c r="E45" s="422"/>
      <c r="F45" s="42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1" t="str">
        <f>+VLOOKUP($A46,Master!$D$25:$G$223,4,FALSE)</f>
        <v>Prava iz oblasti penzijskog i invalidskog osiguranja</v>
      </c>
      <c r="C46" s="422"/>
      <c r="D46" s="422"/>
      <c r="E46" s="422"/>
      <c r="F46" s="42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1" t="str">
        <f>+VLOOKUP($A47,Master!$D$25:$G$223,4,FALSE)</f>
        <v>Ostala prava iz oblasti zdravstvene zaštite</v>
      </c>
      <c r="C47" s="422"/>
      <c r="D47" s="422"/>
      <c r="E47" s="422"/>
      <c r="F47" s="42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1" t="str">
        <f>+VLOOKUP($A48,Master!$D$25:$G$223,4,FALSE)</f>
        <v>Ostala prava iz zdravstvenog osiguranja</v>
      </c>
      <c r="C48" s="422"/>
      <c r="D48" s="422"/>
      <c r="E48" s="422"/>
      <c r="F48" s="42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5" t="str">
        <f>+VLOOKUP($A49,Master!$D$25:$G$223,4,FALSE)</f>
        <v xml:space="preserve">Transferi institucijama, pojedincima, nevladinom i javnom sektoru </v>
      </c>
      <c r="C49" s="436"/>
      <c r="D49" s="436"/>
      <c r="E49" s="436"/>
      <c r="F49" s="436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5" t="str">
        <f>+VLOOKUP($A50,Master!$D$25:$G$223,4,FALSE)</f>
        <v>Kapitalni budžet</v>
      </c>
      <c r="C50" s="436"/>
      <c r="D50" s="436"/>
      <c r="E50" s="436"/>
      <c r="F50" s="436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9" t="str">
        <f>+VLOOKUP($A51,Master!$D$25:$G$223,4,FALSE)</f>
        <v>Pozajmice i krediti</v>
      </c>
      <c r="C51" s="440"/>
      <c r="D51" s="440"/>
      <c r="E51" s="440"/>
      <c r="F51" s="44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9" t="str">
        <f>+VLOOKUP($A52,Master!$D$25:$G$223,4,FALSE)</f>
        <v>Rezerve</v>
      </c>
      <c r="C52" s="440"/>
      <c r="D52" s="440"/>
      <c r="E52" s="440"/>
      <c r="F52" s="44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1" t="str">
        <f>+VLOOKUP($A53,Master!$D$25:$G$223,4,FALSE)</f>
        <v>Otplata garancija</v>
      </c>
      <c r="C53" s="442"/>
      <c r="D53" s="442"/>
      <c r="E53" s="442"/>
      <c r="F53" s="442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1" t="str">
        <f>+VLOOKUP($A54,Master!$D$25:$G$223,4,FALSE)</f>
        <v>Otplata obaveza iz prethodnih godina</v>
      </c>
      <c r="C54" s="442"/>
      <c r="D54" s="442"/>
      <c r="E54" s="442"/>
      <c r="F54" s="442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1" t="str">
        <f>+VLOOKUP($A55,Master!$D$25:$G$225,4,FALSE)</f>
        <v>Neto povećanje obaveza</v>
      </c>
      <c r="C55" s="442"/>
      <c r="D55" s="442"/>
      <c r="E55" s="442"/>
      <c r="F55" s="442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3" t="str">
        <f>+VLOOKUP($A56,Master!$D$25:$G$223,4,FALSE)</f>
        <v>Suficit / deficit</v>
      </c>
      <c r="C56" s="444"/>
      <c r="D56" s="444"/>
      <c r="E56" s="444"/>
      <c r="F56" s="444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45" t="str">
        <f>+VLOOKUP($A57,Master!$D$25:$G$223,4,FALSE)</f>
        <v>Primarni bilans</v>
      </c>
      <c r="C57" s="446"/>
      <c r="D57" s="446"/>
      <c r="E57" s="446"/>
      <c r="F57" s="446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7" t="str">
        <f>+VLOOKUP($A58,Master!$D$25:$G$223,4,FALSE)</f>
        <v>Otplata dugova</v>
      </c>
      <c r="C58" s="438"/>
      <c r="D58" s="438"/>
      <c r="E58" s="438"/>
      <c r="F58" s="438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3" t="str">
        <f>+VLOOKUP($A59,Master!$D$25:$G$223,4,FALSE)</f>
        <v>Otplata hartija od vrijednosti i kredita rezidentima</v>
      </c>
      <c r="C59" s="464"/>
      <c r="D59" s="464"/>
      <c r="E59" s="464"/>
      <c r="F59" s="464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9" t="str">
        <f>+VLOOKUP($A60,Master!$D$25:$G$223,4,FALSE)</f>
        <v>Otplata hartija od vrijednosti i kredita nerezidentima</v>
      </c>
      <c r="C60" s="440"/>
      <c r="D60" s="440"/>
      <c r="E60" s="440"/>
      <c r="F60" s="44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5" t="str">
        <f>+VLOOKUP($A62,Master!$D$25:$G$223,4,FALSE)</f>
        <v>Nedostajuća sredstva</v>
      </c>
      <c r="C62" s="466"/>
      <c r="D62" s="466"/>
      <c r="E62" s="466"/>
      <c r="F62" s="466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29" t="str">
        <f>+VLOOKUP($A63,Master!$D$25:$G$223,4,FALSE)</f>
        <v>Finansiranje</v>
      </c>
      <c r="C63" s="430"/>
      <c r="D63" s="430"/>
      <c r="E63" s="430"/>
      <c r="F63" s="43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3" t="str">
        <f>+VLOOKUP($A64,Master!$D$25:$G$223,4,FALSE)</f>
        <v>Pozajmice i krediti od domaćih izvora</v>
      </c>
      <c r="C64" s="464"/>
      <c r="D64" s="464"/>
      <c r="E64" s="464"/>
      <c r="F64" s="464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9" t="str">
        <f>+VLOOKUP($A65,Master!$D$25:$G$223,4,FALSE)</f>
        <v>Pozajmice i krediti od inostranih izvora</v>
      </c>
      <c r="C65" s="440"/>
      <c r="D65" s="440"/>
      <c r="E65" s="440"/>
      <c r="F65" s="44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9" t="str">
        <f>+VLOOKUP($A66,Master!$D$25:$G$223,4,FALSE)</f>
        <v>Primici od prodaje imovine</v>
      </c>
      <c r="C66" s="440"/>
      <c r="D66" s="440"/>
      <c r="E66" s="440"/>
      <c r="F66" s="44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6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H8" sqref="EH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20" t="s">
        <v>570</v>
      </c>
      <c r="F6" s="518">
        <v>2006</v>
      </c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9"/>
      <c r="R6" s="518">
        <v>2007</v>
      </c>
      <c r="S6" s="517"/>
      <c r="T6" s="517"/>
      <c r="U6" s="517"/>
      <c r="V6" s="517"/>
      <c r="W6" s="517"/>
      <c r="X6" s="517"/>
      <c r="Y6" s="517"/>
      <c r="Z6" s="517"/>
      <c r="AA6" s="517"/>
      <c r="AB6" s="517"/>
      <c r="AC6" s="519"/>
      <c r="AD6" s="518">
        <v>2008</v>
      </c>
      <c r="AE6" s="517"/>
      <c r="AF6" s="517"/>
      <c r="AG6" s="517"/>
      <c r="AH6" s="517"/>
      <c r="AI6" s="517"/>
      <c r="AJ6" s="517"/>
      <c r="AK6" s="517"/>
      <c r="AL6" s="517"/>
      <c r="AM6" s="517"/>
      <c r="AN6" s="517"/>
      <c r="AO6" s="519"/>
      <c r="AP6" s="518">
        <v>2009</v>
      </c>
      <c r="AQ6" s="517"/>
      <c r="AR6" s="517"/>
      <c r="AS6" s="517"/>
      <c r="AT6" s="517"/>
      <c r="AU6" s="517"/>
      <c r="AV6" s="517"/>
      <c r="AW6" s="517"/>
      <c r="AX6" s="517"/>
      <c r="AY6" s="517"/>
      <c r="AZ6" s="517"/>
      <c r="BA6" s="519"/>
      <c r="BB6" s="518">
        <v>2010</v>
      </c>
      <c r="BC6" s="517"/>
      <c r="BD6" s="517"/>
      <c r="BE6" s="517"/>
      <c r="BF6" s="517"/>
      <c r="BG6" s="517"/>
      <c r="BH6" s="517"/>
      <c r="BI6" s="517"/>
      <c r="BJ6" s="517"/>
      <c r="BK6" s="517"/>
      <c r="BL6" s="517"/>
      <c r="BM6" s="519"/>
      <c r="BN6" s="518">
        <v>2011</v>
      </c>
      <c r="BO6" s="517"/>
      <c r="BP6" s="517"/>
      <c r="BQ6" s="517"/>
      <c r="BR6" s="517"/>
      <c r="BS6" s="517"/>
      <c r="BT6" s="517"/>
      <c r="BU6" s="517"/>
      <c r="BV6" s="517"/>
      <c r="BW6" s="517"/>
      <c r="BX6" s="517"/>
      <c r="BY6" s="519"/>
      <c r="BZ6" s="517">
        <v>2012</v>
      </c>
      <c r="CA6" s="517"/>
      <c r="CB6" s="517"/>
      <c r="CC6" s="517"/>
      <c r="CD6" s="517"/>
      <c r="CE6" s="517"/>
      <c r="CF6" s="517"/>
      <c r="CG6" s="517"/>
      <c r="CH6" s="517"/>
      <c r="CI6" s="517"/>
      <c r="CJ6" s="517"/>
      <c r="CK6" s="517"/>
      <c r="CL6" s="518">
        <v>2013</v>
      </c>
      <c r="CM6" s="517"/>
      <c r="CN6" s="517"/>
      <c r="CO6" s="517"/>
      <c r="CP6" s="517"/>
      <c r="CQ6" s="517"/>
      <c r="CR6" s="517"/>
      <c r="CS6" s="517"/>
      <c r="CT6" s="517"/>
      <c r="CU6" s="517"/>
      <c r="CV6" s="517"/>
      <c r="CW6" s="519"/>
      <c r="CX6" s="518">
        <v>2014</v>
      </c>
      <c r="CY6" s="517"/>
      <c r="CZ6" s="517"/>
      <c r="DA6" s="517"/>
      <c r="DB6" s="517"/>
      <c r="DC6" s="517"/>
      <c r="DD6" s="517"/>
      <c r="DE6" s="517"/>
      <c r="DF6" s="517"/>
      <c r="DG6" s="517"/>
      <c r="DH6" s="517"/>
      <c r="DI6" s="519"/>
      <c r="DJ6" s="518">
        <v>2015</v>
      </c>
      <c r="DK6" s="517"/>
      <c r="DL6" s="517"/>
      <c r="DM6" s="517"/>
      <c r="DN6" s="517"/>
      <c r="DO6" s="517"/>
      <c r="DP6" s="517"/>
      <c r="DQ6" s="517"/>
      <c r="DR6" s="517"/>
      <c r="DS6" s="517"/>
      <c r="DT6" s="517"/>
      <c r="DU6" s="519"/>
    </row>
    <row r="7" spans="1:321">
      <c r="E7" s="520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>EH9+EH41+EH50</f>
        <v>74006446.679999977</v>
      </c>
      <c r="EI8" s="377">
        <f>EI9+EI41+EI50</f>
        <v>111905557.74000001</v>
      </c>
      <c r="EJ8" s="377">
        <f>EJ9+EJ41+EJ50</f>
        <v>194667386.91999999</v>
      </c>
      <c r="EK8" s="377">
        <f>EK9+EK41+EK50</f>
        <v>154580255.34999999</v>
      </c>
      <c r="EL8" s="377">
        <f>EL9+EL41+EL50</f>
        <v>126276172.79000001</v>
      </c>
      <c r="EM8" s="377"/>
      <c r="EN8" s="377"/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>EH10+EH18+EH23+EH28+EH35+EH44+EH47</f>
        <v>73650344.109999985</v>
      </c>
      <c r="EI9" s="377">
        <f>EI10+EI18+EI23+EI28+EI35+EI44+EI47</f>
        <v>88762737.360000014</v>
      </c>
      <c r="EJ9" s="377">
        <f>EJ10+EJ18+EJ23+EJ28+EJ35+EJ44+EJ47</f>
        <v>135325676.94999999</v>
      </c>
      <c r="EK9" s="377">
        <f>EK10+EK18+EK23+EK28+EK35+EK44+EK47</f>
        <v>124911661.67</v>
      </c>
      <c r="EL9" s="377">
        <f>EL10+EL18+EL23+EL28+EL35+EL44+EL47</f>
        <v>125292673.66000001</v>
      </c>
      <c r="EM9" s="377"/>
      <c r="EN9" s="377"/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/>
      <c r="EN10" s="379"/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/>
      <c r="EN11" s="377"/>
      <c r="EO11" s="377"/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/>
      <c r="EN12" s="377"/>
      <c r="EO12" s="377"/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/>
      <c r="EN14" s="377"/>
      <c r="EO14" s="377"/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/>
      <c r="EN16" s="377"/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/>
      <c r="EN18" s="379"/>
      <c r="EO18" s="379"/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/>
      <c r="EN21" s="377"/>
      <c r="EO21" s="377"/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/>
      <c r="EN22" s="377"/>
      <c r="EO22" s="377"/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550918.32999999996</v>
      </c>
      <c r="EI23" s="379">
        <v>772214.17</v>
      </c>
      <c r="EJ23" s="379">
        <v>959047.52</v>
      </c>
      <c r="EK23" s="379">
        <v>900446.92</v>
      </c>
      <c r="EL23" s="379">
        <v>979495.57</v>
      </c>
      <c r="EM23" s="379"/>
      <c r="EN23" s="379"/>
      <c r="EO23" s="379"/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/>
      <c r="EN24" s="377"/>
      <c r="EO24" s="377"/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/>
      <c r="EN26" s="377"/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/>
      <c r="EN27" s="377"/>
      <c r="EO27" s="377"/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>
        <v>1901163.79</v>
      </c>
      <c r="EL28" s="379">
        <v>1513570.26</v>
      </c>
      <c r="EM28" s="379"/>
      <c r="EN28" s="379"/>
      <c r="EO28" s="379"/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/>
      <c r="EN29" s="377"/>
      <c r="EO29" s="377"/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/>
      <c r="EN31" s="377"/>
      <c r="EO31" s="377"/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/>
      <c r="EN32" s="377"/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/>
      <c r="EN33" s="377"/>
      <c r="EO33" s="377"/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/>
      <c r="EN34" s="377"/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>
        <v>3537625.59</v>
      </c>
      <c r="EL35" s="379">
        <v>2195271.4</v>
      </c>
      <c r="EM35" s="379"/>
      <c r="EN35" s="379"/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/>
      <c r="EN36" s="377"/>
      <c r="EO36" s="377"/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41">
        <v>933613.03</v>
      </c>
      <c r="EL37" s="377">
        <v>1034325.92</v>
      </c>
      <c r="EM37" s="377"/>
      <c r="EN37" s="377"/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/>
      <c r="EN38" s="377"/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/>
      <c r="EJ39" s="377"/>
      <c r="EK39" s="377"/>
      <c r="EL39" s="377"/>
      <c r="EM39" s="377"/>
      <c r="EN39" s="377"/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/>
      <c r="EI40" s="377">
        <v>1312808.81</v>
      </c>
      <c r="EJ40" s="377">
        <v>823366.2</v>
      </c>
      <c r="EK40" s="377">
        <v>1412095.76</v>
      </c>
      <c r="EL40" s="377">
        <v>928152.31</v>
      </c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>
        <v>20867.330000000002</v>
      </c>
      <c r="EI41" s="379">
        <v>70916.160000000003</v>
      </c>
      <c r="EJ41" s="379">
        <v>65967</v>
      </c>
      <c r="EK41" s="379">
        <v>1070298.19</v>
      </c>
      <c r="EL41" s="379">
        <v>724479.47</v>
      </c>
      <c r="EM41" s="379"/>
      <c r="EN41" s="379"/>
      <c r="EO41" s="379"/>
      <c r="EP41" s="379"/>
      <c r="EQ41" s="379"/>
      <c r="ER41" s="379"/>
      <c r="ES41" s="379"/>
      <c r="ET41" s="379"/>
      <c r="EU41" s="379"/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/>
      <c r="EI43" s="377"/>
      <c r="EJ43" s="377"/>
      <c r="EK43" s="377"/>
      <c r="EL43" s="377"/>
      <c r="EM43" s="377"/>
      <c r="EN43" s="377"/>
      <c r="EO43" s="377"/>
      <c r="EP43" s="377"/>
      <c r="EQ43" s="377"/>
      <c r="ER43" s="377"/>
      <c r="ES43" s="377"/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>
        <v>150350.67000000001</v>
      </c>
      <c r="EI44" s="379">
        <v>500193.46</v>
      </c>
      <c r="EJ44" s="379">
        <v>126045.79</v>
      </c>
      <c r="EK44" s="379">
        <v>67133.97</v>
      </c>
      <c r="EL44" s="379">
        <v>340170.16</v>
      </c>
      <c r="EM44" s="379"/>
      <c r="EN44" s="379"/>
      <c r="EO44" s="379"/>
      <c r="EP44" s="379"/>
      <c r="EQ44" s="379"/>
      <c r="ER44" s="379"/>
      <c r="ES44" s="379"/>
      <c r="ET44" s="379"/>
      <c r="EU44" s="379"/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/>
      <c r="EI46" s="377"/>
      <c r="EJ46" s="377"/>
      <c r="EK46" s="377"/>
      <c r="EL46" s="377"/>
      <c r="EM46" s="377"/>
      <c r="EN46" s="377"/>
      <c r="EO46" s="377"/>
      <c r="EP46" s="377"/>
      <c r="EQ46" s="377"/>
      <c r="ER46" s="377"/>
      <c r="ES46" s="377"/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>
        <v>198902.46</v>
      </c>
      <c r="EI47" s="379">
        <v>1119540.18</v>
      </c>
      <c r="EJ47" s="379">
        <v>2315094.14</v>
      </c>
      <c r="EK47" s="379">
        <v>849572.77</v>
      </c>
      <c r="EL47" s="379">
        <v>1896583.06</v>
      </c>
      <c r="EM47" s="379"/>
      <c r="EN47" s="379"/>
      <c r="EO47" s="379"/>
      <c r="EP47" s="379"/>
      <c r="EQ47" s="379"/>
      <c r="ER47" s="379"/>
      <c r="ES47" s="379"/>
      <c r="ET47" s="379"/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/>
      <c r="EI49" s="377"/>
      <c r="EJ49" s="377"/>
      <c r="EK49" s="377"/>
      <c r="EL49" s="377"/>
      <c r="EM49" s="377"/>
      <c r="EN49" s="377"/>
      <c r="EO49" s="377"/>
      <c r="EP49" s="377"/>
      <c r="EQ49" s="377"/>
      <c r="ER49" s="377"/>
      <c r="ES49" s="377"/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>
        <v>335235.24</v>
      </c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/>
      <c r="EN50" s="379"/>
      <c r="EO50" s="379"/>
      <c r="EP50" s="379"/>
      <c r="EQ50" s="379"/>
      <c r="ER50" s="379"/>
      <c r="ES50" s="379"/>
      <c r="ET50" s="379"/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/>
      <c r="EI51" s="377">
        <v>23071904.219999999</v>
      </c>
      <c r="EJ51" s="41">
        <v>59275742.969999999</v>
      </c>
      <c r="EK51" s="377">
        <v>28598295.489999998</v>
      </c>
      <c r="EL51" s="377">
        <v>259019.66</v>
      </c>
      <c r="EM51" s="377"/>
      <c r="EN51" s="377"/>
      <c r="EO51" s="377"/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16700681.109999999</v>
      </c>
      <c r="EI52" s="377">
        <v>55339318.890000001</v>
      </c>
      <c r="EJ52" s="377">
        <v>74583448.420000002</v>
      </c>
      <c r="EK52" s="377">
        <v>22911551.579999998</v>
      </c>
      <c r="EL52" s="377">
        <v>0</v>
      </c>
      <c r="EM52" s="377"/>
      <c r="EN52" s="377"/>
      <c r="EO52" s="377"/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>
        <v>34554.129999999997</v>
      </c>
      <c r="EI53" s="377">
        <v>322585.33</v>
      </c>
      <c r="EJ53" s="41">
        <v>5656594.5499999998</v>
      </c>
      <c r="EK53" s="377">
        <v>84125996.959999993</v>
      </c>
      <c r="EL53" s="377">
        <v>259019.66</v>
      </c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36273856.270000003</v>
      </c>
      <c r="EI56" s="377">
        <v>36442747.460000001</v>
      </c>
      <c r="EJ56" s="377">
        <v>36477113.590000004</v>
      </c>
      <c r="EK56" s="377">
        <v>36703828.340000004</v>
      </c>
      <c r="EL56" s="377">
        <v>34203194.770000003</v>
      </c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/>
      <c r="EI61" s="377"/>
      <c r="EJ61" s="377"/>
      <c r="EK61" s="377"/>
      <c r="EL61" s="377"/>
      <c r="EM61" s="377"/>
      <c r="EN61" s="377"/>
      <c r="EO61" s="377"/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>
        <v>920424.11</v>
      </c>
      <c r="EJ62" s="377">
        <v>936990.91</v>
      </c>
      <c r="EK62" s="377">
        <v>685539.4</v>
      </c>
      <c r="EL62" s="377">
        <v>764036.59</v>
      </c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416"/>
      <c r="EM68" s="416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963799.19</v>
      </c>
      <c r="EI70" s="377">
        <v>2109344.7799999998</v>
      </c>
      <c r="EJ70" s="377">
        <v>2772386.02</v>
      </c>
      <c r="EK70" s="377">
        <v>1868404.05</v>
      </c>
      <c r="EL70" s="377">
        <v>2065751.38</v>
      </c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/>
      <c r="EI76" s="377"/>
      <c r="EJ76" s="377"/>
      <c r="EK76" s="377"/>
      <c r="EL76" s="377"/>
      <c r="EM76" s="377"/>
      <c r="EN76" s="377"/>
      <c r="EO76" s="377"/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1449826.12</v>
      </c>
      <c r="EI77" s="377">
        <v>3315172.03</v>
      </c>
      <c r="EJ77" s="377">
        <v>7050655.3200000003</v>
      </c>
      <c r="EK77" s="377">
        <v>4695470.62</v>
      </c>
      <c r="EL77" s="377">
        <v>3519706.95</v>
      </c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/>
      <c r="EI86" s="377"/>
      <c r="EJ86" s="377"/>
      <c r="EK86" s="377"/>
      <c r="EL86" s="377"/>
      <c r="EM86" s="377"/>
      <c r="EN86" s="377"/>
      <c r="EO86" s="377"/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>
        <v>831406.02</v>
      </c>
      <c r="EJ87" s="377">
        <v>1518146.21</v>
      </c>
      <c r="EK87" s="377">
        <v>1549212.25</v>
      </c>
      <c r="EL87" s="377">
        <v>2002570.68</v>
      </c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3233271.99</v>
      </c>
      <c r="EI91" s="377">
        <v>1109355.6299999999</v>
      </c>
      <c r="EJ91" s="377">
        <v>39354310.549999997</v>
      </c>
      <c r="EK91" s="377">
        <v>673486.43</v>
      </c>
      <c r="EL91" s="377">
        <v>1301185.95</v>
      </c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/>
      <c r="EI93" s="377"/>
      <c r="EJ93" s="377"/>
      <c r="EK93" s="377"/>
      <c r="EL93" s="377"/>
      <c r="EM93" s="377"/>
      <c r="EN93" s="377"/>
      <c r="EO93" s="377"/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>
        <v>609518.68999999994</v>
      </c>
      <c r="EJ94" s="377">
        <v>647095.18000000005</v>
      </c>
      <c r="EK94" s="377">
        <v>737903.15</v>
      </c>
      <c r="EL94" s="377">
        <v>649640.18999999994</v>
      </c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/>
      <c r="EI97" s="377"/>
      <c r="EJ97" s="377"/>
      <c r="EK97" s="377"/>
      <c r="EL97" s="377"/>
      <c r="EM97" s="377"/>
      <c r="EN97" s="377"/>
      <c r="EO97" s="377"/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>
        <v>437077.96</v>
      </c>
      <c r="EJ98" s="377">
        <v>2564740.2200000002</v>
      </c>
      <c r="EK98" s="377">
        <v>735427.01</v>
      </c>
      <c r="EL98" s="377">
        <v>700208.25</v>
      </c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/>
      <c r="EI101" s="377"/>
      <c r="EJ101" s="377"/>
      <c r="EK101" s="377"/>
      <c r="EL101" s="377"/>
      <c r="EM101" s="377"/>
      <c r="EN101" s="377"/>
      <c r="EO101" s="377"/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642181.18999999994</v>
      </c>
      <c r="EI102" s="377">
        <v>1813185.28</v>
      </c>
      <c r="EJ102" s="377">
        <v>3850774.87</v>
      </c>
      <c r="EK102" s="377">
        <v>2539698.67</v>
      </c>
      <c r="EL102" s="377">
        <v>2629633.84</v>
      </c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/>
      <c r="EI112" s="377"/>
      <c r="EJ112" s="377"/>
      <c r="EK112" s="377"/>
      <c r="EL112" s="377"/>
      <c r="EM112" s="377"/>
      <c r="EN112" s="377"/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>
        <v>10418756.810000001</v>
      </c>
      <c r="EJ113" s="377">
        <v>9027967.8599999994</v>
      </c>
      <c r="EK113" s="377">
        <v>9060292.8100000005</v>
      </c>
      <c r="EL113" s="377">
        <v>9323783.9399999995</v>
      </c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741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/>
      <c r="EI121" s="377"/>
      <c r="EJ121" s="377"/>
      <c r="EK121" s="377"/>
      <c r="EL121" s="377"/>
      <c r="EM121" s="377"/>
      <c r="EN121" s="377"/>
      <c r="EO121" s="377"/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>
        <v>1036027.42</v>
      </c>
      <c r="EJ122" s="377">
        <v>1054894.68</v>
      </c>
      <c r="EK122" s="377">
        <v>1150894.96</v>
      </c>
      <c r="EL122" s="377">
        <v>1082297.17</v>
      </c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/>
      <c r="EI127" s="377"/>
      <c r="EJ127" s="377"/>
      <c r="EK127" s="377"/>
      <c r="EL127" s="377"/>
      <c r="EM127" s="377"/>
      <c r="EN127" s="377"/>
      <c r="EO127" s="377"/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>
        <v>33304068.809999999</v>
      </c>
      <c r="EJ128" s="377">
        <v>33118374.059999999</v>
      </c>
      <c r="EK128" s="377">
        <v>33225573.780000001</v>
      </c>
      <c r="EL128" s="377">
        <v>33097965.640000001</v>
      </c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/>
      <c r="EI135" s="377"/>
      <c r="EJ135" s="377"/>
      <c r="EK135" s="377"/>
      <c r="EL135" s="377"/>
      <c r="EM135" s="377"/>
      <c r="EN135" s="377"/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>
        <v>1122393.47</v>
      </c>
      <c r="EJ136" s="377">
        <v>2105961.34</v>
      </c>
      <c r="EK136" s="377">
        <v>1278855.19</v>
      </c>
      <c r="EL136" s="377">
        <v>1134813.47</v>
      </c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/>
      <c r="EI137" s="377"/>
      <c r="EJ137" s="377"/>
      <c r="EK137" s="377"/>
      <c r="EL137" s="377"/>
      <c r="EM137" s="377"/>
      <c r="EN137" s="377"/>
      <c r="EO137" s="377"/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>
        <v>813711.97</v>
      </c>
      <c r="EJ138" s="377">
        <v>753950.1</v>
      </c>
      <c r="EK138" s="377">
        <v>524268.09</v>
      </c>
      <c r="EL138" s="377">
        <v>1044437.47</v>
      </c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/>
      <c r="EI141" s="377"/>
      <c r="EJ141" s="377"/>
      <c r="EK141" s="377"/>
      <c r="EL141" s="377"/>
      <c r="EM141" s="377"/>
      <c r="EN141" s="377"/>
      <c r="EO141" s="377"/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>
        <v>7878426.2999999998</v>
      </c>
      <c r="EJ142" s="377">
        <v>12624632.02</v>
      </c>
      <c r="EK142" s="377">
        <v>15717196.880000001</v>
      </c>
      <c r="EL142" s="377">
        <v>10712461.529999999</v>
      </c>
      <c r="EM142" s="377"/>
      <c r="EN142" s="377"/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>
        <v>7878426.2999999998</v>
      </c>
      <c r="EJ143" s="377">
        <v>12624632.02</v>
      </c>
      <c r="EK143" s="377">
        <v>15248396.880000001</v>
      </c>
      <c r="EL143" s="377">
        <v>10712461.529999999</v>
      </c>
      <c r="EM143" s="377"/>
      <c r="EN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/>
      <c r="EL152" s="377"/>
      <c r="EM152" s="377"/>
      <c r="EN152" s="377"/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>
        <v>468800</v>
      </c>
      <c r="EL153" s="377">
        <v>0</v>
      </c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/>
      <c r="EI159" s="377"/>
      <c r="EJ159" s="377"/>
      <c r="EK159" s="377"/>
      <c r="EL159" s="377"/>
      <c r="EM159" s="377"/>
      <c r="EN159" s="377"/>
      <c r="EO159" s="377"/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736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>
        <v>1491590.34</v>
      </c>
      <c r="EJ160" s="377">
        <v>7362820.4900000002</v>
      </c>
      <c r="EK160" s="377">
        <v>6918517.2599999998</v>
      </c>
      <c r="EL160" s="377">
        <v>2511744.17</v>
      </c>
      <c r="EM160" s="377"/>
      <c r="EN160" s="377"/>
      <c r="EO160" s="377"/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>
        <v>821880.98</v>
      </c>
      <c r="EJ161" s="377">
        <v>1824216.99</v>
      </c>
      <c r="EK161" s="377">
        <v>2350979.62</v>
      </c>
      <c r="EL161" s="377">
        <v>1582796.93</v>
      </c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/>
      <c r="EI170" s="377"/>
      <c r="EJ170" s="377"/>
      <c r="EK170" s="377"/>
      <c r="EL170" s="377"/>
      <c r="EM170" s="377"/>
      <c r="EN170" s="377"/>
      <c r="EO170" s="377"/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/>
      <c r="EN171" s="377"/>
      <c r="EO171" s="377"/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>
        <v>285802</v>
      </c>
      <c r="EJ172" s="377">
        <v>0</v>
      </c>
      <c r="EK172" s="377">
        <v>294172</v>
      </c>
      <c r="EL172" s="377">
        <v>40272</v>
      </c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/>
      <c r="EI179" s="377"/>
      <c r="EJ179" s="377"/>
      <c r="EK179" s="377"/>
      <c r="EL179" s="377"/>
      <c r="EM179" s="377"/>
      <c r="EN179" s="377"/>
      <c r="EO179" s="377"/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16509330.02</v>
      </c>
      <c r="EI180" s="377">
        <v>40459986.270000003</v>
      </c>
      <c r="EJ180" s="377">
        <v>28547623.149999999</v>
      </c>
      <c r="EK180" s="377">
        <v>111178.77</v>
      </c>
      <c r="EL180" s="377">
        <v>861846.67</v>
      </c>
      <c r="EM180" s="377"/>
      <c r="EN180" s="377"/>
      <c r="EO180" s="377"/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>
        <v>1892608.13</v>
      </c>
      <c r="EJ181" s="377">
        <v>7944436.3899999997</v>
      </c>
      <c r="EK181" s="41">
        <v>5321070.24</v>
      </c>
      <c r="EL181" s="377">
        <v>5208332.1500000004</v>
      </c>
      <c r="EM181" s="377"/>
      <c r="EN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/>
      <c r="EI184" s="377"/>
      <c r="EJ184" s="377"/>
      <c r="EK184" s="377"/>
      <c r="EL184" s="377"/>
      <c r="EM184" s="377"/>
      <c r="EN184" s="377"/>
      <c r="EO184" s="377"/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2325801.86</v>
      </c>
      <c r="EI185" s="377">
        <v>1722446.51</v>
      </c>
      <c r="EJ185" s="377">
        <v>2908426.48</v>
      </c>
      <c r="EK185" s="377">
        <v>1767565.23</v>
      </c>
      <c r="EL185" s="377">
        <v>1819114.92</v>
      </c>
      <c r="EM185" s="377"/>
      <c r="EN185" s="377"/>
      <c r="EO185" s="377"/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>
        <v>493700</v>
      </c>
      <c r="EK186" s="377">
        <v>285897.84000000003</v>
      </c>
      <c r="EL186" s="377">
        <v>4318405.9400000004</v>
      </c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50">
      <c r="EH213" s="340"/>
    </row>
    <row r="216" spans="1:150">
      <c r="E216" s="520" t="s">
        <v>691</v>
      </c>
      <c r="F216" s="518">
        <v>2006</v>
      </c>
      <c r="G216" s="517"/>
      <c r="H216" s="517"/>
      <c r="I216" s="517"/>
      <c r="J216" s="517"/>
      <c r="K216" s="517"/>
      <c r="L216" s="517"/>
      <c r="M216" s="517"/>
      <c r="N216" s="517"/>
      <c r="O216" s="517"/>
      <c r="P216" s="517"/>
      <c r="Q216" s="519"/>
      <c r="R216" s="518">
        <v>2007</v>
      </c>
      <c r="S216" s="517"/>
      <c r="T216" s="517"/>
      <c r="U216" s="517"/>
      <c r="V216" s="517"/>
      <c r="W216" s="517"/>
      <c r="X216" s="517"/>
      <c r="Y216" s="517"/>
      <c r="Z216" s="517"/>
      <c r="AA216" s="517"/>
      <c r="AB216" s="517"/>
      <c r="AC216" s="519"/>
      <c r="AD216" s="518">
        <v>2008</v>
      </c>
      <c r="AE216" s="517"/>
      <c r="AF216" s="517"/>
      <c r="AG216" s="517"/>
      <c r="AH216" s="517"/>
      <c r="AI216" s="517"/>
      <c r="AJ216" s="517"/>
      <c r="AK216" s="517"/>
      <c r="AL216" s="517"/>
      <c r="AM216" s="517"/>
      <c r="AN216" s="517"/>
      <c r="AO216" s="519"/>
      <c r="AP216" s="518">
        <v>2009</v>
      </c>
      <c r="AQ216" s="517"/>
      <c r="AR216" s="517"/>
      <c r="AS216" s="517"/>
      <c r="AT216" s="517"/>
      <c r="AU216" s="517"/>
      <c r="AV216" s="517"/>
      <c r="AW216" s="517"/>
      <c r="AX216" s="517"/>
      <c r="AY216" s="517"/>
      <c r="AZ216" s="517"/>
      <c r="BA216" s="519"/>
      <c r="BB216" s="518">
        <v>2010</v>
      </c>
      <c r="BC216" s="517"/>
      <c r="BD216" s="517"/>
      <c r="BE216" s="517"/>
      <c r="BF216" s="517"/>
      <c r="BG216" s="517"/>
      <c r="BH216" s="517"/>
      <c r="BI216" s="517"/>
      <c r="BJ216" s="517"/>
      <c r="BK216" s="517"/>
      <c r="BL216" s="517"/>
      <c r="BM216" s="519"/>
      <c r="BN216" s="518">
        <v>2011</v>
      </c>
      <c r="BO216" s="517"/>
      <c r="BP216" s="517"/>
      <c r="BQ216" s="517"/>
      <c r="BR216" s="517"/>
      <c r="BS216" s="517"/>
      <c r="BT216" s="517"/>
      <c r="BU216" s="517"/>
      <c r="BV216" s="517"/>
      <c r="BW216" s="517"/>
      <c r="BX216" s="517"/>
      <c r="BY216" s="519"/>
      <c r="BZ216" s="517">
        <v>2012</v>
      </c>
      <c r="CA216" s="517"/>
      <c r="CB216" s="517"/>
      <c r="CC216" s="517"/>
      <c r="CD216" s="517"/>
      <c r="CE216" s="517"/>
      <c r="CF216" s="517"/>
      <c r="CG216" s="517"/>
      <c r="CH216" s="517"/>
      <c r="CI216" s="517"/>
      <c r="CJ216" s="517"/>
      <c r="CK216" s="517"/>
      <c r="CL216" s="518">
        <v>2013</v>
      </c>
      <c r="CM216" s="517"/>
      <c r="CN216" s="517"/>
      <c r="CO216" s="517"/>
      <c r="CP216" s="517"/>
      <c r="CQ216" s="517"/>
      <c r="CR216" s="517"/>
      <c r="CS216" s="517"/>
      <c r="CT216" s="517"/>
      <c r="CU216" s="517"/>
      <c r="CV216" s="517"/>
      <c r="CW216" s="519"/>
      <c r="CX216" s="518">
        <v>2014</v>
      </c>
      <c r="CY216" s="517"/>
      <c r="CZ216" s="517"/>
      <c r="DA216" s="517"/>
      <c r="DB216" s="517"/>
      <c r="DC216" s="517"/>
      <c r="DD216" s="517"/>
      <c r="DE216" s="517"/>
      <c r="DF216" s="517"/>
      <c r="DG216" s="517"/>
      <c r="DH216" s="517"/>
      <c r="DI216" s="519"/>
      <c r="DJ216" s="518">
        <v>2015</v>
      </c>
      <c r="DK216" s="517"/>
      <c r="DL216" s="517"/>
      <c r="DM216" s="517"/>
      <c r="DN216" s="517"/>
      <c r="DO216" s="517"/>
      <c r="DP216" s="517"/>
      <c r="DQ216" s="517"/>
      <c r="DR216" s="517"/>
      <c r="DS216" s="517"/>
      <c r="DT216" s="517"/>
      <c r="DU216" s="519"/>
    </row>
    <row r="217" spans="1:150">
      <c r="E217" s="520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98" t="s">
        <v>744</v>
      </c>
      <c r="EI217" s="398" t="s">
        <v>745</v>
      </c>
      <c r="EJ217" s="398" t="s">
        <v>746</v>
      </c>
      <c r="EK217" s="398" t="s">
        <v>747</v>
      </c>
      <c r="EL217" s="398" t="s">
        <v>748</v>
      </c>
      <c r="EM217" s="398" t="s">
        <v>749</v>
      </c>
      <c r="EN217" s="398" t="s">
        <v>750</v>
      </c>
      <c r="EO217" s="398" t="s">
        <v>751</v>
      </c>
      <c r="EP217" s="398" t="s">
        <v>752</v>
      </c>
      <c r="EQ217" s="398" t="s">
        <v>753</v>
      </c>
      <c r="ER217" s="398" t="s">
        <v>754</v>
      </c>
      <c r="ES217" s="398" t="s">
        <v>755</v>
      </c>
    </row>
    <row r="218" spans="1:150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50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50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0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</row>
    <row r="221" spans="1:150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/>
    </row>
    <row r="222" spans="1:150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</row>
    <row r="223" spans="1:150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/>
    </row>
    <row r="224" spans="1:150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/>
    </row>
    <row r="225" spans="1:150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/>
    </row>
    <row r="226" spans="1:150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/>
    </row>
    <row r="227" spans="1:150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50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/>
    </row>
    <row r="229" spans="1:150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0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</row>
    <row r="230" spans="1:150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/>
    </row>
    <row r="231" spans="1:150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/>
    </row>
    <row r="232" spans="1:150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/>
    </row>
    <row r="233" spans="1:150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/>
    </row>
    <row r="234" spans="1:150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0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339"/>
    </row>
    <row r="235" spans="1:150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/>
    </row>
    <row r="236" spans="1:150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/>
    </row>
    <row r="237" spans="1:150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/>
    </row>
    <row r="238" spans="1:150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50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/>
    </row>
    <row r="241" spans="1:150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0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339"/>
    </row>
    <row r="242" spans="1:150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/>
    </row>
    <row r="243" spans="1:150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/>
    </row>
    <row r="244" spans="1:150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/>
    </row>
    <row r="245" spans="1:150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/>
    </row>
    <row r="246" spans="1:150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50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/>
    </row>
    <row r="250" spans="1:150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/>
    </row>
    <row r="251" spans="1:150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0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339"/>
    </row>
    <row r="252" spans="1:150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/>
    </row>
    <row r="253" spans="1:150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/>
    </row>
    <row r="254" spans="1:150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/>
    </row>
    <row r="255" spans="1:150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50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/>
    </row>
    <row r="257" spans="1:150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0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50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50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8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/>
    </row>
    <row r="261" spans="1:150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50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8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/>
    </row>
    <row r="264" spans="1:150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50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0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50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50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</row>
    <row r="270" spans="1:150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50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50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107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</row>
    <row r="273" spans="1:149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49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0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</row>
    <row r="279" spans="1:149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49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0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</row>
    <row r="287" spans="1:149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49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0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</row>
    <row r="294" spans="1:149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49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0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</row>
    <row r="304" spans="1:149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50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0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03"/>
    </row>
    <row r="308" spans="1:150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50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0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</row>
    <row r="311" spans="1:150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50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0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</row>
    <row r="315" spans="1:150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50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0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</row>
    <row r="319" spans="1:150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49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0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</row>
    <row r="329" spans="1:149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0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</row>
    <row r="330" spans="1:149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49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0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</row>
    <row r="338" spans="1:149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49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107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</row>
    <row r="344" spans="1:149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49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107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</row>
    <row r="352" spans="1:149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49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107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</row>
    <row r="354" spans="1:149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</row>
    <row r="357" spans="1:149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13691666.67</v>
      </c>
      <c r="EI357" s="348">
        <v>13691666.67</v>
      </c>
      <c r="EJ357" s="348">
        <v>13691666.67</v>
      </c>
      <c r="EK357" s="348">
        <v>13691666.67</v>
      </c>
      <c r="EL357" s="348">
        <v>13691666.67</v>
      </c>
      <c r="EM357" s="348">
        <v>13691666.67</v>
      </c>
      <c r="EN357" s="348">
        <v>13691666.67</v>
      </c>
      <c r="EO357" s="348">
        <v>13691666.67</v>
      </c>
      <c r="EP357" s="348">
        <v>13691666.67</v>
      </c>
      <c r="EQ357" s="348">
        <v>13691666.67</v>
      </c>
      <c r="ER357" s="348">
        <v>13691666.67</v>
      </c>
      <c r="ES357" s="348">
        <v>13691666.67</v>
      </c>
    </row>
    <row r="358" spans="1:149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>
        <v>13558333.33</v>
      </c>
      <c r="EI358" s="341">
        <v>13558333.33</v>
      </c>
      <c r="EJ358" s="341">
        <v>13558333.33</v>
      </c>
      <c r="EK358" s="341">
        <v>13558333.33</v>
      </c>
      <c r="EL358" s="341">
        <v>13558333.33</v>
      </c>
      <c r="EM358" s="341">
        <v>13558333.33</v>
      </c>
      <c r="EN358" s="341">
        <v>13558333.33</v>
      </c>
      <c r="EO358" s="341">
        <v>13558333.33</v>
      </c>
      <c r="EP358" s="341">
        <v>13558333.33</v>
      </c>
      <c r="EQ358" s="341">
        <v>13558333.33</v>
      </c>
      <c r="ER358" s="341">
        <v>13558333.33</v>
      </c>
      <c r="ES358" s="341">
        <v>13558333.33</v>
      </c>
    </row>
    <row r="359" spans="1:149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49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>
        <v>141666.67000000001</v>
      </c>
      <c r="EI368" s="341">
        <v>141666.67000000001</v>
      </c>
      <c r="EJ368" s="341">
        <v>141666.67000000001</v>
      </c>
      <c r="EK368" s="341">
        <v>141666.67000000001</v>
      </c>
      <c r="EL368" s="341">
        <v>141666.67000000001</v>
      </c>
      <c r="EM368" s="341">
        <v>141666.67000000001</v>
      </c>
      <c r="EN368" s="341">
        <v>141666.67000000001</v>
      </c>
      <c r="EO368" s="341">
        <v>141666.67000000001</v>
      </c>
      <c r="EP368" s="341">
        <v>141666.67000000001</v>
      </c>
      <c r="EQ368" s="341">
        <v>141666.67000000001</v>
      </c>
      <c r="ER368" s="341">
        <v>141666.67000000001</v>
      </c>
      <c r="ES368" s="341">
        <v>141666.67000000001</v>
      </c>
    </row>
    <row r="369" spans="1:149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49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0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</row>
    <row r="376" spans="1:149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0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</row>
    <row r="377" spans="1:149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50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0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</row>
    <row r="387" spans="1:150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50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414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50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05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50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105">
        <v>1983333.3333333333</v>
      </c>
      <c r="CS395" s="105">
        <v>1983333.3333333333</v>
      </c>
      <c r="CT395" s="105">
        <v>1983333.3333333333</v>
      </c>
      <c r="CU395" s="105">
        <v>1983333.3333333333</v>
      </c>
      <c r="CV395" s="105">
        <v>1983333.3333333333</v>
      </c>
      <c r="CW395" s="106">
        <v>1983333.3333333333</v>
      </c>
      <c r="CX395" s="314">
        <v>2500695.4391666665</v>
      </c>
      <c r="CY395" s="317">
        <v>2500695.4391666665</v>
      </c>
      <c r="CZ395" s="317">
        <v>2500695.4391666665</v>
      </c>
      <c r="DA395" s="317">
        <v>2500695.4391666665</v>
      </c>
      <c r="DB395" s="317">
        <v>2500695.4391666665</v>
      </c>
      <c r="DC395" s="317">
        <v>2500695.4391666665</v>
      </c>
      <c r="DD395" s="317">
        <v>2500695.4391666665</v>
      </c>
      <c r="DE395" s="317">
        <v>2500695.4391666665</v>
      </c>
      <c r="DF395" s="317">
        <v>2500695.4391666665</v>
      </c>
      <c r="DG395" s="317">
        <v>2500695.4391666665</v>
      </c>
      <c r="DH395" s="317">
        <v>2500695.4391666665</v>
      </c>
      <c r="DI395" s="313">
        <v>2500695.4391666665</v>
      </c>
      <c r="DJ395" s="104">
        <v>3892510.16</v>
      </c>
      <c r="DK395" s="105">
        <v>3892510.16</v>
      </c>
      <c r="DL395" s="105">
        <v>3892510.16</v>
      </c>
      <c r="DM395" s="105">
        <v>3892510.16</v>
      </c>
      <c r="DN395" s="105">
        <v>3892510.16</v>
      </c>
      <c r="DO395" s="105">
        <v>3892510.16</v>
      </c>
      <c r="DP395" s="105">
        <v>3892510.16</v>
      </c>
      <c r="DQ395" s="105">
        <v>3892510.16</v>
      </c>
      <c r="DR395" s="105">
        <v>3892510.16</v>
      </c>
      <c r="DS395" s="105">
        <v>3892510.16</v>
      </c>
      <c r="DT395" s="105">
        <v>3892510.16</v>
      </c>
      <c r="DU395" s="106">
        <v>3892510.16</v>
      </c>
      <c r="DV395" s="340">
        <v>3722931.8866666667</v>
      </c>
      <c r="DW395" s="340">
        <v>3722931.8866666667</v>
      </c>
      <c r="DX395" s="340">
        <v>3722931.8866666667</v>
      </c>
      <c r="DY395" s="340">
        <v>3722931.8866666667</v>
      </c>
      <c r="DZ395" s="340">
        <v>3722931.8866666667</v>
      </c>
      <c r="EA395" s="340">
        <v>3722931.8866666667</v>
      </c>
      <c r="EB395" s="340">
        <v>3722931.8866666667</v>
      </c>
      <c r="EC395" s="340">
        <v>3722931.8866666667</v>
      </c>
      <c r="ED395" s="340">
        <v>3722931.8866666667</v>
      </c>
      <c r="EE395" s="340">
        <v>3722931.8866666667</v>
      </c>
      <c r="EF395" s="340">
        <v>3722931.8866666667</v>
      </c>
      <c r="EG395" s="340">
        <v>3722931.8866666667</v>
      </c>
      <c r="EH395" s="340">
        <v>174340.51</v>
      </c>
      <c r="EI395" s="340">
        <v>177326.85</v>
      </c>
      <c r="EJ395" s="340">
        <v>7687779.1100000003</v>
      </c>
      <c r="EK395" s="340">
        <v>191127.48</v>
      </c>
      <c r="EL395" s="340">
        <v>949797.77</v>
      </c>
      <c r="EM395" s="340">
        <v>2019268.13</v>
      </c>
      <c r="EN395" s="340">
        <v>10660481.32</v>
      </c>
      <c r="EO395" s="340">
        <v>11526152.189999999</v>
      </c>
      <c r="EP395" s="340">
        <v>10016017.119999999</v>
      </c>
      <c r="EQ395" s="340">
        <v>1834828.67</v>
      </c>
      <c r="ER395" s="340">
        <v>2345417.37</v>
      </c>
      <c r="ES395" s="340">
        <v>4329305.63</v>
      </c>
      <c r="ET395" s="307"/>
    </row>
    <row r="396" spans="1:150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307"/>
    </row>
    <row r="397" spans="1:150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0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50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50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143">
        <v>2681427.6666666665</v>
      </c>
      <c r="CS400" s="143">
        <v>2681427.6666666665</v>
      </c>
      <c r="CT400" s="143">
        <v>2681427.6666666665</v>
      </c>
      <c r="CU400" s="143">
        <v>2681427.6666666665</v>
      </c>
      <c r="CV400" s="143">
        <v>2681427.6666666665</v>
      </c>
      <c r="CW400" s="144">
        <v>2681427.6666666665</v>
      </c>
      <c r="CX400" s="315">
        <v>2778179.9974999996</v>
      </c>
      <c r="CY400" s="318">
        <v>2778179.9974999996</v>
      </c>
      <c r="CZ400" s="318">
        <v>2778179.9974999996</v>
      </c>
      <c r="DA400" s="318">
        <v>2778179.9974999996</v>
      </c>
      <c r="DB400" s="318">
        <v>2778179.9974999996</v>
      </c>
      <c r="DC400" s="318">
        <v>2778179.9974999996</v>
      </c>
      <c r="DD400" s="318">
        <v>2778179.9974999996</v>
      </c>
      <c r="DE400" s="318">
        <v>2778179.9974999996</v>
      </c>
      <c r="DF400" s="318">
        <v>2778179.9974999996</v>
      </c>
      <c r="DG400" s="318">
        <v>2778179.9974999996</v>
      </c>
      <c r="DH400" s="318">
        <v>2778179.9974999996</v>
      </c>
      <c r="DI400" s="316">
        <v>2778179.9974999996</v>
      </c>
      <c r="DJ400" s="142">
        <v>2817590</v>
      </c>
      <c r="DK400" s="143">
        <v>2817590</v>
      </c>
      <c r="DL400" s="143">
        <v>2817590</v>
      </c>
      <c r="DM400" s="143">
        <v>2817590</v>
      </c>
      <c r="DN400" s="143">
        <v>2817590</v>
      </c>
      <c r="DO400" s="143">
        <v>2817590</v>
      </c>
      <c r="DP400" s="143">
        <v>2817590</v>
      </c>
      <c r="DQ400" s="143">
        <v>2817590</v>
      </c>
      <c r="DR400" s="143">
        <v>2817590</v>
      </c>
      <c r="DS400" s="143">
        <v>2817590</v>
      </c>
      <c r="DT400" s="143">
        <v>2817590</v>
      </c>
      <c r="DU400" s="144">
        <v>2817590</v>
      </c>
      <c r="DV400" s="348">
        <v>3281229.6141666663</v>
      </c>
      <c r="DW400" s="348">
        <v>3281229.6141666663</v>
      </c>
      <c r="DX400" s="348">
        <v>3281229.6141666663</v>
      </c>
      <c r="DY400" s="348">
        <v>3281229.6141666663</v>
      </c>
      <c r="DZ400" s="348">
        <v>3281229.6141666663</v>
      </c>
      <c r="EA400" s="348">
        <v>3281229.6141666663</v>
      </c>
      <c r="EB400" s="348">
        <v>3281229.6141666663</v>
      </c>
      <c r="EC400" s="348">
        <v>3281229.6141666663</v>
      </c>
      <c r="ED400" s="348">
        <v>3281229.6141666663</v>
      </c>
      <c r="EE400" s="348">
        <v>3281229.6141666663</v>
      </c>
      <c r="EF400" s="348">
        <v>3281229.6141666663</v>
      </c>
      <c r="EG400" s="348">
        <v>3281229.6141666663</v>
      </c>
      <c r="EH400" s="348">
        <v>2809708.2333333329</v>
      </c>
      <c r="EI400" s="348">
        <v>2809708.2333333329</v>
      </c>
      <c r="EJ400" s="348">
        <v>2809708.2333333329</v>
      </c>
      <c r="EK400" s="107">
        <v>2809708.2333333329</v>
      </c>
      <c r="EL400" s="348">
        <v>2809708.2333333329</v>
      </c>
      <c r="EM400" s="348">
        <v>2809708.2333333329</v>
      </c>
      <c r="EN400" s="348">
        <v>2809708.2333333329</v>
      </c>
      <c r="EO400" s="348">
        <v>2809708.2333333329</v>
      </c>
      <c r="EP400" s="348">
        <v>2809708.2333333329</v>
      </c>
      <c r="EQ400" s="348">
        <v>2809708.2333333329</v>
      </c>
      <c r="ER400" s="348">
        <v>2809708.2333333329</v>
      </c>
      <c r="ES400" s="348">
        <v>2809708.2333333329</v>
      </c>
    </row>
    <row r="401" spans="1:149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0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</row>
    <row r="402" spans="1:149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49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219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Maj</v>
      </c>
    </row>
    <row r="243" spans="4:7">
      <c r="D243" s="49"/>
      <c r="E243" s="9"/>
      <c r="F243" s="10"/>
      <c r="G243" s="52" t="str">
        <f>+CONCATENATE("Jan - ",LEFT(G242,3))</f>
        <v>Jan - Maj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Maj</v>
      </c>
      <c r="F251" s="10" t="str">
        <f>+CONCATENATE("Analytics for period ",G242)</f>
        <v>Analytics for period Maj</v>
      </c>
      <c r="G251" s="52" t="str">
        <f>+IF(ISBLANK(IF($B$2=1,E251,F251)),"",IF($B$2=1,E251,F251))</f>
        <v>Analitika za period Maj</v>
      </c>
    </row>
    <row r="252" spans="4:7">
      <c r="D252" s="46"/>
      <c r="E252" s="9" t="str">
        <f>+CONCATENATE("Analitika za period ",G243)</f>
        <v>Analitika za period Jan - Maj</v>
      </c>
      <c r="F252" s="10" t="str">
        <f>+CONCATENATE("Analytics for period ",G243)</f>
        <v>Analytics for period Jan - Maj</v>
      </c>
      <c r="G252" s="52" t="str">
        <f>+IF(ISBLANK(IF($B$2=1,E252,F252)),"",IF($B$2=1,E252,F252))</f>
        <v>Analitika za period Jan - Maj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Maj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Maj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Maj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Maj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Maj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Maj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L35" sqref="L35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Maj</v>
      </c>
      <c r="E11" s="158"/>
      <c r="F11" s="158"/>
      <c r="G11" s="158"/>
      <c r="H11" s="319" t="str">
        <f>+Master!G271</f>
        <v>Prihodi za period Januar - Maj</v>
      </c>
      <c r="I11" s="320"/>
      <c r="J11" s="308"/>
      <c r="K11" s="159"/>
    </row>
    <row r="12" spans="3:11">
      <c r="C12" s="157"/>
      <c r="D12" s="161">
        <f>+'Analitika - 2017'!N10</f>
        <v>125292673.65999998</v>
      </c>
      <c r="E12" s="162">
        <f>+D12/'2017'!T7</f>
        <v>3.166195129384413E-2</v>
      </c>
      <c r="F12" s="158"/>
      <c r="G12" s="158"/>
      <c r="H12" s="321">
        <f>+'Analitika - 2017'!G10</f>
        <v>547943093.75</v>
      </c>
      <c r="I12" s="322">
        <f>+H12/'2017'!T7</f>
        <v>0.13846737434296977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Maj</v>
      </c>
      <c r="E15" s="158"/>
      <c r="F15" s="158"/>
      <c r="G15" s="158"/>
      <c r="H15" s="319" t="str">
        <f>+Master!G272</f>
        <v>Rashodi za period Januar - Maj</v>
      </c>
      <c r="I15" s="320"/>
      <c r="J15" s="308"/>
      <c r="K15" s="159"/>
    </row>
    <row r="16" spans="3:11">
      <c r="C16" s="157"/>
      <c r="D16" s="161">
        <f>+'Analitika - 2017'!N29</f>
        <v>114504021.78</v>
      </c>
      <c r="E16" s="162">
        <f>+D16/'2017'!T7</f>
        <v>2.8935616541999394E-2</v>
      </c>
      <c r="F16" s="158"/>
      <c r="G16" s="158"/>
      <c r="H16" s="321">
        <f>+'Analitika - 2017'!G29</f>
        <v>605514618.52999997</v>
      </c>
      <c r="I16" s="322">
        <f>+H16/'2017'!T7</f>
        <v>0.15301592503032446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Maj</v>
      </c>
      <c r="E19" s="158"/>
      <c r="F19" s="158"/>
      <c r="G19" s="158"/>
      <c r="H19" s="319" t="str">
        <f>+Master!G273</f>
        <v>Deficit za period Januar - Maj</v>
      </c>
      <c r="I19" s="320"/>
      <c r="J19" s="308"/>
      <c r="K19" s="159"/>
    </row>
    <row r="20" spans="3:11">
      <c r="C20" s="157"/>
      <c r="D20" s="161">
        <f>+'Analitika - 2017'!N55</f>
        <v>10788651.87999998</v>
      </c>
      <c r="E20" s="162">
        <f>+D20/'2017'!T7</f>
        <v>2.7263347518447336E-3</v>
      </c>
      <c r="F20" s="158"/>
      <c r="G20" s="158"/>
      <c r="H20" s="321">
        <f>+'Analitika - 2017'!G55</f>
        <v>-57571524.780000016</v>
      </c>
      <c r="I20" s="322">
        <f>+H20/'2017'!T7</f>
        <v>-1.45485506873547E-2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67" t="str">
        <f>+Master!G275</f>
        <v>Stanje javnog duga (% BDP)</v>
      </c>
      <c r="E22" s="468"/>
      <c r="F22" s="468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76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M17" sqref="M1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0" width="9.140625" style="5" customWidth="1"/>
    <col min="21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2017-05</v>
      </c>
      <c r="O6" s="169" t="str">
        <f>+CONCATENATE(N6,"p")</f>
        <v>2017-05p</v>
      </c>
      <c r="P6" s="153"/>
      <c r="Q6" s="153"/>
      <c r="R6" s="169" t="str">
        <f>+IF(Master!B3-10&gt;=0,CONCATENATE(Master!B4-1,"-",Master!B3),CONCATENATE(Master!B4-1,"-0",Master!B3))</f>
        <v>2016-05</v>
      </c>
      <c r="S6" s="153"/>
      <c r="T6" s="153"/>
    </row>
    <row r="7" spans="1:20">
      <c r="A7" s="170"/>
      <c r="B7" s="449" t="str">
        <f>+Master!G252</f>
        <v>Analitika za period Jan - Maj</v>
      </c>
      <c r="C7" s="450"/>
      <c r="D7" s="450"/>
      <c r="E7" s="450"/>
      <c r="F7" s="450"/>
      <c r="G7" s="458" t="str">
        <f>+Master!G243</f>
        <v>Jan - Maj</v>
      </c>
      <c r="H7" s="459"/>
      <c r="I7" s="459"/>
      <c r="J7" s="459"/>
      <c r="K7" s="459"/>
      <c r="L7" s="459"/>
      <c r="M7" s="460"/>
      <c r="N7" s="461" t="str">
        <f>+Master!G242</f>
        <v>Maj</v>
      </c>
      <c r="O7" s="459"/>
      <c r="P7" s="459"/>
      <c r="Q7" s="459"/>
      <c r="R7" s="459"/>
      <c r="S7" s="459"/>
      <c r="T7" s="462"/>
    </row>
    <row r="8" spans="1:20">
      <c r="A8" s="170"/>
      <c r="B8" s="451"/>
      <c r="C8" s="452"/>
      <c r="D8" s="452"/>
      <c r="E8" s="452"/>
      <c r="F8" s="453"/>
      <c r="G8" s="171" t="str">
        <f>+Master!G21</f>
        <v>Ostvarenje</v>
      </c>
      <c r="H8" s="171" t="str">
        <f>+Master!G20</f>
        <v>Plan</v>
      </c>
      <c r="I8" s="447" t="str">
        <f>+Master!G258</f>
        <v>Odstupanje</v>
      </c>
      <c r="J8" s="447"/>
      <c r="K8" s="171" t="str">
        <f>+CONCATENATE(Master!G243," ",Master!B4-1)</f>
        <v>Jan - Maj 2016</v>
      </c>
      <c r="L8" s="447" t="str">
        <f>+I8</f>
        <v>Odstupanje</v>
      </c>
      <c r="M8" s="457"/>
      <c r="N8" s="172" t="str">
        <f>+G8</f>
        <v>Ostvarenje</v>
      </c>
      <c r="O8" s="171" t="str">
        <f>+H8</f>
        <v>Plan</v>
      </c>
      <c r="P8" s="447" t="str">
        <f>+I8</f>
        <v>Odstupanje</v>
      </c>
      <c r="Q8" s="447"/>
      <c r="R8" s="171" t="str">
        <f>+CONCATENATE(Master!G242," ",Master!B4-1)</f>
        <v>Maj 2016</v>
      </c>
      <c r="S8" s="447" t="str">
        <f>+P8</f>
        <v>Odstupanje</v>
      </c>
      <c r="T8" s="448"/>
    </row>
    <row r="9" spans="1:20" ht="15.7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f>+SUMPRODUCT(('2017'!$G10:$R10)*('2017'!$G$5:$R$5&lt;=Master!$B$3)*($A10='2017'!$A$10:$A$65))</f>
        <v>547943093.75</v>
      </c>
      <c r="H10" s="177">
        <f>+SUMPRODUCT(('2017'!$G104:$R104)*('2017'!$G$5:$R$5&lt;=Master!$B$3))</f>
        <v>547549635.80909848</v>
      </c>
      <c r="I10" s="178">
        <f>+G10-H10</f>
        <v>393457.94090151787</v>
      </c>
      <c r="J10" s="179">
        <f>+IF(ISNUMBER(G10/H10-1),G10/H10-1,"…")</f>
        <v>7.1857949520892639E-4</v>
      </c>
      <c r="K10" s="177">
        <f>+SUMPRODUCT(('2016'!$G10:$R10)*('2016'!$G$5:$R$5&lt;=Master!$B$3))</f>
        <v>508812481.84000003</v>
      </c>
      <c r="L10" s="178">
        <f>+G10-K10</f>
        <v>39130611.909999967</v>
      </c>
      <c r="M10" s="180">
        <f>+IF(ISNUMBER(G10/K10-1),G10/K10-1,"…")</f>
        <v>7.6905762548303391E-2</v>
      </c>
      <c r="N10" s="177">
        <f>+INDEX('2017'!$1:$1048576,MATCH('Analitika - 2017'!$A10,'2017'!$A:$A,0),MATCH('Analitika - 2017'!$N$6,'2017'!$6:$6,0))</f>
        <v>125292673.65999998</v>
      </c>
      <c r="O10" s="177">
        <f>+INDEX('2017'!$1:$1048576,MATCH(CONCATENATE('Analitika - 2017'!$A10,"p"),'2017'!$A:$A,0),MATCH('Analitika - 2017'!$O$6,'2017'!$100:$100,0))</f>
        <v>119339959.72835988</v>
      </c>
      <c r="P10" s="178">
        <f>+N10-O10</f>
        <v>5952713.9316401035</v>
      </c>
      <c r="Q10" s="179">
        <f>+IF(ISNUMBER(N10/O10-1),N10/O10-1,"…")</f>
        <v>4.9880307863263917E-2</v>
      </c>
      <c r="R10" s="177">
        <f>+INDEX('2016'!$1:$1048576,MATCH('Analitika - 2017'!$A10,'2016'!$A:$A,0),MATCH('Analitika - 2017'!$R$6,'2016'!$6:$6,0))</f>
        <v>109929481.12</v>
      </c>
      <c r="S10" s="178">
        <f>+N10-R10</f>
        <v>15363192.539999977</v>
      </c>
      <c r="T10" s="180">
        <f>+IF(ISNUMBER(N10/R10-1),N10/R10-1,"…")</f>
        <v>0.13975498095210126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f>+SUMPRODUCT(('2017'!$G11:$R11)*('2017'!$G$5:$R$5&lt;=Master!$B$3)*($A11='2017'!$A$10:$A$65))</f>
        <v>354129862.21000004</v>
      </c>
      <c r="H11" s="342">
        <f>+SUMPRODUCT(('2017'!$G105:$R105)*('2017'!$G$5:$R$5&lt;=Master!$B$3))</f>
        <v>340986151.70285797</v>
      </c>
      <c r="I11" s="184">
        <f t="shared" ref="I11:I66" si="0">+G11-H11</f>
        <v>13143710.507142067</v>
      </c>
      <c r="J11" s="185">
        <f t="shared" ref="J11:J65" si="1">+IF(ISNUMBER(G11/H11-1),G11/H11-1,"…")</f>
        <v>3.8546170985253925E-2</v>
      </c>
      <c r="K11" s="183">
        <f>+SUMPRODUCT(('2015'!$G11:$R11)*('2015'!$G$5:$R$5&lt;=Master!$B$3))</f>
        <v>292757925.70999998</v>
      </c>
      <c r="L11" s="184">
        <f>+G11-K11</f>
        <v>61371936.50000006</v>
      </c>
      <c r="M11" s="186">
        <f t="shared" ref="M11:M66" si="2">+IF(ISNUMBER(G11/K11-1),G11/K11-1,"…")</f>
        <v>0.20963373186621714</v>
      </c>
      <c r="N11" s="183">
        <f>+INDEX('2017'!$1:$1048576,MATCH('Analitika - 2017'!$A11,'2017'!$A:$A,0),MATCH('Analitika - 2017'!$N$6,'2017'!$6:$6,0))</f>
        <v>77800336.479999989</v>
      </c>
      <c r="O11" s="342">
        <f>+INDEX('2017'!$1:$1048576,MATCH(CONCATENATE('Analitika - 2017'!$A11,"p"),'2017'!$A:$A,0),MATCH('Analitika - 2017'!$O$6,'2017'!$100:$100,0))</f>
        <v>72284574.424425364</v>
      </c>
      <c r="P11" s="184">
        <f t="shared" ref="P11:P66" si="3">+N11-O11</f>
        <v>5515762.0555746257</v>
      </c>
      <c r="Q11" s="185">
        <f t="shared" ref="Q11:Q66" si="4">+IF(ISNUMBER(N11/O11-1),N11/O11-1,"…")</f>
        <v>7.6306211933798496E-2</v>
      </c>
      <c r="R11" s="183">
        <f>+INDEX('2016'!$1:$1048576,MATCH('Analitika - 2017'!$A11,'2016'!$A:$A,0),MATCH('Analitika - 2017'!$R$6,'2016'!$6:$6,0))</f>
        <v>67796504.100000009</v>
      </c>
      <c r="S11" s="184">
        <f t="shared" ref="S11:S66" si="5">+N11-R11</f>
        <v>10003832.37999998</v>
      </c>
      <c r="T11" s="186">
        <f t="shared" ref="T11:T66" si="6">+IF(ISNUMBER(N11/R11-1),N11/R11-1,"…")</f>
        <v>0.14755675846123717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f>+SUMPRODUCT(('2017'!$G12:$R12)*('2017'!$G$5:$R$5&lt;=Master!$B$3)*($A12='2017'!$A$10:$A$65))</f>
        <v>39255278.100000001</v>
      </c>
      <c r="H12" s="189">
        <f>+SUMPRODUCT(('2017'!$G106:$R106)*('2017'!$G$5:$R$5&lt;=Master!$B$3))</f>
        <v>39990443.96189484</v>
      </c>
      <c r="I12" s="190">
        <f t="shared" si="0"/>
        <v>-735165.86189483851</v>
      </c>
      <c r="J12" s="191">
        <f t="shared" si="1"/>
        <v>-1.8383538392205523E-2</v>
      </c>
      <c r="K12" s="189">
        <f>+SUMPRODUCT(('2016'!$G12:$R12)*('2016'!$G$5:$R$5&lt;=Master!$B$3))</f>
        <v>39209702.719999999</v>
      </c>
      <c r="L12" s="190">
        <f>+G12-K12</f>
        <v>45575.380000002682</v>
      </c>
      <c r="M12" s="192">
        <f t="shared" si="2"/>
        <v>1.1623495420371999E-3</v>
      </c>
      <c r="N12" s="189">
        <f>+INDEX('2017'!$1:$1048576,MATCH('Analitika - 2017'!$A12,'2017'!$A:$A,0),MATCH('Analitika - 2017'!$N$6,'2017'!$6:$6,0))</f>
        <v>9825835.5299999993</v>
      </c>
      <c r="O12" s="189">
        <f>+INDEX('2017'!$1:$1048576,MATCH(CONCATENATE('Analitika - 2017'!$A12,"p"),'2017'!$A:$A,0),MATCH('Analitika - 2017'!$O$6,'2017'!$100:$100,0))</f>
        <v>8733654.6548668258</v>
      </c>
      <c r="P12" s="190">
        <f t="shared" si="3"/>
        <v>1092180.8751331735</v>
      </c>
      <c r="Q12" s="191">
        <f t="shared" si="4"/>
        <v>0.1250542777672754</v>
      </c>
      <c r="R12" s="189">
        <f>+INDEX('2016'!$1:$1048576,MATCH('Analitika - 2017'!$A12,'2016'!$A:$A,0),MATCH('Analitika - 2017'!$R$6,'2016'!$6:$6,0))</f>
        <v>8563145.8100000005</v>
      </c>
      <c r="S12" s="190">
        <f t="shared" si="5"/>
        <v>1262689.7199999988</v>
      </c>
      <c r="T12" s="192">
        <f t="shared" si="6"/>
        <v>0.14745629094922519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f>+SUMPRODUCT(('2017'!$G13:$R13)*('2017'!$G$5:$R$5&lt;=Master!$B$3)*($A13='2017'!$A$10:$A$65))</f>
        <v>36676993.840000004</v>
      </c>
      <c r="H13" s="189">
        <f>+SUMPRODUCT(('2017'!$G107:$R107)*('2017'!$G$5:$R$5&lt;=Master!$B$3))</f>
        <v>31778143.010404762</v>
      </c>
      <c r="I13" s="190">
        <f t="shared" si="0"/>
        <v>4898850.8295952417</v>
      </c>
      <c r="J13" s="191">
        <f t="shared" si="1"/>
        <v>0.15415786970281009</v>
      </c>
      <c r="K13" s="189">
        <f>+SUMPRODUCT(('2016'!$G13:$R13)*('2016'!$G$5:$R$5&lt;=Master!$B$3))</f>
        <v>30648432.419999994</v>
      </c>
      <c r="L13" s="190">
        <f t="shared" ref="L13:L66" si="7">+G13-K13</f>
        <v>6028561.4200000092</v>
      </c>
      <c r="M13" s="192">
        <f t="shared" si="2"/>
        <v>0.19670048168812704</v>
      </c>
      <c r="N13" s="189">
        <f>+INDEX('2017'!$1:$1048576,MATCH('Analitika - 2017'!$A13,'2017'!$A:$A,0),MATCH('Analitika - 2017'!$N$6,'2017'!$6:$6,0))</f>
        <v>2683183.94</v>
      </c>
      <c r="O13" s="189">
        <f>+INDEX('2017'!$1:$1048576,MATCH(CONCATENATE('Analitika - 2017'!$A13,"p"),'2017'!$A:$A,0),MATCH('Analitika - 2017'!$O$6,'2017'!$100:$100,0))</f>
        <v>2694890.5355524938</v>
      </c>
      <c r="P13" s="190">
        <f t="shared" si="3"/>
        <v>-11706.595552493818</v>
      </c>
      <c r="Q13" s="191">
        <f t="shared" si="4"/>
        <v>-4.3439966848575207E-3</v>
      </c>
      <c r="R13" s="189">
        <f>+INDEX('2016'!$1:$1048576,MATCH('Analitika - 2017'!$A13,'2016'!$A:$A,0),MATCH('Analitika - 2017'!$R$6,'2016'!$6:$6,0))</f>
        <v>2599087.38</v>
      </c>
      <c r="S13" s="190">
        <f t="shared" si="5"/>
        <v>84096.560000000056</v>
      </c>
      <c r="T13" s="192">
        <f t="shared" si="6"/>
        <v>3.2356188040126632E-2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f>+SUMPRODUCT(('2017'!$G14:$R14)*('2017'!$G$5:$R$5&lt;=Master!$B$3)*($A14='2017'!$A$10:$A$65))</f>
        <v>528006.03</v>
      </c>
      <c r="H14" s="189">
        <f>+SUMPRODUCT(('2017'!$G108:$R108)*('2017'!$G$5:$R$5&lt;=Master!$B$3))</f>
        <v>889286.27085999236</v>
      </c>
      <c r="I14" s="190">
        <f t="shared" si="0"/>
        <v>-361280.24085999234</v>
      </c>
      <c r="J14" s="191">
        <f t="shared" si="1"/>
        <v>-0.40625865112098603</v>
      </c>
      <c r="K14" s="189">
        <f>+SUMPRODUCT(('2016'!$G14:$R14)*('2016'!$G$5:$R$5&lt;=Master!$B$3))</f>
        <v>480929.45</v>
      </c>
      <c r="L14" s="190">
        <f t="shared" si="7"/>
        <v>47076.580000000016</v>
      </c>
      <c r="M14" s="192">
        <f t="shared" si="2"/>
        <v>9.7886665081541535E-2</v>
      </c>
      <c r="N14" s="189">
        <f>+INDEX('2017'!$1:$1048576,MATCH('Analitika - 2017'!$A14,'2017'!$A:$A,0),MATCH('Analitika - 2017'!$N$6,'2017'!$6:$6,0))</f>
        <v>178761.83</v>
      </c>
      <c r="O14" s="189">
        <f>+INDEX('2017'!$1:$1048576,MATCH(CONCATENATE('Analitika - 2017'!$A14,"p"),'2017'!$A:$A,0),MATCH('Analitika - 2017'!$O$6,'2017'!$100:$100,0))</f>
        <v>177348.58546757439</v>
      </c>
      <c r="P14" s="190">
        <f t="shared" si="3"/>
        <v>1413.2445324255968</v>
      </c>
      <c r="Q14" s="191">
        <f t="shared" si="4"/>
        <v>7.9687386775575408E-3</v>
      </c>
      <c r="R14" s="189">
        <f>+INDEX('2016'!$1:$1048576,MATCH('Analitika - 2017'!$A14,'2016'!$A:$A,0),MATCH('Analitika - 2017'!$R$6,'2016'!$6:$6,0))</f>
        <v>95910.8</v>
      </c>
      <c r="S14" s="190">
        <f t="shared" si="5"/>
        <v>82851.029999999984</v>
      </c>
      <c r="T14" s="192">
        <f t="shared" si="6"/>
        <v>0.86383420845201986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f>+SUMPRODUCT(('2017'!$G15:$R15)*('2017'!$G$5:$R$5&lt;=Master!$B$3)*($A15='2017'!$A$10:$A$65))</f>
        <v>190377539.38999999</v>
      </c>
      <c r="H15" s="189">
        <f>+SUMPRODUCT(('2017'!$G109:$R109)*('2017'!$G$5:$R$5&lt;=Master!$B$3))</f>
        <v>186094586.20108804</v>
      </c>
      <c r="I15" s="190">
        <f t="shared" si="0"/>
        <v>4282953.1889119446</v>
      </c>
      <c r="J15" s="191">
        <f t="shared" si="1"/>
        <v>2.3014926314320228E-2</v>
      </c>
      <c r="K15" s="189">
        <f>+SUMPRODUCT(('2016'!$G15:$R15)*('2016'!$G$5:$R$5&lt;=Master!$B$3))</f>
        <v>177409894.26999998</v>
      </c>
      <c r="L15" s="190">
        <f t="shared" si="7"/>
        <v>12967645.120000005</v>
      </c>
      <c r="M15" s="192">
        <f t="shared" si="2"/>
        <v>7.3094261023934459E-2</v>
      </c>
      <c r="N15" s="189">
        <f>+INDEX('2017'!$1:$1048576,MATCH('Analitika - 2017'!$A15,'2017'!$A:$A,0),MATCH('Analitika - 2017'!$N$6,'2017'!$6:$6,0))</f>
        <v>44329065.979999997</v>
      </c>
      <c r="O15" s="189">
        <f>+INDEX('2017'!$1:$1048576,MATCH(CONCATENATE('Analitika - 2017'!$A15,"p"),'2017'!$A:$A,0),MATCH('Analitika - 2017'!$O$6,'2017'!$100:$100,0))</f>
        <v>41434170.447496742</v>
      </c>
      <c r="P15" s="190">
        <f t="shared" si="3"/>
        <v>2894895.5325032547</v>
      </c>
      <c r="Q15" s="191">
        <f t="shared" si="4"/>
        <v>6.9867346232296734E-2</v>
      </c>
      <c r="R15" s="189">
        <f>+INDEX('2016'!$1:$1048576,MATCH('Analitika - 2017'!$A15,'2016'!$A:$A,0),MATCH('Analitika - 2017'!$R$6,'2016'!$6:$6,0))</f>
        <v>39500513.950000003</v>
      </c>
      <c r="S15" s="190">
        <f t="shared" si="5"/>
        <v>4828552.0299999937</v>
      </c>
      <c r="T15" s="192">
        <f t="shared" si="6"/>
        <v>0.12224023302866405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f>+SUMPRODUCT(('2017'!$G16:$R16)*('2017'!$G$5:$R$5&lt;=Master!$B$3)*($A16='2017'!$A$10:$A$65))</f>
        <v>74527726.439999998</v>
      </c>
      <c r="H16" s="189">
        <f>+SUMPRODUCT(('2017'!$G110:$R110)*('2017'!$G$5:$R$5&lt;=Master!$B$3))</f>
        <v>69793645.750365913</v>
      </c>
      <c r="I16" s="190">
        <f t="shared" si="0"/>
        <v>4734080.6896340847</v>
      </c>
      <c r="J16" s="191">
        <f t="shared" si="1"/>
        <v>6.7829680463558084E-2</v>
      </c>
      <c r="K16" s="189">
        <f>+SUMPRODUCT(('2016'!$G16:$R16)*('2016'!$G$5:$R$5&lt;=Master!$B$3))</f>
        <v>60571983.569999978</v>
      </c>
      <c r="L16" s="190">
        <f t="shared" si="7"/>
        <v>13955742.87000002</v>
      </c>
      <c r="M16" s="192">
        <f t="shared" si="2"/>
        <v>0.23039930422407373</v>
      </c>
      <c r="N16" s="189">
        <f>+INDEX('2017'!$1:$1048576,MATCH('Analitika - 2017'!$A16,'2017'!$A:$A,0),MATCH('Analitika - 2017'!$N$6,'2017'!$6:$6,0))</f>
        <v>17742897.41</v>
      </c>
      <c r="O16" s="189">
        <f>+INDEX('2017'!$1:$1048576,MATCH(CONCATENATE('Analitika - 2017'!$A16,"p"),'2017'!$A:$A,0),MATCH('Analitika - 2017'!$O$6,'2017'!$100:$100,0))</f>
        <v>16300422.349870451</v>
      </c>
      <c r="P16" s="190">
        <f t="shared" si="3"/>
        <v>1442475.0601295494</v>
      </c>
      <c r="Q16" s="191">
        <f t="shared" si="4"/>
        <v>8.8493109513877899E-2</v>
      </c>
      <c r="R16" s="189">
        <f>+INDEX('2016'!$1:$1048576,MATCH('Analitika - 2017'!$A16,'2016'!$A:$A,0),MATCH('Analitika - 2017'!$R$6,'2016'!$6:$6,0))</f>
        <v>14146687.77</v>
      </c>
      <c r="S16" s="190">
        <f t="shared" si="5"/>
        <v>3596209.6400000006</v>
      </c>
      <c r="T16" s="192">
        <f t="shared" si="6"/>
        <v>0.25420859627836401</v>
      </c>
    </row>
    <row r="17" spans="1:20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f>+SUMPRODUCT(('2017'!$G17:$R17)*('2017'!$G$5:$R$5&lt;=Master!$B$3)*($A17='2017'!$A$10:$A$65))</f>
        <v>9185676.1100000013</v>
      </c>
      <c r="H17" s="189">
        <f>+SUMPRODUCT(('2017'!$G111:$R111)*('2017'!$G$5:$R$5&lt;=Master!$B$3))</f>
        <v>8726115.8409140185</v>
      </c>
      <c r="I17" s="190">
        <f t="shared" si="0"/>
        <v>459560.26908598281</v>
      </c>
      <c r="J17" s="191">
        <f t="shared" si="1"/>
        <v>5.2664928756875895E-2</v>
      </c>
      <c r="K17" s="189">
        <f>+SUMPRODUCT(('2016'!$G17:$R17)*('2016'!$G$5:$R$5&lt;=Master!$B$3))</f>
        <v>8674995.0600000024</v>
      </c>
      <c r="L17" s="190">
        <f t="shared" si="7"/>
        <v>510681.04999999888</v>
      </c>
      <c r="M17" s="192">
        <f t="shared" si="2"/>
        <v>5.8868166087462814E-2</v>
      </c>
      <c r="N17" s="189">
        <f>+INDEX('2017'!$1:$1048576,MATCH('Analitika - 2017'!$A17,'2017'!$A:$A,0),MATCH('Analitika - 2017'!$N$6,'2017'!$6:$6,0))</f>
        <v>2283048.27</v>
      </c>
      <c r="O17" s="189">
        <f>+INDEX('2017'!$1:$1048576,MATCH(CONCATENATE('Analitika - 2017'!$A17,"p"),'2017'!$A:$A,0),MATCH('Analitika - 2017'!$O$6,'2017'!$100:$100,0))</f>
        <v>2086161.3669564624</v>
      </c>
      <c r="P17" s="190">
        <f t="shared" si="3"/>
        <v>196886.90304353763</v>
      </c>
      <c r="Q17" s="191">
        <f t="shared" si="4"/>
        <v>9.4377600008372919E-2</v>
      </c>
      <c r="R17" s="189">
        <f>+INDEX('2016'!$1:$1048576,MATCH('Analitika - 2017'!$A17,'2016'!$A:$A,0),MATCH('Analitika - 2017'!$R$6,'2016'!$6:$6,0))</f>
        <v>2073939.87</v>
      </c>
      <c r="S17" s="190">
        <f t="shared" si="5"/>
        <v>209108.39999999991</v>
      </c>
      <c r="T17" s="192">
        <f t="shared" si="6"/>
        <v>0.10082664547068076</v>
      </c>
    </row>
    <row r="18" spans="1:20">
      <c r="A18" s="176">
        <v>7118</v>
      </c>
      <c r="B18" s="421" t="str">
        <f>+VLOOKUP($A18,Master!$D$25:$G$223,4,FALSE)</f>
        <v>Ostali državni porezi</v>
      </c>
      <c r="C18" s="422"/>
      <c r="D18" s="422"/>
      <c r="E18" s="422"/>
      <c r="F18" s="422"/>
      <c r="G18" s="189">
        <f>+SUMPRODUCT(('2017'!$G18:$R18)*('2017'!$G$5:$R$5&lt;=Master!$B$3)*($A18='2017'!$A$10:$A$65))</f>
        <v>3578642.3</v>
      </c>
      <c r="H18" s="189">
        <f>+SUMPRODUCT(('2017'!$G112:$R112)*('2017'!$G$5:$R$5&lt;=Master!$B$3))</f>
        <v>3713930.6673304313</v>
      </c>
      <c r="I18" s="190">
        <f t="shared" si="0"/>
        <v>-135288.36733043147</v>
      </c>
      <c r="J18" s="191">
        <f t="shared" si="1"/>
        <v>-3.6427273271548821E-2</v>
      </c>
      <c r="K18" s="189">
        <f>+SUMPRODUCT(('2016'!$G18:$R18)*('2016'!$G$5:$R$5&lt;=Master!$B$3))</f>
        <v>3537707.4599999995</v>
      </c>
      <c r="L18" s="190">
        <f t="shared" si="7"/>
        <v>40934.840000000317</v>
      </c>
      <c r="M18" s="192">
        <f t="shared" si="2"/>
        <v>1.1571007626504093E-2</v>
      </c>
      <c r="N18" s="189">
        <f>+INDEX('2017'!$1:$1048576,MATCH('Analitika - 2017'!$A18,'2017'!$A:$A,0),MATCH('Analitika - 2017'!$N$6,'2017'!$6:$6,0))</f>
        <v>757543.52</v>
      </c>
      <c r="O18" s="189">
        <f>+INDEX('2017'!$1:$1048576,MATCH(CONCATENATE('Analitika - 2017'!$A18,"p"),'2017'!$A:$A,0),MATCH('Analitika - 2017'!$O$6,'2017'!$100:$100,0))</f>
        <v>857926.48421483312</v>
      </c>
      <c r="P18" s="190">
        <f t="shared" si="3"/>
        <v>-100382.9642148331</v>
      </c>
      <c r="Q18" s="191">
        <f t="shared" si="4"/>
        <v>-0.11700648722448836</v>
      </c>
      <c r="R18" s="189">
        <f>+INDEX('2016'!$1:$1048576,MATCH('Analitika - 2017'!$A18,'2016'!$A:$A,0),MATCH('Analitika - 2017'!$R$6,'2016'!$6:$6,0))</f>
        <v>817218.52</v>
      </c>
      <c r="S18" s="190">
        <f t="shared" si="5"/>
        <v>-59675</v>
      </c>
      <c r="T18" s="192">
        <f t="shared" si="6"/>
        <v>-7.3022084717316527E-2</v>
      </c>
    </row>
    <row r="19" spans="1:20">
      <c r="A19" s="176">
        <v>712</v>
      </c>
      <c r="B19" s="425" t="str">
        <f>+VLOOKUP($A19,Master!$D$25:$G$223,4,FALSE)</f>
        <v>Doprinosi</v>
      </c>
      <c r="C19" s="426"/>
      <c r="D19" s="426"/>
      <c r="E19" s="426"/>
      <c r="F19" s="426"/>
      <c r="G19" s="195">
        <f>+SUMPRODUCT(('2017'!$G19:$R19)*('2017'!$G$5:$R$5&lt;=Master!$B$3)*($A19='2017'!$A$10:$A$65))</f>
        <v>162245132.88999999</v>
      </c>
      <c r="H19" s="195">
        <f>+SUMPRODUCT(('2017'!$G113:$R113)*('2017'!$G$5:$R$5&lt;=Master!$B$3))</f>
        <v>169829202.0483194</v>
      </c>
      <c r="I19" s="196">
        <f t="shared" si="0"/>
        <v>-7584069.1583194137</v>
      </c>
      <c r="J19" s="197">
        <f t="shared" si="1"/>
        <v>-4.4657038170394348E-2</v>
      </c>
      <c r="K19" s="195">
        <f>+SUMPRODUCT(('2016'!$G19:$R19)*('2016'!$G$5:$R$5&lt;=Master!$B$3))</f>
        <v>160023989.32000002</v>
      </c>
      <c r="L19" s="196">
        <f t="shared" si="7"/>
        <v>2221143.569999963</v>
      </c>
      <c r="M19" s="198">
        <f t="shared" si="2"/>
        <v>1.3880066229059906E-2</v>
      </c>
      <c r="N19" s="195">
        <f>+INDEX('2017'!$1:$1048576,MATCH('Analitika - 2017'!$A19,'2017'!$A:$A,0),MATCH('Analitika - 2017'!$N$6,'2017'!$6:$6,0))</f>
        <v>40567246.729999997</v>
      </c>
      <c r="O19" s="195">
        <f>+INDEX('2017'!$1:$1048576,MATCH(CONCATENATE('Analitika - 2017'!$A19,"p"),'2017'!$A:$A,0),MATCH('Analitika - 2017'!$O$6,'2017'!$100:$100,0))</f>
        <v>37654579.061565474</v>
      </c>
      <c r="P19" s="196">
        <f t="shared" si="3"/>
        <v>2912667.668434523</v>
      </c>
      <c r="Q19" s="197">
        <f t="shared" si="4"/>
        <v>7.735228333511035E-2</v>
      </c>
      <c r="R19" s="195">
        <f>+INDEX('2016'!$1:$1048576,MATCH('Analitika - 2017'!$A19,'2016'!$A:$A,0),MATCH('Analitika - 2017'!$R$6,'2016'!$6:$6,0))</f>
        <v>35404319.93</v>
      </c>
      <c r="S19" s="196">
        <f t="shared" si="5"/>
        <v>5162926.799999997</v>
      </c>
      <c r="T19" s="198">
        <f t="shared" si="6"/>
        <v>0.14582759420906632</v>
      </c>
    </row>
    <row r="20" spans="1:20">
      <c r="A20" s="176">
        <v>7121</v>
      </c>
      <c r="B20" s="421" t="str">
        <f>+VLOOKUP($A20,Master!$D$25:$G$223,4,FALSE)</f>
        <v>Doprinosi za penzijsko i invalidsko osiguranje</v>
      </c>
      <c r="C20" s="422"/>
      <c r="D20" s="422"/>
      <c r="E20" s="422"/>
      <c r="F20" s="422"/>
      <c r="G20" s="189">
        <f>+SUMPRODUCT(('2017'!$G20:$R20)*('2017'!$G$5:$R$5&lt;=Master!$B$3)*($A20='2017'!$A$10:$A$65))</f>
        <v>97558953.180000007</v>
      </c>
      <c r="H20" s="189">
        <f>+SUMPRODUCT(('2017'!$G114:$R114)*('2017'!$G$5:$R$5&lt;=Master!$B$3))</f>
        <v>103161804.54624709</v>
      </c>
      <c r="I20" s="190">
        <f t="shared" si="0"/>
        <v>-5602851.3662470877</v>
      </c>
      <c r="J20" s="191">
        <f t="shared" si="1"/>
        <v>-5.4311296616911586E-2</v>
      </c>
      <c r="K20" s="189">
        <f>+SUMPRODUCT(('2016'!$G20:$R20)*('2016'!$G$5:$R$5&lt;=Master!$B$3))</f>
        <v>96113838.549999997</v>
      </c>
      <c r="L20" s="190">
        <f t="shared" si="7"/>
        <v>1445114.6300000101</v>
      </c>
      <c r="M20" s="192">
        <f t="shared" si="2"/>
        <v>1.5035448087407755E-2</v>
      </c>
      <c r="N20" s="189">
        <f>+INDEX('2017'!$1:$1048576,MATCH('Analitika - 2017'!$A20,'2017'!$A:$A,0),MATCH('Analitika - 2017'!$N$6,'2017'!$6:$6,0))</f>
        <v>24386054.73</v>
      </c>
      <c r="O20" s="189">
        <f>+INDEX('2017'!$1:$1048576,MATCH(CONCATENATE('Analitika - 2017'!$A20,"p"),'2017'!$A:$A,0),MATCH('Analitika - 2017'!$O$6,'2017'!$100:$100,0))</f>
        <v>22883149.755243029</v>
      </c>
      <c r="P20" s="190">
        <f t="shared" si="3"/>
        <v>1502904.974756971</v>
      </c>
      <c r="Q20" s="191">
        <f t="shared" si="4"/>
        <v>6.5677364822236628E-2</v>
      </c>
      <c r="R20" s="189">
        <f>+INDEX('2016'!$1:$1048576,MATCH('Analitika - 2017'!$A20,'2016'!$A:$A,0),MATCH('Analitika - 2017'!$R$6,'2016'!$6:$6,0))</f>
        <v>21319783.719999999</v>
      </c>
      <c r="S20" s="190">
        <f t="shared" si="5"/>
        <v>3066271.0100000016</v>
      </c>
      <c r="T20" s="192">
        <f t="shared" si="6"/>
        <v>0.14382280093786992</v>
      </c>
    </row>
    <row r="21" spans="1:20">
      <c r="A21" s="176">
        <v>7122</v>
      </c>
      <c r="B21" s="421" t="str">
        <f>+VLOOKUP($A21,Master!$D$25:$G$223,4,FALSE)</f>
        <v>Doprinosi za zdravstveno osiguranje</v>
      </c>
      <c r="C21" s="422"/>
      <c r="D21" s="422"/>
      <c r="E21" s="422"/>
      <c r="F21" s="422"/>
      <c r="G21" s="189">
        <f>+SUMPRODUCT(('2017'!$G21:$R21)*('2017'!$G$5:$R$5&lt;=Master!$B$3)*($A21='2017'!$A$10:$A$65))</f>
        <v>56127432.339999996</v>
      </c>
      <c r="H21" s="189">
        <f>+SUMPRODUCT(('2017'!$G115:$R115)*('2017'!$G$5:$R$5&lt;=Master!$B$3))</f>
        <v>57991343.660481267</v>
      </c>
      <c r="I21" s="190">
        <f t="shared" si="0"/>
        <v>-1863911.3204812706</v>
      </c>
      <c r="J21" s="191">
        <f t="shared" si="1"/>
        <v>-3.2141199062291292E-2</v>
      </c>
      <c r="K21" s="189">
        <f>+SUMPRODUCT(('2016'!$G21:$R21)*('2016'!$G$5:$R$5&lt;=Master!$B$3))</f>
        <v>55302072.100000009</v>
      </c>
      <c r="L21" s="190">
        <f t="shared" si="7"/>
        <v>825360.23999998719</v>
      </c>
      <c r="M21" s="192">
        <f t="shared" si="2"/>
        <v>1.4924580737364135E-2</v>
      </c>
      <c r="N21" s="189">
        <f>+INDEX('2017'!$1:$1048576,MATCH('Analitika - 2017'!$A21,'2017'!$A:$A,0),MATCH('Analitika - 2017'!$N$6,'2017'!$6:$6,0))</f>
        <v>14031927.32</v>
      </c>
      <c r="O21" s="189">
        <f>+INDEX('2017'!$1:$1048576,MATCH(CONCATENATE('Analitika - 2017'!$A21,"p"),'2017'!$A:$A,0),MATCH('Analitika - 2017'!$O$6,'2017'!$100:$100,0))</f>
        <v>12780246.575118551</v>
      </c>
      <c r="P21" s="190">
        <f t="shared" si="3"/>
        <v>1251680.7448814493</v>
      </c>
      <c r="Q21" s="191">
        <f t="shared" si="4"/>
        <v>9.7938700753888996E-2</v>
      </c>
      <c r="R21" s="189">
        <f>+INDEX('2016'!$1:$1048576,MATCH('Analitika - 2017'!$A21,'2016'!$A:$A,0),MATCH('Analitika - 2017'!$R$6,'2016'!$6:$6,0))</f>
        <v>12187579.609999999</v>
      </c>
      <c r="S21" s="190">
        <f t="shared" si="5"/>
        <v>1844347.7100000009</v>
      </c>
      <c r="T21" s="192">
        <f t="shared" si="6"/>
        <v>0.1513301056500751</v>
      </c>
    </row>
    <row r="22" spans="1:20">
      <c r="A22" s="176">
        <v>7123</v>
      </c>
      <c r="B22" s="421" t="str">
        <f>+VLOOKUP($A22,Master!$D$25:$G$223,4,FALSE)</f>
        <v>Doprinosi za osiguranje od nezaposlenosti</v>
      </c>
      <c r="C22" s="422"/>
      <c r="D22" s="422"/>
      <c r="E22" s="422"/>
      <c r="F22" s="422"/>
      <c r="G22" s="189">
        <f>+SUMPRODUCT(('2017'!$G22:$R22)*('2017'!$G$5:$R$5&lt;=Master!$B$3)*($A22='2017'!$A$10:$A$65))</f>
        <v>4470071</v>
      </c>
      <c r="H22" s="189">
        <f>+SUMPRODUCT(('2017'!$G116:$R116)*('2017'!$G$5:$R$5&lt;=Master!$B$3))</f>
        <v>4426852.2445252659</v>
      </c>
      <c r="I22" s="190">
        <f t="shared" si="0"/>
        <v>43218.75547473412</v>
      </c>
      <c r="J22" s="191">
        <f t="shared" si="1"/>
        <v>9.7628637884137337E-3</v>
      </c>
      <c r="K22" s="189">
        <f>+SUMPRODUCT(('2016'!$G22:$R22)*('2016'!$G$5:$R$5&lt;=Master!$B$3))</f>
        <v>4466393.2399999993</v>
      </c>
      <c r="L22" s="190">
        <f t="shared" si="7"/>
        <v>3677.7600000007078</v>
      </c>
      <c r="M22" s="192">
        <f t="shared" si="2"/>
        <v>8.2342951065372816E-4</v>
      </c>
      <c r="N22" s="189">
        <f>+INDEX('2017'!$1:$1048576,MATCH('Analitika - 2017'!$A22,'2017'!$A:$A,0),MATCH('Analitika - 2017'!$N$6,'2017'!$6:$6,0))</f>
        <v>1119552.6000000001</v>
      </c>
      <c r="O22" s="189">
        <f>+INDEX('2017'!$1:$1048576,MATCH(CONCATENATE('Analitika - 2017'!$A22,"p"),'2017'!$A:$A,0),MATCH('Analitika - 2017'!$O$6,'2017'!$100:$100,0))</f>
        <v>1051463.2957267121</v>
      </c>
      <c r="P22" s="190">
        <f t="shared" si="3"/>
        <v>68089.304273287999</v>
      </c>
      <c r="Q22" s="191">
        <f t="shared" si="4"/>
        <v>6.4756710529042749E-2</v>
      </c>
      <c r="R22" s="189">
        <f>+INDEX('2016'!$1:$1048576,MATCH('Analitika - 2017'!$A22,'2016'!$A:$A,0),MATCH('Analitika - 2017'!$R$6,'2016'!$6:$6,0))</f>
        <v>981014.58</v>
      </c>
      <c r="S22" s="190">
        <f t="shared" si="5"/>
        <v>138538.02000000014</v>
      </c>
      <c r="T22" s="192">
        <f t="shared" si="6"/>
        <v>0.141219124388549</v>
      </c>
    </row>
    <row r="23" spans="1:20">
      <c r="A23" s="176">
        <v>7124</v>
      </c>
      <c r="B23" s="421" t="str">
        <f>+VLOOKUP($A23,Master!$D$25:$G$223,4,FALSE)</f>
        <v>Ostali doprinosi</v>
      </c>
      <c r="C23" s="422"/>
      <c r="D23" s="422"/>
      <c r="E23" s="422"/>
      <c r="F23" s="422"/>
      <c r="G23" s="189">
        <f>+SUMPRODUCT(('2017'!$G23:$R23)*('2017'!$G$5:$R$5&lt;=Master!$B$3)*($A23='2017'!$A$10:$A$65))</f>
        <v>4088676.37</v>
      </c>
      <c r="H23" s="189">
        <f>+SUMPRODUCT(('2017'!$G117:$R117)*('2017'!$G$5:$R$5&lt;=Master!$B$3))</f>
        <v>4249201.5970657878</v>
      </c>
      <c r="I23" s="190">
        <f t="shared" si="0"/>
        <v>-160525.22706578765</v>
      </c>
      <c r="J23" s="191">
        <f t="shared" si="1"/>
        <v>-3.7777738570143549E-2</v>
      </c>
      <c r="K23" s="189">
        <f>+SUMPRODUCT(('2016'!$G23:$R23)*('2016'!$G$5:$R$5&lt;=Master!$B$3))</f>
        <v>4141685.43</v>
      </c>
      <c r="L23" s="190">
        <f t="shared" si="7"/>
        <v>-53009.060000000056</v>
      </c>
      <c r="M23" s="192">
        <f t="shared" si="2"/>
        <v>-1.2798910225299331E-2</v>
      </c>
      <c r="N23" s="189">
        <f>+INDEX('2017'!$1:$1048576,MATCH('Analitika - 2017'!$A23,'2017'!$A:$A,0),MATCH('Analitika - 2017'!$N$6,'2017'!$6:$6,0))</f>
        <v>1029712.08</v>
      </c>
      <c r="O23" s="189">
        <f>+INDEX('2017'!$1:$1048576,MATCH(CONCATENATE('Analitika - 2017'!$A23,"p"),'2017'!$A:$A,0),MATCH('Analitika - 2017'!$O$6,'2017'!$100:$100,0))</f>
        <v>939719.43547718064</v>
      </c>
      <c r="P23" s="190">
        <f t="shared" si="3"/>
        <v>89992.644522819319</v>
      </c>
      <c r="Q23" s="191">
        <f t="shared" si="4"/>
        <v>9.5765439263392427E-2</v>
      </c>
      <c r="R23" s="189">
        <f>+INDEX('2016'!$1:$1048576,MATCH('Analitika - 2017'!$A23,'2016'!$A:$A,0),MATCH('Analitika - 2017'!$R$6,'2016'!$6:$6,0))</f>
        <v>915942.02</v>
      </c>
      <c r="S23" s="190">
        <f t="shared" si="5"/>
        <v>113770.05999999994</v>
      </c>
      <c r="T23" s="192">
        <f t="shared" si="6"/>
        <v>0.12421098444637346</v>
      </c>
    </row>
    <row r="24" spans="1:20">
      <c r="A24" s="176">
        <v>713</v>
      </c>
      <c r="B24" s="423" t="str">
        <f>+VLOOKUP($A24,Master!$D$25:$G$223,4,FALSE)</f>
        <v>Takse</v>
      </c>
      <c r="C24" s="424"/>
      <c r="D24" s="424"/>
      <c r="E24" s="424"/>
      <c r="F24" s="424"/>
      <c r="G24" s="201">
        <f>+SUMPRODUCT(('2017'!$G24:$R24)*('2017'!$G$5:$R$5&lt;=Master!$B$3)*($A24='2017'!$A$10:$A$65))</f>
        <v>4162122.51</v>
      </c>
      <c r="H24" s="201">
        <f>+SUMPRODUCT(('2017'!$G118:$R118)*('2017'!$G$5:$R$5&lt;=Master!$B$3))</f>
        <v>4859809.6401462909</v>
      </c>
      <c r="I24" s="202">
        <f t="shared" si="0"/>
        <v>-697687.13014629111</v>
      </c>
      <c r="J24" s="203">
        <f t="shared" si="1"/>
        <v>-0.14356264582521572</v>
      </c>
      <c r="K24" s="201">
        <f>+SUMPRODUCT(('2016'!$G24:$R24)*('2016'!$G$5:$R$5&lt;=Master!$B$3))</f>
        <v>4520433.8800000008</v>
      </c>
      <c r="L24" s="202">
        <f t="shared" si="7"/>
        <v>-358311.37000000104</v>
      </c>
      <c r="M24" s="204">
        <f t="shared" si="2"/>
        <v>-7.9264818270055271E-2</v>
      </c>
      <c r="N24" s="201">
        <f>+INDEX('2017'!$1:$1048576,MATCH('Analitika - 2017'!$A24,'2017'!$A:$A,0),MATCH('Analitika - 2017'!$N$6,'2017'!$6:$6,0))</f>
        <v>979495.57</v>
      </c>
      <c r="O24" s="201">
        <f>+INDEX('2017'!$1:$1048576,MATCH(CONCATENATE('Analitika - 2017'!$A24,"p"),'2017'!$A:$A,0),MATCH('Analitika - 2017'!$O$6,'2017'!$100:$100,0))</f>
        <v>1178564.1353407067</v>
      </c>
      <c r="P24" s="202">
        <f t="shared" si="3"/>
        <v>-199068.56534070673</v>
      </c>
      <c r="Q24" s="203">
        <f t="shared" si="4"/>
        <v>-0.16890770673516109</v>
      </c>
      <c r="R24" s="201">
        <f>+INDEX('2016'!$1:$1048576,MATCH('Analitika - 2017'!$A24,'2016'!$A:$A,0),MATCH('Analitika - 2017'!$R$6,'2016'!$6:$6,0))</f>
        <v>1105782.3500000001</v>
      </c>
      <c r="S24" s="202">
        <f t="shared" si="5"/>
        <v>-126286.78000000014</v>
      </c>
      <c r="T24" s="204">
        <f t="shared" si="6"/>
        <v>-0.11420581997894985</v>
      </c>
    </row>
    <row r="25" spans="1:20">
      <c r="A25" s="176">
        <v>714</v>
      </c>
      <c r="B25" s="423" t="str">
        <f>+VLOOKUP($A25,Master!$D$25:$G$223,4,FALSE)</f>
        <v>Naknade</v>
      </c>
      <c r="C25" s="424"/>
      <c r="D25" s="424"/>
      <c r="E25" s="424"/>
      <c r="F25" s="424"/>
      <c r="G25" s="201">
        <f>+SUMPRODUCT(('2017'!$G25:$R25)*('2017'!$G$5:$R$5&lt;=Master!$B$3)*($A25='2017'!$A$10:$A$65))</f>
        <v>7956353.669999999</v>
      </c>
      <c r="H25" s="201">
        <f>+SUMPRODUCT(('2017'!$G119:$R119)*('2017'!$G$5:$R$5&lt;=Master!$B$3))</f>
        <v>7603011.7443508059</v>
      </c>
      <c r="I25" s="202">
        <f t="shared" si="0"/>
        <v>353341.92564919312</v>
      </c>
      <c r="J25" s="203">
        <f t="shared" si="1"/>
        <v>4.6473941844392685E-2</v>
      </c>
      <c r="K25" s="201">
        <f>+SUMPRODUCT(('2016'!$G25:$R25)*('2016'!$G$5:$R$5&lt;=Master!$B$3))</f>
        <v>7518014.6500000004</v>
      </c>
      <c r="L25" s="202">
        <f t="shared" si="7"/>
        <v>438339.01999999862</v>
      </c>
      <c r="M25" s="204">
        <f t="shared" si="2"/>
        <v>5.8305156401896374E-2</v>
      </c>
      <c r="N25" s="201">
        <f>+INDEX('2017'!$1:$1048576,MATCH('Analitika - 2017'!$A25,'2017'!$A:$A,0),MATCH('Analitika - 2017'!$N$6,'2017'!$6:$6,0))</f>
        <v>1513570.26</v>
      </c>
      <c r="O25" s="201">
        <f>+INDEX('2017'!$1:$1048576,MATCH(CONCATENATE('Analitika - 2017'!$A25,"p"),'2017'!$A:$A,0),MATCH('Analitika - 2017'!$O$6,'2017'!$100:$100,0))</f>
        <v>1379961.0350704237</v>
      </c>
      <c r="P25" s="202">
        <f t="shared" si="3"/>
        <v>133609.22492957627</v>
      </c>
      <c r="Q25" s="203">
        <f t="shared" si="4"/>
        <v>9.6821012719940924E-2</v>
      </c>
      <c r="R25" s="201">
        <f>+INDEX('2016'!$1:$1048576,MATCH('Analitika - 2017'!$A25,'2016'!$A:$A,0),MATCH('Analitika - 2017'!$R$6,'2016'!$6:$6,0))</f>
        <v>1395110.23</v>
      </c>
      <c r="S25" s="202">
        <f t="shared" si="5"/>
        <v>118460.03000000003</v>
      </c>
      <c r="T25" s="204">
        <f t="shared" si="6"/>
        <v>8.4910874748585385E-2</v>
      </c>
    </row>
    <row r="26" spans="1:20">
      <c r="A26" s="176">
        <v>715</v>
      </c>
      <c r="B26" s="423" t="str">
        <f>+VLOOKUP($A26,Master!$D$25:$G$223,4,FALSE)</f>
        <v>Ostali prihodi</v>
      </c>
      <c r="C26" s="424"/>
      <c r="D26" s="424"/>
      <c r="E26" s="424"/>
      <c r="F26" s="424"/>
      <c r="G26" s="201">
        <f>+SUMPRODUCT(('2017'!$G26:$R26)*('2017'!$G$5:$R$5&lt;=Master!$B$3)*($A26='2017'!$A$10:$A$65))</f>
        <v>11886035.810000001</v>
      </c>
      <c r="H26" s="201">
        <f>+SUMPRODUCT(('2017'!$G120:$R120)*('2017'!$G$5:$R$5&lt;=Master!$B$3))</f>
        <v>14735666.037361344</v>
      </c>
      <c r="I26" s="202">
        <f t="shared" si="0"/>
        <v>-2849630.2273613438</v>
      </c>
      <c r="J26" s="203">
        <f t="shared" si="1"/>
        <v>-0.19338319829835227</v>
      </c>
      <c r="K26" s="201">
        <f>+SUMPRODUCT(('2016'!$G26:$R26)*('2016'!$G$5:$R$5&lt;=Master!$B$3))</f>
        <v>12246205.210000003</v>
      </c>
      <c r="L26" s="202">
        <f t="shared" si="7"/>
        <v>-360169.40000000224</v>
      </c>
      <c r="M26" s="204">
        <f t="shared" si="2"/>
        <v>-2.9410694482393196E-2</v>
      </c>
      <c r="N26" s="201">
        <f>+INDEX('2017'!$1:$1048576,MATCH('Analitika - 2017'!$A26,'2017'!$A:$A,0),MATCH('Analitika - 2017'!$N$6,'2017'!$6:$6,0))</f>
        <v>2195271.4</v>
      </c>
      <c r="O26" s="201">
        <f>+INDEX('2017'!$1:$1048576,MATCH(CONCATENATE('Analitika - 2017'!$A26,"p"),'2017'!$A:$A,0),MATCH('Analitika - 2017'!$O$6,'2017'!$100:$100,0))</f>
        <v>2759327.8496096786</v>
      </c>
      <c r="P26" s="202">
        <f t="shared" si="3"/>
        <v>-564056.4496096787</v>
      </c>
      <c r="Q26" s="203">
        <f t="shared" si="4"/>
        <v>-0.20441806133673734</v>
      </c>
      <c r="R26" s="201">
        <f>+INDEX('2016'!$1:$1048576,MATCH('Analitika - 2017'!$A26,'2016'!$A:$A,0),MATCH('Analitika - 2017'!$R$6,'2016'!$6:$6,0))</f>
        <v>2337905.56</v>
      </c>
      <c r="S26" s="202">
        <f t="shared" si="5"/>
        <v>-142634.16000000015</v>
      </c>
      <c r="T26" s="204">
        <f t="shared" si="6"/>
        <v>-6.1009376272667004E-2</v>
      </c>
    </row>
    <row r="27" spans="1:20">
      <c r="A27" s="176">
        <v>73</v>
      </c>
      <c r="B27" s="423" t="str">
        <f>+VLOOKUP($A27,Master!$D$25:$G$223,4,FALSE)</f>
        <v>Primici od otplate kredita i sredstva prenesena iz prethodne godine</v>
      </c>
      <c r="C27" s="424"/>
      <c r="D27" s="424"/>
      <c r="E27" s="424"/>
      <c r="F27" s="424"/>
      <c r="G27" s="201">
        <f>+SUMPRODUCT(('2017'!$G27:$R27)*('2017'!$G$5:$R$5&lt;=Master!$B$3)*($A27='2017'!$A$10:$A$65))</f>
        <v>1183894.05</v>
      </c>
      <c r="H27" s="201">
        <f>+SUMPRODUCT(('2017'!$G121:$R121)*('2017'!$G$5:$R$5&lt;=Master!$B$3))</f>
        <v>1704319.0020154575</v>
      </c>
      <c r="I27" s="202">
        <f t="shared" si="0"/>
        <v>-520424.95201545744</v>
      </c>
      <c r="J27" s="203">
        <f t="shared" si="1"/>
        <v>-0.30535653912209182</v>
      </c>
      <c r="K27" s="201">
        <f>+SUMPRODUCT(('2016'!$G27:$R27)*('2016'!$G$5:$R$5&lt;=Master!$B$3))</f>
        <v>1374520.74</v>
      </c>
      <c r="L27" s="202">
        <f t="shared" si="7"/>
        <v>-190626.68999999994</v>
      </c>
      <c r="M27" s="204">
        <f t="shared" si="2"/>
        <v>-0.13868593208713598</v>
      </c>
      <c r="N27" s="201">
        <f>+INDEX('2017'!$1:$1048576,MATCH('Analitika - 2017'!$A27,'2017'!$A:$A,0),MATCH('Analitika - 2017'!$N$6,'2017'!$6:$6,0))</f>
        <v>340170.16</v>
      </c>
      <c r="O27" s="201">
        <f>+INDEX('2017'!$1:$1048576,MATCH(CONCATENATE('Analitika - 2017'!$A27,"p"),'2017'!$A:$A,0),MATCH('Analitika - 2017'!$O$6,'2017'!$100:$100,0))</f>
        <v>1142721.3076513549</v>
      </c>
      <c r="P27" s="202">
        <f t="shared" si="3"/>
        <v>-802551.14765135502</v>
      </c>
      <c r="Q27" s="203">
        <f t="shared" si="4"/>
        <v>-0.70231572849625534</v>
      </c>
      <c r="R27" s="201">
        <f>+INDEX('2016'!$1:$1048576,MATCH('Analitika - 2017'!$A27,'2016'!$A:$A,0),MATCH('Analitika - 2017'!$R$6,'2016'!$6:$6,0))</f>
        <v>921596.33</v>
      </c>
      <c r="S27" s="202">
        <f t="shared" si="5"/>
        <v>-581426.16999999993</v>
      </c>
      <c r="T27" s="204">
        <f t="shared" si="6"/>
        <v>-0.63089028360171528</v>
      </c>
    </row>
    <row r="28" spans="1:20" ht="15.75" thickBot="1">
      <c r="A28" s="176">
        <v>74</v>
      </c>
      <c r="B28" s="427" t="str">
        <f>+VLOOKUP($A28,Master!$D$25:$G$223,4,FALSE)</f>
        <v>Donacije i transferi</v>
      </c>
      <c r="C28" s="428"/>
      <c r="D28" s="428"/>
      <c r="E28" s="428"/>
      <c r="F28" s="428"/>
      <c r="G28" s="201">
        <f>+SUMPRODUCT(('2017'!$G28:$R28)*('2017'!$G$5:$R$5&lt;=Master!$B$3)*($A28='2017'!$A$10:$A$65))</f>
        <v>6379692.6100000013</v>
      </c>
      <c r="H28" s="201">
        <f>+SUMPRODUCT(('2017'!$G122:$R122)*('2017'!$G$5:$R$5&lt;=Master!$B$3))</f>
        <v>7831475.6340470919</v>
      </c>
      <c r="I28" s="202">
        <f t="shared" si="0"/>
        <v>-1451783.0240470907</v>
      </c>
      <c r="J28" s="203">
        <f t="shared" si="1"/>
        <v>-0.18537796602922574</v>
      </c>
      <c r="K28" s="201">
        <f>+SUMPRODUCT(('2016'!$G28:$R28)*('2016'!$G$5:$R$5&lt;=Master!$B$3))</f>
        <v>2595673.0900000003</v>
      </c>
      <c r="L28" s="202">
        <f t="shared" si="7"/>
        <v>3784019.5200000009</v>
      </c>
      <c r="M28" s="204">
        <f t="shared" si="2"/>
        <v>1.4578182185492397</v>
      </c>
      <c r="N28" s="201">
        <f>+INDEX('2017'!$1:$1048576,MATCH('Analitika - 2017'!$A28,'2017'!$A:$A,0),MATCH('Analitika - 2017'!$N$6,'2017'!$6:$6,0))</f>
        <v>1896583.06</v>
      </c>
      <c r="O28" s="201">
        <f>+INDEX('2017'!$1:$1048576,MATCH(CONCATENATE('Analitika - 2017'!$A28,"p"),'2017'!$A:$A,0),MATCH('Analitika - 2017'!$O$6,'2017'!$100:$100,0))</f>
        <v>2940231.9146968834</v>
      </c>
      <c r="P28" s="202">
        <f t="shared" si="3"/>
        <v>-1043648.8546968834</v>
      </c>
      <c r="Q28" s="203">
        <f t="shared" si="4"/>
        <v>-0.35495460391411882</v>
      </c>
      <c r="R28" s="201">
        <f>+INDEX('2016'!$1:$1048576,MATCH('Analitika - 2017'!$A28,'2016'!$A:$A,0),MATCH('Analitika - 2017'!$R$6,'2016'!$6:$6,0))</f>
        <v>968262.62</v>
      </c>
      <c r="S28" s="202">
        <f t="shared" si="5"/>
        <v>928320.44000000006</v>
      </c>
      <c r="T28" s="204">
        <f t="shared" si="6"/>
        <v>0.95874860892595448</v>
      </c>
    </row>
    <row r="29" spans="1:20" ht="15.75" thickBot="1">
      <c r="A29" s="176">
        <v>4</v>
      </c>
      <c r="B29" s="429" t="str">
        <f>+VLOOKUP($A29,Master!$D$25:$G$223,4,FALSE)</f>
        <v>Budžetki izdaci</v>
      </c>
      <c r="C29" s="430"/>
      <c r="D29" s="430"/>
      <c r="E29" s="430"/>
      <c r="F29" s="430"/>
      <c r="G29" s="177">
        <f>+SUMPRODUCT(('2017'!$G29:$R29)*('2017'!$G$5:$R$5&lt;=Master!$B$3)*($A29='2017'!$A$10:$A$65))</f>
        <v>605514618.52999997</v>
      </c>
      <c r="H29" s="177">
        <f>+SUMPRODUCT(('2017'!$G123:$R123)*('2017'!$G$5:$R$5&lt;=Master!$B$3))</f>
        <v>718766195.98249984</v>
      </c>
      <c r="I29" s="178">
        <f t="shared" si="0"/>
        <v>-113251577.45249987</v>
      </c>
      <c r="J29" s="179">
        <f t="shared" si="1"/>
        <v>-0.15756386163611025</v>
      </c>
      <c r="K29" s="177">
        <f>+SUMPRODUCT(('2016'!$G29:$R29)*('2016'!$G$5:$R$5&lt;=Master!$B$3))</f>
        <v>625515537.78999996</v>
      </c>
      <c r="L29" s="178">
        <f t="shared" si="7"/>
        <v>-20000919.25999999</v>
      </c>
      <c r="M29" s="180">
        <f t="shared" si="2"/>
        <v>-3.1975095823622457E-2</v>
      </c>
      <c r="N29" s="177">
        <f>+INDEX('2017'!$1:$1048576,MATCH('Analitika - 2017'!$A29,'2017'!$A:$A,0),MATCH('Analitika - 2017'!$N$6,'2017'!$6:$6,0))</f>
        <v>114504021.78</v>
      </c>
      <c r="O29" s="177">
        <f>+INDEX('2017'!$1:$1048576,MATCH(CONCATENATE('Analitika - 2017'!$A29,"p"),'2017'!$A:$A,0),MATCH('Analitika - 2017'!$O$6,'2017'!$100:$100,0))</f>
        <v>144356862.60249999</v>
      </c>
      <c r="P29" s="178">
        <f t="shared" si="3"/>
        <v>-29852840.82249999</v>
      </c>
      <c r="Q29" s="179">
        <f t="shared" si="4"/>
        <v>-0.20679890297077563</v>
      </c>
      <c r="R29" s="177">
        <f>+INDEX('2016'!$1:$1048576,MATCH('Analitika - 2017'!$A29,'2016'!$A:$A,0),MATCH('Analitika - 2017'!$R$6,'2016'!$6:$6,0))</f>
        <v>134944778.18000001</v>
      </c>
      <c r="S29" s="178">
        <f t="shared" si="5"/>
        <v>-20440756.400000006</v>
      </c>
      <c r="T29" s="180">
        <f t="shared" si="6"/>
        <v>-0.15147497128591747</v>
      </c>
    </row>
    <row r="30" spans="1:20" ht="15.75" thickBot="1">
      <c r="A30" s="176">
        <v>41</v>
      </c>
      <c r="B30" s="431" t="str">
        <f>+VLOOKUP($A30,Master!$D$25:$G$223,4,FALSE)</f>
        <v>Tekući izdaci</v>
      </c>
      <c r="C30" s="432"/>
      <c r="D30" s="432"/>
      <c r="E30" s="432"/>
      <c r="F30" s="432"/>
      <c r="G30" s="390">
        <f>+SUMPRODUCT(('2017'!$G30:$R30)*('2017'!$G$5:$R$5&lt;=Master!$B$3)*($A30='2017'!$A$10:$A$65))</f>
        <v>587120301.82999992</v>
      </c>
      <c r="H30" s="343">
        <f>+SUMPRODUCT(('2017'!$G124:$R124)*('2017'!$G$5:$R$5&lt;=Master!$B$3))</f>
        <v>647996545.98249996</v>
      </c>
      <c r="I30" s="208">
        <f t="shared" si="0"/>
        <v>-60876244.152500033</v>
      </c>
      <c r="J30" s="209">
        <f t="shared" si="1"/>
        <v>-9.394532197729355E-2</v>
      </c>
      <c r="K30" s="343">
        <f>+SUMPRODUCT(('2016'!$G30:$R30)*('2016'!$G$5:$R$5&lt;=Master!$B$3))</f>
        <v>614658248.70000005</v>
      </c>
      <c r="L30" s="208">
        <f t="shared" si="7"/>
        <v>-27537946.870000124</v>
      </c>
      <c r="M30" s="210">
        <f t="shared" si="2"/>
        <v>-4.4802045572873705E-2</v>
      </c>
      <c r="N30" s="390">
        <f>+INDEX('2017'!$1:$1048576,MATCH('Analitika - 2017'!$A30,'2017'!$A:$A,0),MATCH('Analitika - 2017'!$N$6,'2017'!$6:$6,0))</f>
        <v>111992277.61</v>
      </c>
      <c r="O30" s="343">
        <f>+INDEX('2017'!$1:$1048576,MATCH(CONCATENATE('Analitika - 2017'!$A30,"p"),'2017'!$A:$A,0),MATCH('Analitika - 2017'!$O$6,'2017'!$100:$100,0))</f>
        <v>130202932.60249999</v>
      </c>
      <c r="P30" s="208">
        <f t="shared" si="3"/>
        <v>-18210654.992499992</v>
      </c>
      <c r="Q30" s="209">
        <f t="shared" si="4"/>
        <v>-0.13986363155195425</v>
      </c>
      <c r="R30" s="343">
        <f>+INDEX('2016'!$1:$1048576,MATCH('Analitika - 2017'!$A30,'2016'!$A:$A,0),MATCH('Analitika - 2017'!$R$6,'2016'!$6:$6,0))</f>
        <v>130219629.74000001</v>
      </c>
      <c r="S30" s="208">
        <f t="shared" si="5"/>
        <v>-18227352.13000001</v>
      </c>
      <c r="T30" s="210">
        <f t="shared" si="6"/>
        <v>-0.13997392072449621</v>
      </c>
    </row>
    <row r="31" spans="1:20">
      <c r="A31" s="176">
        <v>40</v>
      </c>
      <c r="B31" s="433" t="str">
        <f>+VLOOKUP($A31,Master!$D$25:$G$223,4,FALSE)</f>
        <v>Tekući budžetski izdaci</v>
      </c>
      <c r="C31" s="434"/>
      <c r="D31" s="434"/>
      <c r="E31" s="434"/>
      <c r="F31" s="434"/>
      <c r="G31" s="391">
        <f>+SUMPRODUCT(('2017'!$G31:$R31)*('2017'!$G$5:$R$5&lt;=Master!$B$3)*($A31='2017'!$A$10:$A$65))</f>
        <v>290995298.25999999</v>
      </c>
      <c r="H31" s="392">
        <f>+SUMPRODUCT(('2017'!$G125:$R125)*('2017'!$G$5:$R$5&lt;=Master!$B$3))</f>
        <v>334687471.4325</v>
      </c>
      <c r="I31" s="214">
        <f t="shared" si="0"/>
        <v>-43692173.172500014</v>
      </c>
      <c r="J31" s="215">
        <f t="shared" si="1"/>
        <v>-0.13054618682167163</v>
      </c>
      <c r="K31" s="392">
        <f>+SUMPRODUCT(('2016'!$G31:$R31)*('2016'!$G$5:$R$5&lt;=Master!$B$3))</f>
        <v>304065707.13</v>
      </c>
      <c r="L31" s="214">
        <f t="shared" si="7"/>
        <v>-13070408.870000005</v>
      </c>
      <c r="M31" s="216">
        <f t="shared" si="2"/>
        <v>-4.2985475058559985E-2</v>
      </c>
      <c r="N31" s="391">
        <f>+INDEX('2017'!$1:$1048576,MATCH('Analitika - 2017'!$A31,'2017'!$A:$A,0),MATCH('Analitika - 2017'!$N$6,'2017'!$6:$6,0))</f>
        <v>49418725.530000009</v>
      </c>
      <c r="O31" s="392">
        <f>+INDEX('2017'!$1:$1048576,MATCH(CONCATENATE('Analitika - 2017'!$A31,"p"),'2017'!$A:$A,0),MATCH('Analitika - 2017'!$O$6,'2017'!$100:$100,0))</f>
        <v>67541117.692499995</v>
      </c>
      <c r="P31" s="214">
        <f t="shared" si="3"/>
        <v>-18122392.162499987</v>
      </c>
      <c r="Q31" s="215">
        <f t="shared" si="4"/>
        <v>-0.26831643866196131</v>
      </c>
      <c r="R31" s="392">
        <f>+INDEX('2016'!$1:$1048576,MATCH('Analitika - 2017'!$A31,'2016'!$A:$A,0),MATCH('Analitika - 2017'!$R$6,'2016'!$6:$6,0))</f>
        <v>70369968.219999999</v>
      </c>
      <c r="S31" s="214">
        <f t="shared" si="5"/>
        <v>-20951242.68999999</v>
      </c>
      <c r="T31" s="216">
        <f t="shared" si="6"/>
        <v>-0.29772988705209325</v>
      </c>
    </row>
    <row r="32" spans="1:20">
      <c r="A32" s="176">
        <v>411</v>
      </c>
      <c r="B32" s="421" t="str">
        <f>+VLOOKUP($A32,Master!$D$25:$G$223,4,FALSE)</f>
        <v>Bruto zarade i doprinosi na teret poslodavca</v>
      </c>
      <c r="C32" s="422"/>
      <c r="D32" s="422"/>
      <c r="E32" s="422"/>
      <c r="F32" s="422"/>
      <c r="G32" s="189">
        <f>+SUMPRODUCT(('2017'!$G32:$R32)*('2017'!$G$5:$R$5&lt;=Master!$B$3)*($A32='2017'!$A$10:$A$65))</f>
        <v>180100740.43000004</v>
      </c>
      <c r="H32" s="189">
        <f>+SUMPRODUCT(('2017'!$G126:$R126)*('2017'!$G$5:$R$5&lt;=Master!$B$3))</f>
        <v>182602599.99166664</v>
      </c>
      <c r="I32" s="190">
        <f t="shared" si="0"/>
        <v>-2501859.5616666079</v>
      </c>
      <c r="J32" s="191">
        <f t="shared" si="1"/>
        <v>-1.3701116861319473E-2</v>
      </c>
      <c r="K32" s="189">
        <f>+SUMPRODUCT(('2016'!$G32:$R32)*('2016'!$G$5:$R$5&lt;=Master!$B$3))</f>
        <v>167253040.62</v>
      </c>
      <c r="L32" s="190">
        <f t="shared" si="7"/>
        <v>12847699.810000032</v>
      </c>
      <c r="M32" s="192">
        <f t="shared" si="2"/>
        <v>7.681594165567418E-2</v>
      </c>
      <c r="N32" s="189">
        <f>+INDEX('2017'!$1:$1048576,MATCH('Analitika - 2017'!$A32,'2017'!$A:$A,0),MATCH('Analitika - 2017'!$N$6,'2017'!$6:$6,0))</f>
        <v>34203194.770000003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-2317325.2283333242</v>
      </c>
      <c r="Q32" s="191">
        <f t="shared" si="4"/>
        <v>-6.3452689842288135E-2</v>
      </c>
      <c r="R32" s="189">
        <f>+INDEX('2016'!$1:$1048576,MATCH('Analitika - 2017'!$A32,'2016'!$A:$A,0),MATCH('Analitika - 2017'!$R$6,'2016'!$6:$6,0))</f>
        <v>35116227.890000001</v>
      </c>
      <c r="S32" s="190">
        <f t="shared" si="5"/>
        <v>-913033.11999999732</v>
      </c>
      <c r="T32" s="192">
        <f t="shared" si="6"/>
        <v>-2.6000318794491051E-2</v>
      </c>
    </row>
    <row r="33" spans="1:20">
      <c r="A33" s="176">
        <v>412</v>
      </c>
      <c r="B33" s="421" t="str">
        <f>+VLOOKUP($A33,Master!$D$25:$G$223,4,FALSE)</f>
        <v>Ostala lična primanja</v>
      </c>
      <c r="C33" s="422"/>
      <c r="D33" s="422"/>
      <c r="E33" s="422"/>
      <c r="F33" s="422"/>
      <c r="G33" s="189">
        <f>+SUMPRODUCT(('2017'!$G33:$R33)*('2017'!$G$5:$R$5&lt;=Master!$B$3)*($A33='2017'!$A$10:$A$65))</f>
        <v>3377056.5799999996</v>
      </c>
      <c r="H33" s="189">
        <f>+SUMPRODUCT(('2017'!$G127:$R127)*('2017'!$G$5:$R$5&lt;=Master!$B$3))</f>
        <v>4245061.2375000007</v>
      </c>
      <c r="I33" s="190">
        <f t="shared" si="0"/>
        <v>-868004.65750000114</v>
      </c>
      <c r="J33" s="191">
        <f t="shared" si="1"/>
        <v>-0.20447400141892558</v>
      </c>
      <c r="K33" s="189">
        <f>+SUMPRODUCT(('2016'!$G33:$R33)*('2016'!$G$5:$R$5&lt;=Master!$B$3))</f>
        <v>4443026.1499999994</v>
      </c>
      <c r="L33" s="190">
        <f t="shared" si="7"/>
        <v>-1065969.5699999998</v>
      </c>
      <c r="M33" s="192">
        <f t="shared" si="2"/>
        <v>-0.23991971552992097</v>
      </c>
      <c r="N33" s="189">
        <f>+INDEX('2017'!$1:$1048576,MATCH('Analitika - 2017'!$A33,'2017'!$A:$A,0),MATCH('Analitika - 2017'!$N$6,'2017'!$6:$6,0))</f>
        <v>764036.59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-84975.657500000088</v>
      </c>
      <c r="Q33" s="191">
        <f t="shared" si="4"/>
        <v>-0.10008766981892103</v>
      </c>
      <c r="R33" s="189">
        <f>+INDEX('2016'!$1:$1048576,MATCH('Analitika - 2017'!$A33,'2016'!$A:$A,0),MATCH('Analitika - 2017'!$R$6,'2016'!$6:$6,0))</f>
        <v>417784.36</v>
      </c>
      <c r="S33" s="190">
        <f t="shared" si="5"/>
        <v>346252.23</v>
      </c>
      <c r="T33" s="192">
        <f t="shared" si="6"/>
        <v>0.8287821736553278</v>
      </c>
    </row>
    <row r="34" spans="1:20">
      <c r="A34" s="176">
        <v>413</v>
      </c>
      <c r="B34" s="421" t="str">
        <f>+VLOOKUP($A34,Master!$D$25:$G$223,4,FALSE)</f>
        <v>Rashodi za materijal</v>
      </c>
      <c r="C34" s="422"/>
      <c r="D34" s="422"/>
      <c r="E34" s="422"/>
      <c r="F34" s="422"/>
      <c r="G34" s="189">
        <f>+SUMPRODUCT(('2017'!$G34:$R34)*('2017'!$G$5:$R$5&lt;=Master!$B$3)*($A34='2017'!$A$10:$A$65))</f>
        <v>9779685.4199999999</v>
      </c>
      <c r="H34" s="189">
        <f>+SUMPRODUCT(('2017'!$G128:$R128)*('2017'!$G$5:$R$5&lt;=Master!$B$3))</f>
        <v>9865704.3000000007</v>
      </c>
      <c r="I34" s="190">
        <f t="shared" si="0"/>
        <v>-86018.88000000082</v>
      </c>
      <c r="J34" s="191">
        <f t="shared" si="1"/>
        <v>-8.7189801543110512E-3</v>
      </c>
      <c r="K34" s="189">
        <f>+SUMPRODUCT(('2016'!$G34:$R34)*('2016'!$G$5:$R$5&lt;=Master!$B$3))</f>
        <v>10713833.699999999</v>
      </c>
      <c r="L34" s="190">
        <f t="shared" si="7"/>
        <v>-934148.27999999933</v>
      </c>
      <c r="M34" s="192">
        <f t="shared" si="2"/>
        <v>-8.7190851207630704E-2</v>
      </c>
      <c r="N34" s="189">
        <f>+INDEX('2017'!$1:$1048576,MATCH('Analitika - 2017'!$A34,'2017'!$A:$A,0),MATCH('Analitika - 2017'!$N$6,'2017'!$6:$6,0))</f>
        <v>2065751.38</v>
      </c>
      <c r="O34" s="189">
        <f>+INDEX('2017'!$1:$1048576,MATCH(CONCATENATE('Analitika - 2017'!$A34,"p"),'2017'!$A:$A,0),MATCH('Analitika - 2017'!$O$6,'2017'!$100:$100,0))</f>
        <v>1973140.86</v>
      </c>
      <c r="P34" s="190">
        <f t="shared" si="3"/>
        <v>92610.519999999786</v>
      </c>
      <c r="Q34" s="191">
        <f t="shared" si="4"/>
        <v>4.6935584720494639E-2</v>
      </c>
      <c r="R34" s="189">
        <f>+INDEX('2016'!$1:$1048576,MATCH('Analitika - 2017'!$A34,'2016'!$A:$A,0),MATCH('Analitika - 2017'!$R$6,'2016'!$6:$6,0))</f>
        <v>3084454.09</v>
      </c>
      <c r="S34" s="190">
        <f t="shared" si="5"/>
        <v>-1018702.71</v>
      </c>
      <c r="T34" s="192">
        <f t="shared" si="6"/>
        <v>-0.3302700187053198</v>
      </c>
    </row>
    <row r="35" spans="1:20">
      <c r="A35" s="176">
        <v>414</v>
      </c>
      <c r="B35" s="421" t="str">
        <f>+VLOOKUP($A35,Master!$D$25:$G$223,4,FALSE)</f>
        <v>Rashodi za usluge</v>
      </c>
      <c r="C35" s="422"/>
      <c r="D35" s="422"/>
      <c r="E35" s="422"/>
      <c r="F35" s="422"/>
      <c r="G35" s="189">
        <f>+SUMPRODUCT(('2017'!$G35:$R35)*('2017'!$G$5:$R$5&lt;=Master!$B$3)*($A35='2017'!$A$10:$A$65))</f>
        <v>20030831.039999999</v>
      </c>
      <c r="H35" s="189">
        <f>+SUMPRODUCT(('2017'!$G129:$R129)*('2017'!$G$5:$R$5&lt;=Master!$B$3))</f>
        <v>17674917</v>
      </c>
      <c r="I35" s="190">
        <f t="shared" si="0"/>
        <v>2355914.0399999991</v>
      </c>
      <c r="J35" s="191">
        <f t="shared" si="1"/>
        <v>0.13329137783221268</v>
      </c>
      <c r="K35" s="189">
        <f>+SUMPRODUCT(('2016'!$G35:$R35)*('2016'!$G$5:$R$5&lt;=Master!$B$3))</f>
        <v>21203973.52</v>
      </c>
      <c r="L35" s="190">
        <f t="shared" si="7"/>
        <v>-1173142.4800000004</v>
      </c>
      <c r="M35" s="192">
        <f t="shared" si="2"/>
        <v>-5.5326539570211719E-2</v>
      </c>
      <c r="N35" s="189">
        <f>+INDEX('2017'!$1:$1048576,MATCH('Analitika - 2017'!$A35,'2017'!$A:$A,0),MATCH('Analitika - 2017'!$N$6,'2017'!$6:$6,0))</f>
        <v>3519706.95</v>
      </c>
      <c r="O35" s="189">
        <f>+INDEX('2017'!$1:$1048576,MATCH(CONCATENATE('Analitika - 2017'!$A35,"p"),'2017'!$A:$A,0),MATCH('Analitika - 2017'!$O$6,'2017'!$100:$100,0))</f>
        <v>3534983.4</v>
      </c>
      <c r="P35" s="190">
        <f t="shared" si="3"/>
        <v>-15276.449999999721</v>
      </c>
      <c r="Q35" s="191">
        <f t="shared" si="4"/>
        <v>-4.3215054418642707E-3</v>
      </c>
      <c r="R35" s="189">
        <f>+INDEX('2016'!$1:$1048576,MATCH('Analitika - 2017'!$A35,'2016'!$A:$A,0),MATCH('Analitika - 2017'!$R$6,'2016'!$6:$6,0))</f>
        <v>5437608.1200000001</v>
      </c>
      <c r="S35" s="190">
        <f t="shared" si="5"/>
        <v>-1917901.17</v>
      </c>
      <c r="T35" s="192">
        <f t="shared" si="6"/>
        <v>-0.35271044320862166</v>
      </c>
    </row>
    <row r="36" spans="1:20">
      <c r="A36" s="176">
        <v>415</v>
      </c>
      <c r="B36" s="421" t="str">
        <f>+VLOOKUP($A36,Master!$D$25:$G$223,4,FALSE)</f>
        <v>Rashodi za tekuće održavanje</v>
      </c>
      <c r="C36" s="422"/>
      <c r="D36" s="422"/>
      <c r="E36" s="422"/>
      <c r="F36" s="422"/>
      <c r="G36" s="189">
        <f>+SUMPRODUCT(('2017'!$G36:$R36)*('2017'!$G$5:$R$5&lt;=Master!$B$3)*($A36='2017'!$A$10:$A$65))</f>
        <v>6035037.75</v>
      </c>
      <c r="H36" s="189">
        <f>+SUMPRODUCT(('2017'!$G130:$R130)*('2017'!$G$5:$R$5&lt;=Master!$B$3))</f>
        <v>7075656.5500000007</v>
      </c>
      <c r="I36" s="190">
        <f t="shared" si="0"/>
        <v>-1040618.8000000007</v>
      </c>
      <c r="J36" s="191">
        <f t="shared" si="1"/>
        <v>-0.14707028141437994</v>
      </c>
      <c r="K36" s="189">
        <f>+SUMPRODUCT(('2016'!$G36:$R36)*('2016'!$G$5:$R$5&lt;=Master!$B$3))</f>
        <v>4786354.34</v>
      </c>
      <c r="L36" s="190">
        <f t="shared" si="7"/>
        <v>1248683.4100000001</v>
      </c>
      <c r="M36" s="192">
        <f t="shared" si="2"/>
        <v>0.260884030161461</v>
      </c>
      <c r="N36" s="189">
        <f>+INDEX('2017'!$1:$1048576,MATCH('Analitika - 2017'!$A36,'2017'!$A:$A,0),MATCH('Analitika - 2017'!$N$6,'2017'!$6:$6,0))</f>
        <v>2002570.68</v>
      </c>
      <c r="O36" s="189">
        <f>+INDEX('2017'!$1:$1048576,MATCH(CONCATENATE('Analitika - 2017'!$A36,"p"),'2017'!$A:$A,0),MATCH('Analitika - 2017'!$O$6,'2017'!$100:$100,0))</f>
        <v>1415131.31</v>
      </c>
      <c r="P36" s="190">
        <f t="shared" si="3"/>
        <v>587439.36999999988</v>
      </c>
      <c r="Q36" s="191">
        <f t="shared" si="4"/>
        <v>0.41511297633574351</v>
      </c>
      <c r="R36" s="189">
        <f>+INDEX('2016'!$1:$1048576,MATCH('Analitika - 2017'!$A36,'2016'!$A:$A,0),MATCH('Analitika - 2017'!$R$6,'2016'!$6:$6,0))</f>
        <v>1646121.33</v>
      </c>
      <c r="S36" s="190">
        <f t="shared" si="5"/>
        <v>356449.34999999986</v>
      </c>
      <c r="T36" s="192">
        <f t="shared" si="6"/>
        <v>0.2165389291201274</v>
      </c>
    </row>
    <row r="37" spans="1:20">
      <c r="A37" s="176">
        <v>416</v>
      </c>
      <c r="B37" s="421" t="str">
        <f>+VLOOKUP($A37,Master!$D$25:$G$223,4,FALSE)</f>
        <v>Kamate</v>
      </c>
      <c r="C37" s="422"/>
      <c r="D37" s="422"/>
      <c r="E37" s="422"/>
      <c r="F37" s="422"/>
      <c r="G37" s="189">
        <f>+SUMPRODUCT(('2017'!$G37:$R37)*('2017'!$G$5:$R$5&lt;=Master!$B$3)*($A37='2017'!$A$10:$A$65))</f>
        <v>45671610.549999997</v>
      </c>
      <c r="H37" s="189">
        <f>+SUMPRODUCT(('2017'!$G131:$R131)*('2017'!$G$5:$R$5&lt;=Master!$B$3))</f>
        <v>78009067.269999996</v>
      </c>
      <c r="I37" s="190">
        <f t="shared" si="0"/>
        <v>-32337456.719999999</v>
      </c>
      <c r="J37" s="191">
        <f t="shared" si="1"/>
        <v>-0.41453459003779214</v>
      </c>
      <c r="K37" s="189">
        <f>+SUMPRODUCT(('2016'!$G37:$R37)*('2016'!$G$5:$R$5&lt;=Master!$B$3))</f>
        <v>64331044.890000001</v>
      </c>
      <c r="L37" s="190">
        <f t="shared" si="7"/>
        <v>-18659434.340000004</v>
      </c>
      <c r="M37" s="192">
        <f t="shared" si="2"/>
        <v>-0.29005333850718373</v>
      </c>
      <c r="N37" s="189">
        <f>+INDEX('2017'!$1:$1048576,MATCH('Analitika - 2017'!$A37,'2017'!$A:$A,0),MATCH('Analitika - 2017'!$N$6,'2017'!$6:$6,0))</f>
        <v>1301185.95</v>
      </c>
      <c r="O37" s="189">
        <f>+INDEX('2017'!$1:$1048576,MATCH(CONCATENATE('Analitika - 2017'!$A37,"p"),'2017'!$A:$A,0),MATCH('Analitika - 2017'!$O$6,'2017'!$100:$100,0))</f>
        <v>16205436.859999999</v>
      </c>
      <c r="P37" s="190">
        <f t="shared" si="3"/>
        <v>-14904250.91</v>
      </c>
      <c r="Q37" s="191">
        <f t="shared" si="4"/>
        <v>-0.9197068267124765</v>
      </c>
      <c r="R37" s="189">
        <f>+INDEX('2016'!$1:$1048576,MATCH('Analitika - 2017'!$A37,'2016'!$A:$A,0),MATCH('Analitika - 2017'!$R$6,'2016'!$6:$6,0))</f>
        <v>16044663.550000001</v>
      </c>
      <c r="S37" s="190">
        <f t="shared" si="5"/>
        <v>-14743477.600000001</v>
      </c>
      <c r="T37" s="192">
        <f t="shared" si="6"/>
        <v>-0.91890226018482013</v>
      </c>
    </row>
    <row r="38" spans="1:20">
      <c r="A38" s="176">
        <v>417</v>
      </c>
      <c r="B38" s="421" t="str">
        <f>+VLOOKUP($A38,Master!$D$25:$G$223,4,FALSE)</f>
        <v>Renta</v>
      </c>
      <c r="C38" s="422"/>
      <c r="D38" s="422"/>
      <c r="E38" s="422"/>
      <c r="F38" s="422"/>
      <c r="G38" s="189">
        <f>+SUMPRODUCT(('2017'!$G38:$R38)*('2017'!$G$5:$R$5&lt;=Master!$B$3)*($A38='2017'!$A$10:$A$65))</f>
        <v>3220596.75</v>
      </c>
      <c r="H38" s="189">
        <f>+SUMPRODUCT(('2017'!$G132:$R132)*('2017'!$G$5:$R$5&lt;=Master!$B$3))</f>
        <v>3884908.1333333328</v>
      </c>
      <c r="I38" s="190">
        <f t="shared" si="0"/>
        <v>-664311.38333333284</v>
      </c>
      <c r="J38" s="191">
        <f t="shared" si="1"/>
        <v>-0.17099796456791361</v>
      </c>
      <c r="K38" s="189">
        <f>+SUMPRODUCT(('2016'!$G38:$R38)*('2016'!$G$5:$R$5&lt;=Master!$B$3))</f>
        <v>3783878.08</v>
      </c>
      <c r="L38" s="190">
        <f t="shared" si="7"/>
        <v>-563281.33000000007</v>
      </c>
      <c r="M38" s="192">
        <f t="shared" si="2"/>
        <v>-0.14886349879433747</v>
      </c>
      <c r="N38" s="189">
        <f>+INDEX('2017'!$1:$1048576,MATCH('Analitika - 2017'!$A38,'2017'!$A:$A,0),MATCH('Analitika - 2017'!$N$6,'2017'!$6:$6,0))</f>
        <v>649640.18999999994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-127341.43666666665</v>
      </c>
      <c r="Q38" s="191">
        <f t="shared" si="4"/>
        <v>-0.16389246836244364</v>
      </c>
      <c r="R38" s="189">
        <f>+INDEX('2016'!$1:$1048576,MATCH('Analitika - 2017'!$A38,'2016'!$A:$A,0),MATCH('Analitika - 2017'!$R$6,'2016'!$6:$6,0))</f>
        <v>633916.04</v>
      </c>
      <c r="S38" s="190">
        <f t="shared" si="5"/>
        <v>15724.149999999907</v>
      </c>
      <c r="T38" s="192">
        <f t="shared" si="6"/>
        <v>2.4804783295907518E-2</v>
      </c>
    </row>
    <row r="39" spans="1:20">
      <c r="A39" s="176">
        <v>418</v>
      </c>
      <c r="B39" s="421" t="str">
        <f>+VLOOKUP($A39,Master!$D$25:$G$223,4,FALSE)</f>
        <v>Subvencije</v>
      </c>
      <c r="C39" s="422"/>
      <c r="D39" s="422"/>
      <c r="E39" s="422"/>
      <c r="F39" s="422"/>
      <c r="G39" s="189">
        <f>+SUMPRODUCT(('2017'!$G39:$R39)*('2017'!$G$5:$R$5&lt;=Master!$B$3)*($A39='2017'!$A$10:$A$65))</f>
        <v>4438463.4400000004</v>
      </c>
      <c r="H39" s="189">
        <f>+SUMPRODUCT(('2017'!$G133:$R133)*('2017'!$G$5:$R$5&lt;=Master!$B$3))</f>
        <v>8307266.6500000004</v>
      </c>
      <c r="I39" s="190">
        <f t="shared" si="0"/>
        <v>-3868803.21</v>
      </c>
      <c r="J39" s="191">
        <f t="shared" si="1"/>
        <v>-0.46571313682340987</v>
      </c>
      <c r="K39" s="189">
        <f>+SUMPRODUCT(('2016'!$G39:$R39)*('2016'!$G$5:$R$5&lt;=Master!$B$3))</f>
        <v>6650597.9500000011</v>
      </c>
      <c r="L39" s="190">
        <f t="shared" si="7"/>
        <v>-2212134.5100000007</v>
      </c>
      <c r="M39" s="192">
        <f t="shared" si="2"/>
        <v>-0.33262189755433946</v>
      </c>
      <c r="N39" s="189">
        <f>+INDEX('2017'!$1:$1048576,MATCH('Analitika - 2017'!$A39,'2017'!$A:$A,0),MATCH('Analitika - 2017'!$N$6,'2017'!$6:$6,0))</f>
        <v>700208.25</v>
      </c>
      <c r="O39" s="189">
        <f>+INDEX('2017'!$1:$1048576,MATCH(CONCATENATE('Analitika - 2017'!$A39,"p"),'2017'!$A:$A,0),MATCH('Analitika - 2017'!$O$6,'2017'!$100:$100,0))</f>
        <v>1661453.33</v>
      </c>
      <c r="P39" s="190">
        <f t="shared" si="3"/>
        <v>-961245.08000000007</v>
      </c>
      <c r="Q39" s="191">
        <f t="shared" si="4"/>
        <v>-0.57855677474852696</v>
      </c>
      <c r="R39" s="189">
        <f>+INDEX('2016'!$1:$1048576,MATCH('Analitika - 2017'!$A39,'2016'!$A:$A,0),MATCH('Analitika - 2017'!$R$6,'2016'!$6:$6,0))</f>
        <v>2439014.4700000002</v>
      </c>
      <c r="S39" s="190">
        <f t="shared" si="5"/>
        <v>-1738806.2200000002</v>
      </c>
      <c r="T39" s="192">
        <f t="shared" si="6"/>
        <v>-0.71291344983287452</v>
      </c>
    </row>
    <row r="40" spans="1:20">
      <c r="A40" s="176">
        <v>419</v>
      </c>
      <c r="B40" s="421" t="str">
        <f>+VLOOKUP($A40,Master!$D$25:$G$223,4,FALSE)</f>
        <v>Ostali izdaci</v>
      </c>
      <c r="C40" s="422"/>
      <c r="D40" s="422"/>
      <c r="E40" s="422"/>
      <c r="F40" s="422"/>
      <c r="G40" s="189">
        <f>+SUMPRODUCT(('2017'!$G40:$R40)*('2017'!$G$5:$R$5&lt;=Master!$B$3)*($A40='2017'!$A$10:$A$65))</f>
        <v>11475473.85</v>
      </c>
      <c r="H40" s="189">
        <f>+SUMPRODUCT(('2017'!$G134:$R134)*('2017'!$G$5:$R$5&lt;=Master!$B$3))</f>
        <v>10986649.199999999</v>
      </c>
      <c r="I40" s="190">
        <f t="shared" si="0"/>
        <v>488824.65000000037</v>
      </c>
      <c r="J40" s="191">
        <f t="shared" si="1"/>
        <v>4.4492605625380266E-2</v>
      </c>
      <c r="K40" s="189">
        <f>+SUMPRODUCT(('2016'!$G40:$R40)*('2016'!$G$5:$R$5&lt;=Master!$B$3))</f>
        <v>12453720.41</v>
      </c>
      <c r="L40" s="190">
        <f t="shared" si="7"/>
        <v>-978246.56000000052</v>
      </c>
      <c r="M40" s="192">
        <f t="shared" si="2"/>
        <v>-7.8550547771611634E-2</v>
      </c>
      <c r="N40" s="189">
        <f>+INDEX('2017'!$1:$1048576,MATCH('Analitika - 2017'!$A40,'2017'!$A:$A,0),MATCH('Analitika - 2017'!$N$6,'2017'!$6:$6,0))</f>
        <v>2629633.84</v>
      </c>
      <c r="O40" s="189">
        <f>+INDEX('2017'!$1:$1048576,MATCH(CONCATENATE('Analitika - 2017'!$A40,"p"),'2017'!$A:$A,0),MATCH('Analitika - 2017'!$O$6,'2017'!$100:$100,0))</f>
        <v>2197329.84</v>
      </c>
      <c r="P40" s="190">
        <f t="shared" si="3"/>
        <v>432304</v>
      </c>
      <c r="Q40" s="191">
        <f t="shared" si="4"/>
        <v>0.19674060404149429</v>
      </c>
      <c r="R40" s="189">
        <f>+INDEX('2016'!$1:$1048576,MATCH('Analitika - 2017'!$A40,'2016'!$A:$A,0),MATCH('Analitika - 2017'!$R$6,'2016'!$6:$6,0))</f>
        <v>2819109.17</v>
      </c>
      <c r="S40" s="190">
        <f t="shared" si="5"/>
        <v>-189475.33000000007</v>
      </c>
      <c r="T40" s="192">
        <f t="shared" si="6"/>
        <v>-6.7211065118134461E-2</v>
      </c>
    </row>
    <row r="41" spans="1:20">
      <c r="A41" s="176">
        <v>440</v>
      </c>
      <c r="B41" s="421" t="str">
        <f>+VLOOKUP($A41,Master!$D$25:$G$223,4,FALSE)</f>
        <v>Kapitalni izdaci u tekućem budžetu</v>
      </c>
      <c r="C41" s="422"/>
      <c r="D41" s="422"/>
      <c r="E41" s="422"/>
      <c r="F41" s="422"/>
      <c r="G41" s="189">
        <f>+SUMPRODUCT(('2017'!$G41:$R41)*('2017'!$G$5:$R$5&lt;=Master!$B$3)*($A41='2017'!$A$10:$A$65))</f>
        <v>6865802.4499999993</v>
      </c>
      <c r="H41" s="189">
        <f>+SUMPRODUCT(('2017'!$G135:$R135)*('2017'!$G$5:$R$5&lt;=Master!$B$3))</f>
        <v>12035641.100000001</v>
      </c>
      <c r="I41" s="190">
        <f t="shared" si="0"/>
        <v>-5169838.6500000022</v>
      </c>
      <c r="J41" s="191">
        <f t="shared" si="1"/>
        <v>-0.42954410214176308</v>
      </c>
      <c r="K41" s="189">
        <f>+SUMPRODUCT(('2016'!$G41:$R41)*('2016'!$G$5:$R$5&lt;=Master!$B$3))</f>
        <v>8446237.4699999988</v>
      </c>
      <c r="L41" s="190">
        <f t="shared" si="7"/>
        <v>-1580435.0199999996</v>
      </c>
      <c r="M41" s="192">
        <f t="shared" si="2"/>
        <v>-0.18711704775215132</v>
      </c>
      <c r="N41" s="189">
        <f>+INDEX('2017'!$1:$1048576,MATCH('Analitika - 2017'!$A41,'2017'!$A:$A,0),MATCH('Analitika - 2017'!$N$6,'2017'!$6:$6,0))</f>
        <v>1582796.93</v>
      </c>
      <c r="O41" s="189">
        <f>+INDEX('2017'!$1:$1048576,MATCH(CONCATENATE('Analitika - 2017'!$A41,"p"),'2017'!$A:$A,0),MATCH('Analitika - 2017'!$O$6,'2017'!$100:$100,0))</f>
        <v>2407128.2200000002</v>
      </c>
      <c r="P41" s="190">
        <f t="shared" si="3"/>
        <v>-824331.29000000027</v>
      </c>
      <c r="Q41" s="191">
        <f t="shared" si="4"/>
        <v>-0.34245425031824861</v>
      </c>
      <c r="R41" s="189">
        <f>+INDEX('2016'!$1:$1048576,MATCH('Analitika - 2017'!$A41,'2016'!$A:$A,0),MATCH('Analitika - 2017'!$R$6,'2016'!$6:$6,0))</f>
        <v>2731069.2</v>
      </c>
      <c r="S41" s="190">
        <f t="shared" si="5"/>
        <v>-1148272.2700000003</v>
      </c>
      <c r="T41" s="192">
        <f t="shared" si="6"/>
        <v>-0.42044788539228528</v>
      </c>
    </row>
    <row r="42" spans="1:20">
      <c r="A42" s="176">
        <v>42</v>
      </c>
      <c r="B42" s="437" t="str">
        <f>+VLOOKUP($A42,Master!$D$25:$G$223,4,FALSE)</f>
        <v>Transferi za socijalnu zaštitu</v>
      </c>
      <c r="C42" s="438"/>
      <c r="D42" s="438"/>
      <c r="E42" s="438"/>
      <c r="F42" s="438"/>
      <c r="G42" s="201">
        <f>+SUMPRODUCT(('2017'!$G42:$R42)*('2017'!$G$5:$R$5&lt;=Master!$B$3)*($A42='2017'!$A$10:$A$65))</f>
        <v>227532930.24000001</v>
      </c>
      <c r="H42" s="201">
        <f>+SUMPRODUCT(('2017'!$G136:$R136)*('2017'!$G$5:$R$5&lt;=Master!$B$3))</f>
        <v>237882543.75</v>
      </c>
      <c r="I42" s="220">
        <f t="shared" si="0"/>
        <v>-10349613.50999999</v>
      </c>
      <c r="J42" s="221">
        <f t="shared" si="1"/>
        <v>-4.3507242468689977E-2</v>
      </c>
      <c r="K42" s="201">
        <f>+SUMPRODUCT(('2016'!$G42:$R42)*('2016'!$G$5:$R$5&lt;=Master!$B$3))</f>
        <v>221329354.42000002</v>
      </c>
      <c r="L42" s="220">
        <f t="shared" si="7"/>
        <v>6203575.8199999928</v>
      </c>
      <c r="M42" s="222">
        <f t="shared" si="2"/>
        <v>2.8028707878612114E-2</v>
      </c>
      <c r="N42" s="201">
        <f>+INDEX('2017'!$1:$1048576,MATCH('Analitika - 2017'!$A42,'2017'!$A:$A,0),MATCH('Analitika - 2017'!$N$6,'2017'!$6:$6,0))</f>
        <v>45683297.689999998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-1893211.0600000024</v>
      </c>
      <c r="Q42" s="221">
        <f t="shared" si="4"/>
        <v>-3.9792979975648235E-2</v>
      </c>
      <c r="R42" s="201">
        <f>+INDEX('2016'!$1:$1048576,MATCH('Analitika - 2017'!$A42,'2016'!$A:$A,0),MATCH('Analitika - 2017'!$R$6,'2016'!$6:$6,0))</f>
        <v>45678591.25</v>
      </c>
      <c r="S42" s="220">
        <f t="shared" si="5"/>
        <v>4706.4399999976158</v>
      </c>
      <c r="T42" s="222">
        <f t="shared" si="6"/>
        <v>1.0303382550125306E-4</v>
      </c>
    </row>
    <row r="43" spans="1:20">
      <c r="A43" s="176">
        <v>421</v>
      </c>
      <c r="B43" s="421" t="str">
        <f>+VLOOKUP($A43,Master!$D$25:$G$223,4,FALSE)</f>
        <v>Prava iz oblasti socijalne zaštite</v>
      </c>
      <c r="C43" s="422"/>
      <c r="D43" s="422"/>
      <c r="E43" s="422"/>
      <c r="F43" s="422"/>
      <c r="G43" s="189">
        <f>+SUMPRODUCT(('2017'!$G43:$R43)*('2017'!$G$5:$R$5&lt;=Master!$B$3)*($A43='2017'!$A$10:$A$65))</f>
        <v>48065950.079999998</v>
      </c>
      <c r="H43" s="189">
        <f>+SUMPRODUCT(('2017'!$G137:$R137)*('2017'!$G$5:$R$5&lt;=Master!$B$3))</f>
        <v>47798177.083333328</v>
      </c>
      <c r="I43" s="190">
        <f t="shared" si="0"/>
        <v>267772.99666666985</v>
      </c>
      <c r="J43" s="191">
        <f t="shared" si="1"/>
        <v>5.6021591827617456E-3</v>
      </c>
      <c r="K43" s="189">
        <f>+SUMPRODUCT(('2016'!$G43:$R43)*('2016'!$G$5:$R$5&lt;=Master!$B$3))</f>
        <v>42002620.239999995</v>
      </c>
      <c r="L43" s="190">
        <f t="shared" si="7"/>
        <v>6063329.8400000036</v>
      </c>
      <c r="M43" s="192">
        <f t="shared" si="2"/>
        <v>0.14435599030142798</v>
      </c>
      <c r="N43" s="189">
        <f>+INDEX('2017'!$1:$1048576,MATCH('Analitika - 2017'!$A43,'2017'!$A:$A,0),MATCH('Analitika - 2017'!$N$6,'2017'!$6:$6,0))</f>
        <v>9323783.9399999995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-235851.47666666657</v>
      </c>
      <c r="Q43" s="191">
        <f t="shared" si="4"/>
        <v>-2.4671597439320014E-2</v>
      </c>
      <c r="R43" s="189">
        <f>+INDEX('2016'!$1:$1048576,MATCH('Analitika - 2017'!$A43,'2016'!$A:$A,0),MATCH('Analitika - 2017'!$R$6,'2016'!$6:$6,0))</f>
        <v>10449997.48</v>
      </c>
      <c r="S43" s="190">
        <f t="shared" si="5"/>
        <v>-1126213.540000001</v>
      </c>
      <c r="T43" s="192">
        <f t="shared" si="6"/>
        <v>-0.10777165661096422</v>
      </c>
    </row>
    <row r="44" spans="1:20">
      <c r="A44" s="176">
        <v>422</v>
      </c>
      <c r="B44" s="421" t="str">
        <f>+VLOOKUP($A44,Master!$D$25:$G$223,4,FALSE)</f>
        <v>Sredstva za tehnološke viškove</v>
      </c>
      <c r="C44" s="422"/>
      <c r="D44" s="422"/>
      <c r="E44" s="422"/>
      <c r="F44" s="422"/>
      <c r="G44" s="189">
        <f>+SUMPRODUCT(('2017'!$G44:$R44)*('2017'!$G$5:$R$5&lt;=Master!$B$3)*($A44='2017'!$A$10:$A$65))</f>
        <v>4497214.9000000004</v>
      </c>
      <c r="H44" s="189">
        <f>+SUMPRODUCT(('2017'!$G138:$R138)*('2017'!$G$5:$R$5&lt;=Master!$B$3))</f>
        <v>8581866.666666666</v>
      </c>
      <c r="I44" s="190">
        <f t="shared" si="0"/>
        <v>-4084651.7666666657</v>
      </c>
      <c r="J44" s="191">
        <f t="shared" si="1"/>
        <v>-0.47596308883848104</v>
      </c>
      <c r="K44" s="189">
        <f>+SUMPRODUCT(('2016'!$G44:$R44)*('2016'!$G$5:$R$5&lt;=Master!$B$3))</f>
        <v>7958294.1799999997</v>
      </c>
      <c r="L44" s="190">
        <f t="shared" si="7"/>
        <v>-3461079.2799999993</v>
      </c>
      <c r="M44" s="192">
        <f t="shared" si="2"/>
        <v>-0.43490215386835562</v>
      </c>
      <c r="N44" s="189">
        <f>+INDEX('2017'!$1:$1048576,MATCH('Analitika - 2017'!$A44,'2017'!$A:$A,0),MATCH('Analitika - 2017'!$N$6,'2017'!$6:$6,0))</f>
        <v>1082297.17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-634076.16333333333</v>
      </c>
      <c r="Q44" s="191">
        <f t="shared" si="4"/>
        <v>-0.36942788088061651</v>
      </c>
      <c r="R44" s="189">
        <f>+INDEX('2016'!$1:$1048576,MATCH('Analitika - 2017'!$A44,'2016'!$A:$A,0),MATCH('Analitika - 2017'!$R$6,'2016'!$6:$6,0))</f>
        <v>919763.99</v>
      </c>
      <c r="S44" s="190">
        <f t="shared" si="5"/>
        <v>162533.17999999993</v>
      </c>
      <c r="T44" s="192">
        <f t="shared" si="6"/>
        <v>0.17671183234733934</v>
      </c>
    </row>
    <row r="45" spans="1:20">
      <c r="A45" s="176">
        <v>423</v>
      </c>
      <c r="B45" s="421" t="str">
        <f>+VLOOKUP($A45,Master!$D$25:$G$223,4,FALSE)</f>
        <v>Prava iz oblasti penzijskog i invalidskog osiguranja</v>
      </c>
      <c r="C45" s="422"/>
      <c r="D45" s="422"/>
      <c r="E45" s="422"/>
      <c r="F45" s="422"/>
      <c r="G45" s="189">
        <f>+SUMPRODUCT(('2017'!$G45:$R45)*('2017'!$G$5:$R$5&lt;=Master!$B$3)*($A45='2017'!$A$10:$A$65))</f>
        <v>165722321.15000001</v>
      </c>
      <c r="H45" s="189">
        <f>+SUMPRODUCT(('2017'!$G139:$R139)*('2017'!$G$5:$R$5&lt;=Master!$B$3))</f>
        <v>171312500</v>
      </c>
      <c r="I45" s="190">
        <f t="shared" si="0"/>
        <v>-5590178.849999994</v>
      </c>
      <c r="J45" s="191">
        <f t="shared" si="1"/>
        <v>-3.2631470850054689E-2</v>
      </c>
      <c r="K45" s="189">
        <f>+SUMPRODUCT(('2016'!$G45:$R45)*('2016'!$G$5:$R$5&lt;=Master!$B$3))</f>
        <v>161984728.25999999</v>
      </c>
      <c r="L45" s="190">
        <f t="shared" si="7"/>
        <v>3737592.8900000155</v>
      </c>
      <c r="M45" s="192">
        <f t="shared" si="2"/>
        <v>2.3073736210495355E-2</v>
      </c>
      <c r="N45" s="189">
        <f>+INDEX('2017'!$1:$1048576,MATCH('Analitika - 2017'!$A45,'2017'!$A:$A,0),MATCH('Analitika - 2017'!$N$6,'2017'!$6:$6,0))</f>
        <v>33097965.640000001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-1164534.3599999994</v>
      </c>
      <c r="Q45" s="191">
        <f t="shared" si="4"/>
        <v>-3.3988598613644672E-2</v>
      </c>
      <c r="R45" s="189">
        <f>+INDEX('2016'!$1:$1048576,MATCH('Analitika - 2017'!$A45,'2016'!$A:$A,0),MATCH('Analitika - 2017'!$R$6,'2016'!$6:$6,0))</f>
        <v>32266203.640000001</v>
      </c>
      <c r="S45" s="190">
        <f t="shared" si="5"/>
        <v>831762</v>
      </c>
      <c r="T45" s="192">
        <f t="shared" si="6"/>
        <v>2.5778117849875493E-2</v>
      </c>
    </row>
    <row r="46" spans="1:20">
      <c r="A46" s="176">
        <v>424</v>
      </c>
      <c r="B46" s="421" t="str">
        <f>+VLOOKUP($A46,Master!$D$25:$G$223,4,FALSE)</f>
        <v>Ostala prava iz oblasti zdravstvene zaštite</v>
      </c>
      <c r="C46" s="422"/>
      <c r="D46" s="422"/>
      <c r="E46" s="422"/>
      <c r="F46" s="422"/>
      <c r="G46" s="189">
        <f>+SUMPRODUCT(('2017'!$G46:$R46)*('2017'!$G$5:$R$5&lt;=Master!$B$3)*($A46='2017'!$A$10:$A$65))</f>
        <v>5844534.4799999995</v>
      </c>
      <c r="H46" s="189">
        <f>+SUMPRODUCT(('2017'!$G140:$R140)*('2017'!$G$5:$R$5&lt;=Master!$B$3))</f>
        <v>6637916.666666666</v>
      </c>
      <c r="I46" s="190">
        <f t="shared" si="0"/>
        <v>-793382.18666666653</v>
      </c>
      <c r="J46" s="191">
        <f t="shared" si="1"/>
        <v>-0.11952276994538946</v>
      </c>
      <c r="K46" s="189">
        <f>+SUMPRODUCT(('2016'!$G46:$R46)*('2016'!$G$5:$R$5&lt;=Master!$B$3))</f>
        <v>5703072.1499999985</v>
      </c>
      <c r="L46" s="190">
        <f t="shared" si="7"/>
        <v>141462.33000000101</v>
      </c>
      <c r="M46" s="192">
        <f t="shared" si="2"/>
        <v>2.4804583613763587E-2</v>
      </c>
      <c r="N46" s="189">
        <f>+INDEX('2017'!$1:$1048576,MATCH('Analitika - 2017'!$A46,'2017'!$A:$A,0),MATCH('Analitika - 2017'!$N$6,'2017'!$6:$6,0))</f>
        <v>1134813.47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-192769.86333333328</v>
      </c>
      <c r="Q46" s="191">
        <f t="shared" si="4"/>
        <v>-0.14520358797313415</v>
      </c>
      <c r="R46" s="189">
        <f>+INDEX('2016'!$1:$1048576,MATCH('Analitika - 2017'!$A46,'2016'!$A:$A,0),MATCH('Analitika - 2017'!$R$6,'2016'!$6:$6,0))</f>
        <v>1197411.44</v>
      </c>
      <c r="S46" s="190">
        <f t="shared" si="5"/>
        <v>-62597.969999999972</v>
      </c>
      <c r="T46" s="192">
        <f t="shared" si="6"/>
        <v>-5.2277745066474424E-2</v>
      </c>
    </row>
    <row r="47" spans="1:20">
      <c r="A47" s="176">
        <v>425</v>
      </c>
      <c r="B47" s="421" t="str">
        <f>+VLOOKUP($A47,Master!$D$25:$G$223,4,FALSE)</f>
        <v>Ostala prava iz zdravstvenog osiguranja</v>
      </c>
      <c r="C47" s="422"/>
      <c r="D47" s="422"/>
      <c r="E47" s="422"/>
      <c r="F47" s="422"/>
      <c r="G47" s="189">
        <f>+SUMPRODUCT(('2017'!$G47:$R47)*('2017'!$G$5:$R$5&lt;=Master!$B$3)*($A47='2017'!$A$10:$A$65))</f>
        <v>3402909.63</v>
      </c>
      <c r="H47" s="189">
        <f>+SUMPRODUCT(('2017'!$G141:$R141)*('2017'!$G$5:$R$5&lt;=Master!$B$3))</f>
        <v>3552083.333333333</v>
      </c>
      <c r="I47" s="190">
        <f t="shared" si="0"/>
        <v>-149173.70333333313</v>
      </c>
      <c r="J47" s="191">
        <f t="shared" si="1"/>
        <v>-4.1996115894428088E-2</v>
      </c>
      <c r="K47" s="189">
        <f>+SUMPRODUCT(('2016'!$G47:$R47)*('2016'!$G$5:$R$5&lt;=Master!$B$3))</f>
        <v>3680639.59</v>
      </c>
      <c r="L47" s="190">
        <f t="shared" si="7"/>
        <v>-277729.95999999996</v>
      </c>
      <c r="M47" s="192">
        <f t="shared" si="2"/>
        <v>-7.5456983279365342E-2</v>
      </c>
      <c r="N47" s="189">
        <f>+INDEX('2017'!$1:$1048576,MATCH('Analitika - 2017'!$A47,'2017'!$A:$A,0),MATCH('Analitika - 2017'!$N$6,'2017'!$6:$6,0))</f>
        <v>1044437.47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334020.80333333334</v>
      </c>
      <c r="Q47" s="191">
        <f t="shared" si="4"/>
        <v>0.47017591085043997</v>
      </c>
      <c r="R47" s="189">
        <f>+INDEX('2016'!$1:$1048576,MATCH('Analitika - 2017'!$A47,'2016'!$A:$A,0),MATCH('Analitika - 2017'!$R$6,'2016'!$6:$6,0))</f>
        <v>845214.7</v>
      </c>
      <c r="S47" s="190">
        <f t="shared" si="5"/>
        <v>199222.77000000002</v>
      </c>
      <c r="T47" s="192">
        <f t="shared" si="6"/>
        <v>0.23570670268749461</v>
      </c>
    </row>
    <row r="48" spans="1:20">
      <c r="A48" s="176">
        <v>43</v>
      </c>
      <c r="B48" s="435" t="str">
        <f>+VLOOKUP($A48,Master!$D$25:$G$223,4,FALSE)</f>
        <v xml:space="preserve">Transferi institucijama, pojedincima, nevladinom i javnom sektoru </v>
      </c>
      <c r="C48" s="436"/>
      <c r="D48" s="436"/>
      <c r="E48" s="436"/>
      <c r="F48" s="436"/>
      <c r="G48" s="201">
        <f>+SUMPRODUCT(('2017'!$G48:$R48)*('2017'!$G$5:$R$5&lt;=Master!$B$3)*($A48='2017'!$A$10:$A$65))</f>
        <v>52300068.550000004</v>
      </c>
      <c r="H48" s="201">
        <f>+SUMPRODUCT(('2017'!$G142:$R142)*('2017'!$G$5:$R$5&lt;=Master!$B$3))</f>
        <v>68458333.349999994</v>
      </c>
      <c r="I48" s="202">
        <f t="shared" si="0"/>
        <v>-16158264.79999999</v>
      </c>
      <c r="J48" s="203">
        <f t="shared" si="1"/>
        <v>-0.23603064826876907</v>
      </c>
      <c r="K48" s="201">
        <f>+SUMPRODUCT(('2016'!$G48:$R48)*('2016'!$G$5:$R$5&lt;=Master!$B$3))</f>
        <v>60977262.150000006</v>
      </c>
      <c r="L48" s="202">
        <f t="shared" si="7"/>
        <v>-8677193.6000000015</v>
      </c>
      <c r="M48" s="204">
        <f t="shared" si="2"/>
        <v>-0.14230211875788523</v>
      </c>
      <c r="N48" s="201">
        <f>+INDEX('2017'!$1:$1048576,MATCH('Analitika - 2017'!$A48,'2017'!$A:$A,0),MATCH('Analitika - 2017'!$N$6,'2017'!$6:$6,0))</f>
        <v>10712461.529999999</v>
      </c>
      <c r="O48" s="201">
        <f>+INDEX('2017'!$1:$1048576,MATCH(CONCATENATE('Analitika - 2017'!$A48,"p"),'2017'!$A:$A,0),MATCH('Analitika - 2017'!$O$6,'2017'!$100:$100,0))</f>
        <v>13691666.67</v>
      </c>
      <c r="P48" s="202">
        <f t="shared" si="3"/>
        <v>-2979205.1400000006</v>
      </c>
      <c r="Q48" s="203">
        <f t="shared" si="4"/>
        <v>-0.21759258473095744</v>
      </c>
      <c r="R48" s="201">
        <f>+INDEX('2016'!$1:$1048576,MATCH('Analitika - 2017'!$A48,'2016'!$A:$A,0),MATCH('Analitika - 2017'!$R$6,'2016'!$6:$6,0))</f>
        <v>11045075.699999999</v>
      </c>
      <c r="S48" s="202">
        <f t="shared" si="5"/>
        <v>-332614.16999999993</v>
      </c>
      <c r="T48" s="204">
        <f t="shared" si="6"/>
        <v>-3.0114249918631208E-2</v>
      </c>
    </row>
    <row r="49" spans="1:20">
      <c r="A49" s="176">
        <v>44</v>
      </c>
      <c r="B49" s="435" t="str">
        <f>+VLOOKUP($A49,Master!$D$25:$G$223,4,FALSE)</f>
        <v>Kapitalni budžet</v>
      </c>
      <c r="C49" s="436"/>
      <c r="D49" s="436"/>
      <c r="E49" s="436"/>
      <c r="F49" s="436"/>
      <c r="G49" s="402">
        <f>+SUMPRODUCT(('2017'!$G49:$R49)*('2017'!$G$5:$R$5&lt;=Master!$B$3)*($A49='2017'!$A$10:$A$65))</f>
        <v>18394316.699999999</v>
      </c>
      <c r="H49" s="201">
        <f>+SUMPRODUCT(('2017'!$G143:$R143)*('2017'!$G$5:$R$5&lt;=Master!$B$3))</f>
        <v>70769650</v>
      </c>
      <c r="I49" s="202">
        <f t="shared" si="0"/>
        <v>-52375333.299999997</v>
      </c>
      <c r="J49" s="203">
        <f t="shared" si="1"/>
        <v>-0.74008184723253545</v>
      </c>
      <c r="K49" s="201">
        <f>+SUMPRODUCT(('2016'!$G49:$R49)*('2016'!$G$5:$R$5&lt;=Master!$B$3))</f>
        <v>10857289.09</v>
      </c>
      <c r="L49" s="202">
        <f t="shared" si="7"/>
        <v>7537027.6099999994</v>
      </c>
      <c r="M49" s="204">
        <f t="shared" si="2"/>
        <v>0.69419056152257252</v>
      </c>
      <c r="N49" s="402">
        <f>+INDEX('2017'!$1:$1048576,MATCH('Analitika - 2017'!$A49,'2017'!$A:$A,0),MATCH('Analitika - 2017'!$N$6,'2017'!$6:$6,0))</f>
        <v>2511744.17</v>
      </c>
      <c r="O49" s="201">
        <f>+INDEX('2017'!$1:$1048576,MATCH(CONCATENATE('Analitika - 2017'!$A49,"p"),'2017'!$A:$A,0),MATCH('Analitika - 2017'!$O$6,'2017'!$100:$100,0))</f>
        <v>14153930</v>
      </c>
      <c r="P49" s="202">
        <f t="shared" si="3"/>
        <v>-11642185.83</v>
      </c>
      <c r="Q49" s="203">
        <f t="shared" si="4"/>
        <v>-0.82254086532856951</v>
      </c>
      <c r="R49" s="201">
        <f>+INDEX('2016'!$1:$1048576,MATCH('Analitika - 2017'!$A49,'2016'!$A:$A,0),MATCH('Analitika - 2017'!$R$6,'2016'!$6:$6,0))</f>
        <v>4725148.4400000004</v>
      </c>
      <c r="S49" s="202">
        <f t="shared" si="5"/>
        <v>-2213404.2700000005</v>
      </c>
      <c r="T49" s="204">
        <f t="shared" si="6"/>
        <v>-0.46843063199089685</v>
      </c>
    </row>
    <row r="50" spans="1:20">
      <c r="A50" s="176">
        <v>451</v>
      </c>
      <c r="B50" s="439" t="str">
        <f>+VLOOKUP($A50,Master!$D$25:$G$223,4,FALSE)</f>
        <v>Pozajmice i krediti</v>
      </c>
      <c r="C50" s="440"/>
      <c r="D50" s="440"/>
      <c r="E50" s="440"/>
      <c r="F50" s="440"/>
      <c r="G50" s="189">
        <f>+SUMPRODUCT(('2017'!$G50:$R50)*('2017'!$G$5:$R$5&lt;=Master!$B$3)*($A50='2017'!$A$10:$A$65))</f>
        <v>620246</v>
      </c>
      <c r="H50" s="189">
        <f>+SUMPRODUCT(('2017'!$G144:$R144)*('2017'!$G$5:$R$5&lt;=Master!$B$3))</f>
        <v>1010416.6666666667</v>
      </c>
      <c r="I50" s="190">
        <f>G50-H50</f>
        <v>-390170.66666666674</v>
      </c>
      <c r="J50" s="344">
        <f t="shared" si="1"/>
        <v>-0.38614828865979389</v>
      </c>
      <c r="K50" s="189">
        <f>+SUMPRODUCT(('2016'!$G50:$R50)*('2016'!$G$5:$R$5&lt;=Master!$B$3))</f>
        <v>1300798.67</v>
      </c>
      <c r="L50" s="350">
        <f t="shared" si="7"/>
        <v>-680552.66999999993</v>
      </c>
      <c r="M50" s="353">
        <f t="shared" si="2"/>
        <v>-0.52318063178831509</v>
      </c>
      <c r="N50" s="189">
        <f>+INDEX('2017'!$1:$1048576,MATCH('Analitika - 2017'!$A50,'2017'!$A:$A,0),MATCH('Analitika - 2017'!$N$6,'2017'!$6:$6,0))</f>
        <v>40272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-161811.33333333334</v>
      </c>
      <c r="Q50" s="344">
        <f t="shared" si="4"/>
        <v>-0.80071587628865981</v>
      </c>
      <c r="R50" s="189">
        <f>+INDEX('2016'!$1:$1048576,MATCH('Analitika - 2017'!$A50,'2016'!$A:$A,0),MATCH('Analitika - 2017'!$R$6,'2016'!$6:$6,0))</f>
        <v>300594</v>
      </c>
      <c r="S50" s="350">
        <f t="shared" si="5"/>
        <v>-260322</v>
      </c>
      <c r="T50" s="353">
        <f t="shared" si="6"/>
        <v>-0.86602526996546836</v>
      </c>
    </row>
    <row r="51" spans="1:20">
      <c r="A51" s="176">
        <v>47</v>
      </c>
      <c r="B51" s="439" t="str">
        <f>+VLOOKUP($A51,Master!$D$25:$G$223,4,FALSE)</f>
        <v>Rezerve</v>
      </c>
      <c r="C51" s="440"/>
      <c r="D51" s="440"/>
      <c r="E51" s="440"/>
      <c r="F51" s="440"/>
      <c r="G51" s="189">
        <f>+SUMPRODUCT(('2017'!$G51:$R51)*('2017'!$G$5:$R$5&lt;=Master!$B$3)*($A51='2017'!$A$10:$A$65))</f>
        <v>5128403.78</v>
      </c>
      <c r="H51" s="189">
        <f>+SUMPRODUCT(('2017'!$G145:$R145)*('2017'!$G$5:$R$5&lt;=Master!$B$3))</f>
        <v>5957780.7833333332</v>
      </c>
      <c r="I51" s="190">
        <f t="shared" ref="I51:I52" si="8">G51-H51</f>
        <v>-829377.00333333295</v>
      </c>
      <c r="J51" s="345">
        <f t="shared" si="1"/>
        <v>-0.13920905006331952</v>
      </c>
      <c r="K51" s="189">
        <f>+SUMPRODUCT(('2016'!$G51:$R51)*('2016'!$G$5:$R$5&lt;=Master!$B$3))</f>
        <v>6066500.9799999995</v>
      </c>
      <c r="L51" s="351">
        <f t="shared" si="7"/>
        <v>-938097.19999999925</v>
      </c>
      <c r="M51" s="354">
        <f t="shared" si="2"/>
        <v>-0.15463562984539392</v>
      </c>
      <c r="N51" s="189">
        <f>+INDEX('2017'!$1:$1048576,MATCH('Analitika - 2017'!$A51,'2017'!$A:$A,0),MATCH('Analitika - 2017'!$N$6,'2017'!$6:$6,0))</f>
        <v>4318405.9400000004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3126849.7833333337</v>
      </c>
      <c r="Q51" s="345">
        <f t="shared" si="4"/>
        <v>2.624173242560869</v>
      </c>
      <c r="R51" s="189">
        <f>+INDEX('2016'!$1:$1048576,MATCH('Analitika - 2017'!$A51,'2016'!$A:$A,0),MATCH('Analitika - 2017'!$R$6,'2016'!$6:$6,0))</f>
        <v>772013.71</v>
      </c>
      <c r="S51" s="351">
        <f t="shared" si="5"/>
        <v>3546392.2300000004</v>
      </c>
      <c r="T51" s="354">
        <f t="shared" si="6"/>
        <v>4.5936907389895971</v>
      </c>
    </row>
    <row r="52" spans="1:20" ht="15.75" thickBot="1">
      <c r="A52" s="176">
        <v>462</v>
      </c>
      <c r="B52" s="441" t="str">
        <f>+VLOOKUP($A52,Master!$D$25:$G$223,4,FALSE)</f>
        <v>Otplata garancija</v>
      </c>
      <c r="C52" s="442"/>
      <c r="D52" s="442"/>
      <c r="E52" s="442"/>
      <c r="F52" s="442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1" t="str">
        <f>+VLOOKUP($A53,Master!$D$25:$G$223,4,FALSE)</f>
        <v>Otplata obaveza iz prethodnih godina</v>
      </c>
      <c r="C53" s="442"/>
      <c r="D53" s="442"/>
      <c r="E53" s="442"/>
      <c r="F53" s="442"/>
      <c r="G53" s="393">
        <f>+SUMPRODUCT(('2017'!$G53:$R53)*('2017'!$G$5:$R$5&lt;=Master!$B$3)*($A53='2017'!$A$10:$A$65))</f>
        <v>10543355</v>
      </c>
      <c r="H53" s="393">
        <v>0</v>
      </c>
      <c r="I53" s="352">
        <f>G53-H53</f>
        <v>10543355</v>
      </c>
      <c r="J53" s="347" t="str">
        <f t="shared" si="1"/>
        <v>…</v>
      </c>
      <c r="K53" s="393">
        <f>+SUMPRODUCT(('2016'!$G53:$R53)*('2016'!$G$5:$R$5&lt;=Master!$B$3))</f>
        <v>20918625.349999998</v>
      </c>
      <c r="L53" s="358">
        <f t="shared" si="7"/>
        <v>-10375270.349999998</v>
      </c>
      <c r="M53" s="356">
        <f t="shared" si="2"/>
        <v>-0.49598241645453045</v>
      </c>
      <c r="N53" s="393">
        <f>+INDEX('2017'!$1:$1048576,MATCH('Analitika - 2017'!$A53,'2017'!$A:$A,0),MATCH('Analitika - 2017'!$N$6,'2017'!$6:$6,0))</f>
        <v>1819114.92</v>
      </c>
      <c r="O53" s="393">
        <v>0</v>
      </c>
      <c r="P53" s="352">
        <f>N53-O53</f>
        <v>1819114.92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2053386.86</v>
      </c>
      <c r="S53" s="358">
        <f>+N53-R53</f>
        <v>-234271.94000000018</v>
      </c>
      <c r="T53" s="356">
        <f>+IF(ISNUMBER(N53/R53-1),N53/R53-1,"…")</f>
        <v>-0.11409050314074776</v>
      </c>
    </row>
    <row r="54" spans="1:20" ht="15.75" thickBot="1">
      <c r="A54" s="170">
        <v>1005</v>
      </c>
      <c r="B54" s="441" t="str">
        <f>+VLOOKUP($A54,Master!$D$25:$G$225,4,FALSE)</f>
        <v>Neto povećanje obaveza</v>
      </c>
      <c r="C54" s="442"/>
      <c r="D54" s="442"/>
      <c r="E54" s="442"/>
      <c r="F54" s="442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43" t="str">
        <f>+VLOOKUP($A55,Master!$D$25:$G$223,4,FALSE)</f>
        <v>Suficit / deficit</v>
      </c>
      <c r="C55" s="444"/>
      <c r="D55" s="444"/>
      <c r="E55" s="444"/>
      <c r="F55" s="444"/>
      <c r="G55" s="177">
        <f>+SUMPRODUCT(('2017'!$G55:$R55)*('2017'!$G$5:$R$5&lt;=Master!$B$3)*($A55='2017'!$A$10:$A$65))</f>
        <v>-57571524.780000016</v>
      </c>
      <c r="H55" s="415">
        <f>+SUMPRODUCT(('2017'!$G148:$R148)*('2017'!$G$5:$R$5&lt;=Master!$B$3))</f>
        <v>-171216560.17340156</v>
      </c>
      <c r="I55" s="406">
        <f>+G55-H55</f>
        <v>113645035.39340155</v>
      </c>
      <c r="J55" s="349">
        <f t="shared" si="1"/>
        <v>-0.66375025452156156</v>
      </c>
      <c r="K55" s="177">
        <f>+SUMPRODUCT(('2016'!$G55:$R55)*('2016'!$G$5:$R$5&lt;=Master!$B$3))</f>
        <v>-116703055.95000003</v>
      </c>
      <c r="L55" s="359">
        <f t="shared" si="7"/>
        <v>59131531.170000017</v>
      </c>
      <c r="M55" s="357">
        <f t="shared" si="2"/>
        <v>-0.50668365698439111</v>
      </c>
      <c r="N55" s="177">
        <f>+INDEX('2017'!$1:$1048576,MATCH('Analitika - 2017'!$A55,'2017'!$A:$A,0),MATCH('Analitika - 2017'!$N$6,'2017'!$6:$6,0))</f>
        <v>10788651.87999998</v>
      </c>
      <c r="O55" s="177">
        <f>+INDEX('2017'!$1:$1048576,MATCH(CONCATENATE('Analitika - 2017'!$A55,"p"),'2017'!$A:$A,0),MATCH('Analitika - 2017'!$O$6,'2017'!$100:$100,0))</f>
        <v>-25016902.874140114</v>
      </c>
      <c r="P55" s="406">
        <f>N55+O55</f>
        <v>-14228250.994140133</v>
      </c>
      <c r="Q55" s="349">
        <f t="shared" si="4"/>
        <v>-1.4312544975802011</v>
      </c>
      <c r="R55" s="177">
        <f>+INDEX('2016'!$1:$1048576,MATCH('Analitika - 2017'!$A55,'2016'!$A:$A,0),MATCH('Analitika - 2017'!$R$6,'2016'!$6:$6,0))</f>
        <v>-25015297.060000002</v>
      </c>
      <c r="S55" s="359">
        <f t="shared" si="5"/>
        <v>35803948.939999983</v>
      </c>
      <c r="T55" s="357">
        <f t="shared" si="6"/>
        <v>-1.4312821812238747</v>
      </c>
    </row>
    <row r="56" spans="1:20" ht="15.75" thickBot="1">
      <c r="A56" s="170">
        <v>1001</v>
      </c>
      <c r="B56" s="445" t="str">
        <f>+VLOOKUP($A56,Master!$D$25:$G$223,4,FALSE)</f>
        <v>Primarni bilans</v>
      </c>
      <c r="C56" s="446"/>
      <c r="D56" s="446"/>
      <c r="E56" s="446"/>
      <c r="F56" s="446"/>
      <c r="G56" s="177">
        <f>+SUMPRODUCT(('2017'!$G56:$R56)*('2017'!$G$5:$R$5&lt;=Master!$B$3)*($A56='2017'!$A$10:$A$65))</f>
        <v>-11899914.230000015</v>
      </c>
      <c r="H56" s="415">
        <f>+SUMPRODUCT(('2017'!$G149:$R149)*('2017'!$G$5:$R$5&lt;=Master!$B$3))</f>
        <v>-93207492.903401539</v>
      </c>
      <c r="I56" s="232">
        <f t="shared" si="0"/>
        <v>81307578.67340152</v>
      </c>
      <c r="J56" s="233">
        <f t="shared" si="1"/>
        <v>-0.87232878109560508</v>
      </c>
      <c r="K56" s="177">
        <f>+SUMPRODUCT(('2016'!$G56:$R56)*('2016'!$G$5:$R$5&lt;=Master!$B$3))</f>
        <v>-52372011.060000032</v>
      </c>
      <c r="L56" s="232">
        <f t="shared" si="7"/>
        <v>40472096.830000013</v>
      </c>
      <c r="M56" s="234">
        <f t="shared" si="2"/>
        <v>-0.7727810334346934</v>
      </c>
      <c r="N56" s="177">
        <f>+INDEX('2017'!$1:$1048576,MATCH('Analitika - 2017'!$A56,'2017'!$A:$A,0),MATCH('Analitika - 2017'!$N$6,'2017'!$6:$6,0))</f>
        <v>12089837.82999998</v>
      </c>
      <c r="O56" s="177">
        <f>+INDEX('2017'!$1:$1048576,MATCH(CONCATENATE('Analitika - 2017'!$A56,"p"),'2017'!$A:$A,0),MATCH('Analitika - 2017'!$O$6,'2017'!$100:$100,0))</f>
        <v>-8811466.0141401142</v>
      </c>
      <c r="P56" s="232">
        <f t="shared" si="3"/>
        <v>20901303.844140094</v>
      </c>
      <c r="Q56" s="233">
        <f t="shared" si="4"/>
        <v>-2.3720574772233052</v>
      </c>
      <c r="R56" s="177">
        <f>+INDEX('2016'!$1:$1048576,MATCH('Analitika - 2017'!$A56,'2016'!$A:$A,0),MATCH('Analitika - 2017'!$R$6,'2016'!$6:$6,0))</f>
        <v>-8970633.5100000016</v>
      </c>
      <c r="S56" s="232">
        <f t="shared" si="5"/>
        <v>21060471.339999981</v>
      </c>
      <c r="T56" s="234">
        <f t="shared" si="6"/>
        <v>-2.3477128250220956</v>
      </c>
    </row>
    <row r="57" spans="1:20">
      <c r="A57" s="170">
        <v>46</v>
      </c>
      <c r="B57" s="437" t="str">
        <f>+VLOOKUP($A57,Master!$D$25:$G$223,4,FALSE)</f>
        <v>Otplata dugova</v>
      </c>
      <c r="C57" s="438"/>
      <c r="D57" s="438"/>
      <c r="E57" s="438"/>
      <c r="F57" s="438"/>
      <c r="G57" s="183">
        <f>+SUMPRODUCT(('2017'!$G57:$R57)*('2017'!$G$5:$R$5&lt;=Master!$B$3)*($A57='2017'!$A$10:$A$65))</f>
        <v>108658719.96000001</v>
      </c>
      <c r="H57" s="183">
        <f>+SUMPRODUCT(('2017'!$G150:$R150)*('2017'!$G$5:$R$5&lt;=Master!$B$3))</f>
        <v>106039700.54666665</v>
      </c>
      <c r="I57" s="220">
        <f t="shared" si="0"/>
        <v>2619019.4133333564</v>
      </c>
      <c r="J57" s="221">
        <f t="shared" si="1"/>
        <v>2.4698479907350857E-2</v>
      </c>
      <c r="K57" s="201">
        <f>+SUMPRODUCT(('2016'!$G57:$R57)*('2016'!$G$5:$R$5&lt;=Master!$B$3))</f>
        <v>317042948.09999996</v>
      </c>
      <c r="L57" s="220">
        <f t="shared" si="7"/>
        <v>-208384228.13999996</v>
      </c>
      <c r="M57" s="222">
        <f t="shared" si="2"/>
        <v>-0.65727444621878961</v>
      </c>
      <c r="N57" s="183">
        <f>+INDEX('2017'!$1:$1048576,MATCH('Analitika - 2017'!$A57,'2017'!$A:$A,0),MATCH('Analitika - 2017'!$N$6,'2017'!$6:$6,0))</f>
        <v>6070178.8200000003</v>
      </c>
      <c r="O57" s="183">
        <f>+INDEX('2017'!$1:$1048576,MATCH(CONCATENATE('Analitika - 2017'!$A57,"p"),'2017'!$A:$A,0),MATCH('Analitika - 2017'!$O$6,'2017'!$100:$100,0))</f>
        <v>10247541.783333333</v>
      </c>
      <c r="P57" s="220">
        <f t="shared" si="3"/>
        <v>-4177362.9633333329</v>
      </c>
      <c r="Q57" s="221">
        <f t="shared" si="4"/>
        <v>-0.40764537014403035</v>
      </c>
      <c r="R57" s="201">
        <f>+INDEX('2016'!$1:$1048576,MATCH('Analitika - 2017'!$A57,'2016'!$A:$A,0),MATCH('Analitika - 2017'!$R$6,'2016'!$6:$6,0))</f>
        <v>5016094.05</v>
      </c>
      <c r="S57" s="220">
        <f t="shared" si="5"/>
        <v>1054084.7700000005</v>
      </c>
      <c r="T57" s="222">
        <f t="shared" si="6"/>
        <v>0.21014055149145383</v>
      </c>
    </row>
    <row r="58" spans="1:20">
      <c r="A58" s="170">
        <v>4611</v>
      </c>
      <c r="B58" s="463" t="str">
        <f>+VLOOKUP($A58,Master!$D$25:$G$223,4,FALSE)</f>
        <v>Otplata hartija od vrijednosti i kredita rezidentima</v>
      </c>
      <c r="C58" s="464"/>
      <c r="D58" s="464"/>
      <c r="E58" s="464"/>
      <c r="F58" s="464"/>
      <c r="G58" s="189">
        <f>+SUMPRODUCT(('2017'!$G58:$R58)*('2017'!$G$5:$R$5&lt;=Master!$B$3)*($A58='2017'!$A$10:$A$65))</f>
        <v>86489964.879999995</v>
      </c>
      <c r="H58" s="189">
        <f>+SUMPRODUCT(('2017'!$G151:$R151)*('2017'!$G$5:$R$5&lt;=Master!$B$3))</f>
        <v>9180371.7200000007</v>
      </c>
      <c r="I58" s="238">
        <f t="shared" si="0"/>
        <v>77309593.159999996</v>
      </c>
      <c r="J58" s="239">
        <f t="shared" si="1"/>
        <v>8.4211833156577232</v>
      </c>
      <c r="K58" s="189">
        <f>+SUMPRODUCT(('2016'!$G58:$R58)*('2016'!$G$5:$R$5&lt;=Master!$B$3))</f>
        <v>102251593.42000002</v>
      </c>
      <c r="L58" s="238">
        <f t="shared" si="7"/>
        <v>-15761628.540000021</v>
      </c>
      <c r="M58" s="240">
        <f t="shared" si="2"/>
        <v>-0.15414555424343257</v>
      </c>
      <c r="N58" s="189">
        <f>+INDEX('2017'!$1:$1048576,MATCH('Analitika - 2017'!$A58,'2017'!$A:$A,0),MATCH('Analitika - 2017'!$N$6,'2017'!$6:$6,0))</f>
        <v>861846.67</v>
      </c>
      <c r="O58" s="189">
        <f>+INDEX('2017'!$1:$1048576,MATCH(CONCATENATE('Analitika - 2017'!$A58,"p"),'2017'!$A:$A,0),MATCH('Analitika - 2017'!$O$6,'2017'!$100:$100,0))</f>
        <v>949797.77</v>
      </c>
      <c r="P58" s="238">
        <f t="shared" si="3"/>
        <v>-87951.099999999977</v>
      </c>
      <c r="Q58" s="239">
        <f t="shared" si="4"/>
        <v>-9.2599817327429612E-2</v>
      </c>
      <c r="R58" s="189">
        <f>+INDEX('2016'!$1:$1048576,MATCH('Analitika - 2017'!$A58,'2016'!$A:$A,0),MATCH('Analitika - 2017'!$R$6,'2016'!$6:$6,0))</f>
        <v>104634.18</v>
      </c>
      <c r="S58" s="238">
        <f t="shared" si="5"/>
        <v>757212.49</v>
      </c>
      <c r="T58" s="240">
        <f t="shared" si="6"/>
        <v>7.2367603970327874</v>
      </c>
    </row>
    <row r="59" spans="1:20">
      <c r="A59" s="170">
        <v>4612</v>
      </c>
      <c r="B59" s="439" t="str">
        <f>+VLOOKUP($A59,Master!$D$25:$G$223,4,FALSE)</f>
        <v>Otplata hartija od vrijednosti i kredita nerezidentima</v>
      </c>
      <c r="C59" s="440"/>
      <c r="D59" s="440"/>
      <c r="E59" s="440"/>
      <c r="F59" s="440"/>
      <c r="G59" s="189">
        <f>+SUMPRODUCT(('2017'!$G59:$R59)*('2017'!$G$5:$R$5&lt;=Master!$B$3)*($A59='2017'!$A$10:$A$65))</f>
        <v>22168755.079999998</v>
      </c>
      <c r="H59" s="189">
        <f>+SUMPRODUCT(('2017'!$G152:$R152)*('2017'!$G$5:$R$5&lt;=Master!$B$3))</f>
        <v>82810787.659999996</v>
      </c>
      <c r="I59" s="238">
        <f t="shared" si="0"/>
        <v>-60642032.579999998</v>
      </c>
      <c r="J59" s="239">
        <f t="shared" si="1"/>
        <v>-0.73229629005559926</v>
      </c>
      <c r="K59" s="189">
        <f>+SUMPRODUCT(('2016'!$G59:$R59)*('2016'!$G$5:$R$5&lt;=Master!$B$3))</f>
        <v>214791354.67999998</v>
      </c>
      <c r="L59" s="238">
        <f t="shared" si="7"/>
        <v>-192622599.59999996</v>
      </c>
      <c r="M59" s="240">
        <f t="shared" si="2"/>
        <v>-0.89678935116812586</v>
      </c>
      <c r="N59" s="189">
        <f>+INDEX('2017'!$1:$1048576,MATCH('Analitika - 2017'!$A59,'2017'!$A:$A,0),MATCH('Analitika - 2017'!$N$6,'2017'!$6:$6,0))</f>
        <v>5208332.1500000004</v>
      </c>
      <c r="O59" s="189">
        <f>+INDEX('2017'!$1:$1048576,MATCH(CONCATENATE('Analitika - 2017'!$A59,"p"),'2017'!$A:$A,0),MATCH('Analitika - 2017'!$O$6,'2017'!$100:$100,0))</f>
        <v>6488035.7800000003</v>
      </c>
      <c r="P59" s="238">
        <f t="shared" si="3"/>
        <v>-1279703.6299999999</v>
      </c>
      <c r="Q59" s="239">
        <f t="shared" si="4"/>
        <v>-0.19724053217228099</v>
      </c>
      <c r="R59" s="189">
        <f>+INDEX('2016'!$1:$1048576,MATCH('Analitika - 2017'!$A59,'2016'!$A:$A,0),MATCH('Analitika - 2017'!$R$6,'2016'!$6:$6,0))</f>
        <v>4911459.87</v>
      </c>
      <c r="S59" s="238">
        <f t="shared" si="5"/>
        <v>296872.28000000026</v>
      </c>
      <c r="T59" s="240">
        <f t="shared" si="6"/>
        <v>6.0444814343968201E-2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14048541.166666664</v>
      </c>
      <c r="I60" s="238">
        <f t="shared" si="0"/>
        <v>-14048541.166666664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65" t="str">
        <f>+VLOOKUP($A61,Master!$D$25:$G$223,4,FALSE)</f>
        <v>Nedostajuća sredstva</v>
      </c>
      <c r="C61" s="466"/>
      <c r="D61" s="466"/>
      <c r="E61" s="466"/>
      <c r="F61" s="466"/>
      <c r="G61" s="394">
        <f>+SUMPRODUCT(('2017'!$G60:$R60)*('2017'!$G$5:$R$5&lt;=Master!$B$3)*($A61='2017'!$A$10:$A$65))</f>
        <v>-166230244.74000001</v>
      </c>
      <c r="H61" s="405">
        <f>+SUMPRODUCT(('2017'!$G154:$R154)*('2017'!$G$5:$R$5&lt;=Master!$B$3))</f>
        <v>-277256260.72006822</v>
      </c>
      <c r="I61" s="407">
        <f t="shared" si="0"/>
        <v>111026015.98006821</v>
      </c>
      <c r="J61" s="408">
        <f t="shared" si="1"/>
        <v>-0.40044547845996392</v>
      </c>
      <c r="K61" s="405">
        <f>+SUMPRODUCT(('2016'!$G60:$R60)*('2016'!$G$5:$R$5&lt;=Master!$B$3))</f>
        <v>-433746004.05000007</v>
      </c>
      <c r="L61" s="407">
        <f t="shared" si="7"/>
        <v>267515759.31000006</v>
      </c>
      <c r="M61" s="410">
        <f t="shared" si="2"/>
        <v>-0.61675671202071103</v>
      </c>
      <c r="N61" s="394">
        <f>+INDEX('2017'!$1:$1048576,MATCH('Analitika - 2017'!$A61,'2017'!$A:$A,0),MATCH('Analitika - 2017'!$N$6,'2017'!$6:$6,0))</f>
        <v>4718473.05999998</v>
      </c>
      <c r="O61" s="405">
        <f>+INDEX('2017'!$1:$1048576,MATCH(CONCATENATE('Analitika - 2017'!$A61,"p"),'2017'!$A:$A,0),MATCH('Analitika - 2017'!$O$6,'2017'!$100:$100,0))</f>
        <v>-35264444.657473445</v>
      </c>
      <c r="P61" s="407">
        <f t="shared" si="3"/>
        <v>39982917.717473425</v>
      </c>
      <c r="Q61" s="408">
        <f t="shared" si="4"/>
        <v>-1.1338025624912262</v>
      </c>
      <c r="R61" s="405">
        <f>+INDEX('2016'!$1:$1048576,MATCH('Analitika - 2017'!$A61,'2016'!$A:$A,0),MATCH('Analitika - 2017'!$R$6,'2016'!$6:$6,0))</f>
        <v>-30031391.110000003</v>
      </c>
      <c r="S61" s="407">
        <f t="shared" si="5"/>
        <v>34749864.169999987</v>
      </c>
      <c r="T61" s="410">
        <f t="shared" si="6"/>
        <v>-1.1571180316861445</v>
      </c>
    </row>
    <row r="62" spans="1:20" ht="15.75" thickBot="1">
      <c r="A62" s="170">
        <v>1003</v>
      </c>
      <c r="B62" s="429" t="str">
        <f>+VLOOKUP($A62,Master!$D$25:$G$223,4,FALSE)</f>
        <v>Finansiranje</v>
      </c>
      <c r="C62" s="430"/>
      <c r="D62" s="430"/>
      <c r="E62" s="430"/>
      <c r="F62" s="430"/>
      <c r="G62" s="177">
        <f>+SUMPRODUCT(('2017'!$G61:$R61)*('2017'!$G$5:$R$5&lt;=Master!$B$3)*($A62='2017'!$A$10:$A$65))</f>
        <v>166230244.74000004</v>
      </c>
      <c r="H62" s="177">
        <f>+SUMPRODUCT(('2017'!$G155:$R155)*('2017'!$G$5:$R$5&lt;=Master!$B$3))</f>
        <v>277256260.72006822</v>
      </c>
      <c r="I62" s="406">
        <f t="shared" si="0"/>
        <v>-111026015.98006818</v>
      </c>
      <c r="J62" s="409">
        <f t="shared" si="1"/>
        <v>-0.40044547845996381</v>
      </c>
      <c r="K62" s="177">
        <f>+SUMPRODUCT(('2016'!$G61:$R61)*('2016'!$G$5:$R$5&lt;=Master!$B$3))</f>
        <v>433746004.05000007</v>
      </c>
      <c r="L62" s="406">
        <f t="shared" si="7"/>
        <v>-267515759.31000003</v>
      </c>
      <c r="M62" s="411">
        <f t="shared" si="2"/>
        <v>-0.61675671202071092</v>
      </c>
      <c r="N62" s="177">
        <f>+INDEX('2017'!$1:$1048576,MATCH('Analitika - 2017'!$A62,'2017'!$A:$A,0),MATCH('Analitika - 2017'!$N$6,'2017'!$6:$6,0))</f>
        <v>-4718473.05999998</v>
      </c>
      <c r="O62" s="177">
        <f>+INDEX('2017'!$1:$1048576,MATCH(CONCATENATE('Analitika - 2017'!$A62,"p"),'2017'!$A:$A,0),MATCH('Analitika - 2017'!$O$6,'2017'!$100:$100,0))</f>
        <v>35264444.657473445</v>
      </c>
      <c r="P62" s="406">
        <f t="shared" si="3"/>
        <v>-39982917.717473425</v>
      </c>
      <c r="Q62" s="409">
        <f t="shared" si="4"/>
        <v>-1.1338025624912262</v>
      </c>
      <c r="R62" s="177">
        <f>+INDEX('2016'!$1:$1048576,MATCH('Analitika - 2017'!$A62,'2016'!$A:$A,0),MATCH('Analitika - 2017'!$R$6,'2016'!$6:$6,0))</f>
        <v>30031391.110000003</v>
      </c>
      <c r="S62" s="406">
        <f t="shared" si="5"/>
        <v>-34749864.169999987</v>
      </c>
      <c r="T62" s="411">
        <f t="shared" si="6"/>
        <v>-1.1571180316861445</v>
      </c>
    </row>
    <row r="63" spans="1:20">
      <c r="A63" s="170">
        <v>7511</v>
      </c>
      <c r="B63" s="463" t="str">
        <f>+VLOOKUP($A63,Master!$D$25:$G$223,4,FALSE)</f>
        <v>Pozajmice i krediti od domaćih izvora</v>
      </c>
      <c r="C63" s="464"/>
      <c r="D63" s="464"/>
      <c r="E63" s="464"/>
      <c r="F63" s="464"/>
      <c r="G63" s="189">
        <f>+SUMPRODUCT(('2017'!$G62:$R62)*('2017'!$G$5:$R$5&lt;=Master!$B$3)*($A63='2017'!$A$10:$A$65))</f>
        <v>169535000</v>
      </c>
      <c r="H63" s="189">
        <f>+SUMPRODUCT(('2017'!$G156:$R156)*('2017'!$G$5:$R$5&lt;=Master!$B$3))</f>
        <v>41666666.666666664</v>
      </c>
      <c r="I63" s="238">
        <f t="shared" si="0"/>
        <v>127868333.33333334</v>
      </c>
      <c r="J63" s="239">
        <f t="shared" si="1"/>
        <v>3.0688400000000007</v>
      </c>
      <c r="K63" s="189">
        <f>+SUMPRODUCT(('2016'!$G62:$R62)*('2016'!$G$5:$R$5&lt;=Master!$B$3))</f>
        <v>106770000</v>
      </c>
      <c r="L63" s="238">
        <f t="shared" si="7"/>
        <v>62765000</v>
      </c>
      <c r="M63" s="240">
        <f t="shared" si="2"/>
        <v>0.58785239299428671</v>
      </c>
      <c r="N63" s="189">
        <f>+INDEX('2017'!$1:$1048576,MATCH('Analitika - 2017'!$A63,'2017'!$A:$A,0),MATCH('Analitika - 2017'!$N$6,'2017'!$6:$6,0))</f>
        <v>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-8333333.333333333</v>
      </c>
      <c r="Q63" s="239">
        <f t="shared" si="4"/>
        <v>-1</v>
      </c>
      <c r="R63" s="189">
        <f>+INDEX('2016'!$1:$1048576,MATCH('Analitika - 2017'!$A63,'2016'!$A:$A,0),MATCH('Analitika - 2017'!$R$6,'2016'!$6:$6,0))</f>
        <v>0</v>
      </c>
      <c r="S63" s="238">
        <f t="shared" si="5"/>
        <v>0</v>
      </c>
      <c r="T63" s="240" t="str">
        <f t="shared" si="6"/>
        <v>…</v>
      </c>
    </row>
    <row r="64" spans="1:20">
      <c r="A64" s="170">
        <v>7512</v>
      </c>
      <c r="B64" s="439" t="str">
        <f>+VLOOKUP($A64,Master!$D$25:$G$223,4,FALSE)</f>
        <v>Pozajmice i krediti od inostranih izvora</v>
      </c>
      <c r="C64" s="440"/>
      <c r="D64" s="440"/>
      <c r="E64" s="440"/>
      <c r="F64" s="440"/>
      <c r="G64" s="189">
        <f>+SUMPRODUCT(('2017'!$G63:$R63)*('2017'!$G$5:$R$5&lt;=Master!$B$3)*($A64='2017'!$A$10:$A$65))</f>
        <v>90398750.629999995</v>
      </c>
      <c r="H64" s="189">
        <f>+SUMPRODUCT(('2017'!$G157:$R157)*('2017'!$G$5:$R$5&lt;=Master!$B$3))</f>
        <v>147572426.51452914</v>
      </c>
      <c r="I64" s="238">
        <f t="shared" si="0"/>
        <v>-57173675.884529144</v>
      </c>
      <c r="J64" s="239">
        <f t="shared" si="1"/>
        <v>-0.38742790394450921</v>
      </c>
      <c r="K64" s="189">
        <f>+SUMPRODUCT(('2016'!$G63:$R63)*('2016'!$G$5:$R$5&lt;=Master!$B$3))</f>
        <v>308228442.26000005</v>
      </c>
      <c r="L64" s="238">
        <f t="shared" si="7"/>
        <v>-217829691.63000005</v>
      </c>
      <c r="M64" s="240">
        <f t="shared" si="2"/>
        <v>-0.70671509103061325</v>
      </c>
      <c r="N64" s="189">
        <f>+INDEX('2017'!$1:$1048576,MATCH('Analitika - 2017'!$A64,'2017'!$A:$A,0),MATCH('Analitika - 2017'!$N$6,'2017'!$6:$6,0))</f>
        <v>259019.66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-29255465.642905828</v>
      </c>
      <c r="Q64" s="239">
        <f t="shared" si="4"/>
        <v>-0.99122398180616422</v>
      </c>
      <c r="R64" s="189">
        <f>+INDEX('2016'!$1:$1048576,MATCH('Analitika - 2017'!$A64,'2016'!$A:$A,0),MATCH('Analitika - 2017'!$R$6,'2016'!$6:$6,0))</f>
        <v>680920.6100000001</v>
      </c>
      <c r="S64" s="238">
        <f t="shared" si="5"/>
        <v>-421900.95000000007</v>
      </c>
      <c r="T64" s="240">
        <f t="shared" si="6"/>
        <v>-0.61960373030858917</v>
      </c>
    </row>
    <row r="65" spans="1:20">
      <c r="A65" s="170">
        <v>72</v>
      </c>
      <c r="B65" s="439" t="str">
        <f>+VLOOKUP($A65,Master!$D$25:$G$223,4,FALSE)</f>
        <v>Primici od prodaje imovine</v>
      </c>
      <c r="C65" s="440"/>
      <c r="D65" s="440"/>
      <c r="E65" s="440"/>
      <c r="F65" s="440"/>
      <c r="G65" s="189">
        <f>+SUMPRODUCT(('2017'!$G64:$R64)*('2017'!$G$5:$R$5&lt;=Master!$B$3)*($A65='2017'!$A$10:$A$65))</f>
        <v>1952528.15</v>
      </c>
      <c r="H65" s="189">
        <f>+SUMPRODUCT(('2017'!$G158:$R158)*('2017'!$G$5:$R$5&lt;=Master!$B$3))</f>
        <v>0</v>
      </c>
      <c r="I65" s="238">
        <f t="shared" si="0"/>
        <v>1952528.15</v>
      </c>
      <c r="J65" s="239" t="str">
        <f t="shared" si="1"/>
        <v>…</v>
      </c>
      <c r="K65" s="189">
        <f>+SUMPRODUCT(('2016'!$G64:$R64)*('2016'!$G$5:$R$5&lt;=Master!$B$3))</f>
        <v>964054.9</v>
      </c>
      <c r="L65" s="238">
        <f t="shared" si="7"/>
        <v>988473.24999999988</v>
      </c>
      <c r="M65" s="240">
        <f t="shared" si="2"/>
        <v>1.0253287961090183</v>
      </c>
      <c r="N65" s="189">
        <f>+INDEX('2017'!$1:$1048576,MATCH('Analitika - 2017'!$A65,'2017'!$A:$A,0),MATCH('Analitika - 2017'!$N$6,'2017'!$6:$6,0))</f>
        <v>724479.47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724479.47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103090.11</v>
      </c>
      <c r="S65" s="238">
        <f t="shared" si="5"/>
        <v>621389.36</v>
      </c>
      <c r="T65" s="240">
        <f t="shared" si="6"/>
        <v>6.0276331066093531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-95656034.039999977</v>
      </c>
      <c r="H66" s="399">
        <f>+SUMPRODUCT(('2017'!$G159:$R159)*('2017'!$G$5:$R$5&lt;=Master!$B$3))</f>
        <v>88017167.538872391</v>
      </c>
      <c r="I66" s="252">
        <f t="shared" si="0"/>
        <v>-183673201.57887238</v>
      </c>
      <c r="J66" s="253" t="str">
        <f>+IF(ISNUMBER(G65/H65-1),G65/H65-1,"…")</f>
        <v>…</v>
      </c>
      <c r="K66" s="399">
        <f>+SUMPRODUCT(('2016'!$G65:$R65)*('2016'!$G$5:$R$5&lt;=Master!$B$3))</f>
        <v>17783506.890000004</v>
      </c>
      <c r="L66" s="252">
        <f t="shared" si="7"/>
        <v>-113439540.92999998</v>
      </c>
      <c r="M66" s="254">
        <f t="shared" si="2"/>
        <v>-6.3789184906937075</v>
      </c>
      <c r="N66" s="395">
        <f>+INDEX('2017'!$1:$1048576,MATCH('Analitika - 2017'!$A66,'2017'!$A:$A,0),MATCH('Analitika - 2017'!$N$6,'2017'!$6:$6,0))</f>
        <v>-5701972.1899999799</v>
      </c>
      <c r="O66" s="399">
        <f>+INDEX('2017'!$1:$1048576,MATCH(CONCATENATE('Analitika - 2017'!$A66,"p"),'2017'!$A:$A,0),MATCH('Analitika - 2017'!$O$6,'2017'!$100:$100,0))</f>
        <v>-2583373.9787657186</v>
      </c>
      <c r="P66" s="252">
        <f t="shared" si="3"/>
        <v>-3118598.2112342613</v>
      </c>
      <c r="Q66" s="253">
        <f t="shared" si="4"/>
        <v>1.2071803141426165</v>
      </c>
      <c r="R66" s="399">
        <f>+INDEX('2016'!$1:$1048576,MATCH('Analitika - 2017'!$A66,'2016'!$A:$A,0),MATCH('Analitika - 2017'!$R$6,'2016'!$6:$6,0))</f>
        <v>29247380.390000004</v>
      </c>
      <c r="S66" s="252">
        <f t="shared" si="5"/>
        <v>-34949352.579999983</v>
      </c>
      <c r="T66" s="254">
        <f t="shared" si="6"/>
        <v>-1.1949566803579286</v>
      </c>
    </row>
    <row r="68" spans="1:20">
      <c r="H68" s="396"/>
    </row>
    <row r="69" spans="1:20">
      <c r="G69" s="412"/>
      <c r="H69" s="412"/>
    </row>
    <row r="71" spans="1:20">
      <c r="H71" s="413"/>
    </row>
    <row r="73" spans="1:20">
      <c r="G73" s="413"/>
      <c r="H73" s="413"/>
      <c r="N73" s="413"/>
      <c r="O73" s="413"/>
      <c r="P73" s="413"/>
      <c r="Q73" s="413"/>
      <c r="R73" s="413"/>
      <c r="S73" s="413"/>
      <c r="T73" s="413"/>
    </row>
    <row r="74" spans="1:20">
      <c r="G74" s="413"/>
      <c r="H74" s="413"/>
      <c r="N74" s="413"/>
      <c r="O74" s="413"/>
      <c r="P74" s="413"/>
      <c r="Q74" s="413"/>
      <c r="R74" s="413"/>
      <c r="S74" s="413"/>
      <c r="T74" s="413"/>
    </row>
    <row r="75" spans="1:20">
      <c r="G75" s="413"/>
      <c r="H75" s="413"/>
      <c r="N75" s="413"/>
      <c r="O75" s="413"/>
      <c r="P75" s="413"/>
      <c r="Q75" s="413"/>
      <c r="R75" s="413"/>
      <c r="S75" s="413"/>
      <c r="T75" s="413"/>
    </row>
    <row r="76" spans="1:20">
      <c r="G76" s="413"/>
      <c r="H76" s="413"/>
      <c r="N76" s="413"/>
      <c r="O76" s="413"/>
      <c r="P76" s="413"/>
      <c r="Q76" s="413"/>
      <c r="R76" s="413"/>
      <c r="S76" s="413"/>
      <c r="T76" s="413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Z20" sqref="Z2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69" t="str">
        <f>+Master!G249</f>
        <v>Ostvarenje budžeta</v>
      </c>
      <c r="C7" s="450"/>
      <c r="D7" s="450"/>
      <c r="E7" s="450"/>
      <c r="F7" s="450"/>
      <c r="G7" s="458">
        <v>2017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62"/>
      <c r="S7" s="261" t="str">
        <f>+Master!G246</f>
        <v>BDP</v>
      </c>
      <c r="T7" s="262">
        <v>3957200000</v>
      </c>
    </row>
    <row r="8" spans="1:20" ht="16.5" customHeight="1">
      <c r="A8" s="170"/>
      <c r="B8" s="451"/>
      <c r="C8" s="452"/>
      <c r="D8" s="452"/>
      <c r="E8" s="452"/>
      <c r="F8" s="453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8" t="str">
        <f>+Master!G243</f>
        <v>Jan - Maj</v>
      </c>
      <c r="T8" s="462"/>
    </row>
    <row r="9" spans="1:20" ht="13.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f t="shared" ref="G10:R10" si="1">+G11+G19+SUM(G24:G28)</f>
        <v>73650344.109999999</v>
      </c>
      <c r="H10" s="177">
        <f t="shared" si="1"/>
        <v>88762737.360000014</v>
      </c>
      <c r="I10" s="177">
        <f t="shared" si="1"/>
        <v>135325676.94999999</v>
      </c>
      <c r="J10" s="177">
        <f t="shared" si="1"/>
        <v>124911661.66999999</v>
      </c>
      <c r="K10" s="177">
        <f t="shared" si="1"/>
        <v>125292673.65999998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547943093.75</v>
      </c>
      <c r="T10" s="266">
        <f>+S10/$T$7</f>
        <v>0.13846737434296977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354129862.21000004</v>
      </c>
      <c r="T11" s="269">
        <f t="shared" ref="T11:T65" si="4">+S11/$T$7</f>
        <v>8.949000864500152E-2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0</v>
      </c>
      <c r="M12" s="189">
        <f>+INDEX(DataEx!$1:$1048576,MATCH('2017'!$A12,DataEx!$D:$D,0),MATCH('2017'!M$6,DataEx!$7:$7,0))</f>
        <v>0</v>
      </c>
      <c r="N12" s="189">
        <f>+INDEX(DataEx!$1:$1048576,MATCH('2017'!$A12,DataEx!$D:$D,0),MATCH('2017'!N$6,DataEx!$7:$7,0))</f>
        <v>0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39255278.100000001</v>
      </c>
      <c r="T12" s="271">
        <f t="shared" si="4"/>
        <v>9.9199631304963103E-3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0</v>
      </c>
      <c r="M13" s="189">
        <f>+INDEX(DataEx!$1:$1048576,MATCH('2017'!$A13,DataEx!$D:$D,0),MATCH('2017'!M$6,DataEx!$7:$7,0))</f>
        <v>0</v>
      </c>
      <c r="N13" s="189">
        <f>+INDEX(DataEx!$1:$1048576,MATCH('2017'!$A13,DataEx!$D:$D,0),MATCH('2017'!N$6,DataEx!$7:$7,0))</f>
        <v>0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36676993.840000004</v>
      </c>
      <c r="T13" s="271">
        <f t="shared" si="4"/>
        <v>9.2684205599919151E-3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0</v>
      </c>
      <c r="M14" s="189">
        <f>+INDEX(DataEx!$1:$1048576,MATCH('2017'!$A14,DataEx!$D:$D,0),MATCH('2017'!M$6,DataEx!$7:$7,0))</f>
        <v>0</v>
      </c>
      <c r="N14" s="189">
        <f>+INDEX(DataEx!$1:$1048576,MATCH('2017'!$A14,DataEx!$D:$D,0),MATCH('2017'!N$6,DataEx!$7:$7,0))</f>
        <v>0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528006.03</v>
      </c>
      <c r="T14" s="271">
        <f t="shared" si="4"/>
        <v>1.3342919993935106E-4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0</v>
      </c>
      <c r="M15" s="189">
        <f>+INDEX(DataEx!$1:$1048576,MATCH('2017'!$A15,DataEx!$D:$D,0),MATCH('2017'!M$6,DataEx!$7:$7,0))</f>
        <v>0</v>
      </c>
      <c r="N15" s="189">
        <f>+INDEX(DataEx!$1:$1048576,MATCH('2017'!$A15,DataEx!$D:$D,0),MATCH('2017'!N$6,DataEx!$7:$7,0))</f>
        <v>0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190377539.38999999</v>
      </c>
      <c r="T15" s="271">
        <f t="shared" si="4"/>
        <v>4.8109152782270286E-2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0</v>
      </c>
      <c r="M16" s="189">
        <f>+INDEX(DataEx!$1:$1048576,MATCH('2017'!$A16,DataEx!$D:$D,0),MATCH('2017'!M$6,DataEx!$7:$7,0))</f>
        <v>0</v>
      </c>
      <c r="N16" s="189">
        <f>+INDEX(DataEx!$1:$1048576,MATCH('2017'!$A16,DataEx!$D:$D,0),MATCH('2017'!N$6,DataEx!$7:$7,0))</f>
        <v>0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74527726.439999998</v>
      </c>
      <c r="T16" s="271">
        <f t="shared" si="4"/>
        <v>1.883344951986253E-2</v>
      </c>
    </row>
    <row r="17" spans="1:25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0</v>
      </c>
      <c r="M17" s="189">
        <f>+INDEX(DataEx!$1:$1048576,MATCH('2017'!$A17,DataEx!$D:$D,0),MATCH('2017'!M$6,DataEx!$7:$7,0))</f>
        <v>0</v>
      </c>
      <c r="N17" s="189">
        <f>+INDEX(DataEx!$1:$1048576,MATCH('2017'!$A17,DataEx!$D:$D,0),MATCH('2017'!N$6,DataEx!$7:$7,0))</f>
        <v>0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9185676.1100000013</v>
      </c>
      <c r="T17" s="271">
        <f t="shared" si="4"/>
        <v>2.3212564717477006E-3</v>
      </c>
    </row>
    <row r="18" spans="1:25">
      <c r="A18" s="176">
        <v>7118</v>
      </c>
      <c r="B18" s="421" t="str">
        <f>+VLOOKUP($A18,Master!$D$25:$G$223,4,FALSE)</f>
        <v>Ostali državni porezi</v>
      </c>
      <c r="C18" s="422"/>
      <c r="D18" s="422"/>
      <c r="E18" s="422"/>
      <c r="F18" s="422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0</v>
      </c>
      <c r="M18" s="189">
        <f>+INDEX(DataEx!$1:$1048576,MATCH('2017'!$A18,DataEx!$D:$D,0),MATCH('2017'!M$6,DataEx!$7:$7,0))</f>
        <v>0</v>
      </c>
      <c r="N18" s="189">
        <f>+INDEX(DataEx!$1:$1048576,MATCH('2017'!$A18,DataEx!$D:$D,0),MATCH('2017'!N$6,DataEx!$7:$7,0))</f>
        <v>0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3578642.3</v>
      </c>
      <c r="T18" s="271">
        <f t="shared" si="4"/>
        <v>9.0433698069341953E-4</v>
      </c>
    </row>
    <row r="19" spans="1:25">
      <c r="A19" s="176">
        <v>712</v>
      </c>
      <c r="B19" s="425" t="str">
        <f>+VLOOKUP($A19,Master!$D$25:$G$223,4,FALSE)</f>
        <v>Doprinosi</v>
      </c>
      <c r="C19" s="426"/>
      <c r="D19" s="426"/>
      <c r="E19" s="426"/>
      <c r="F19" s="426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0</v>
      </c>
      <c r="M19" s="195">
        <f>+INDEX(DataEx!$1:$1048576,MATCH('2017'!$A19,DataEx!$D:$D,0),MATCH('2017'!M$6,DataEx!$7:$7,0))</f>
        <v>0</v>
      </c>
      <c r="N19" s="195">
        <f>+INDEX(DataEx!$1:$1048576,MATCH('2017'!$A19,DataEx!$D:$D,0),MATCH('2017'!N$6,DataEx!$7:$7,0))</f>
        <v>0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162245132.88999999</v>
      </c>
      <c r="T19" s="274">
        <f t="shared" si="4"/>
        <v>4.0999983041039113E-2</v>
      </c>
    </row>
    <row r="20" spans="1:25">
      <c r="A20" s="176">
        <v>7121</v>
      </c>
      <c r="B20" s="421" t="str">
        <f>+VLOOKUP($A20,Master!$D$25:$G$223,4,FALSE)</f>
        <v>Doprinosi za penzijsko i invalidsko osiguranje</v>
      </c>
      <c r="C20" s="422"/>
      <c r="D20" s="422"/>
      <c r="E20" s="422"/>
      <c r="F20" s="422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0</v>
      </c>
      <c r="M20" s="189">
        <f>+INDEX(DataEx!$1:$1048576,MATCH('2017'!$A20,DataEx!$D:$D,0),MATCH('2017'!M$6,DataEx!$7:$7,0))</f>
        <v>0</v>
      </c>
      <c r="N20" s="189">
        <f>+INDEX(DataEx!$1:$1048576,MATCH('2017'!$A20,DataEx!$D:$D,0),MATCH('2017'!N$6,DataEx!$7:$7,0))</f>
        <v>0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97558953.180000007</v>
      </c>
      <c r="T20" s="271">
        <f t="shared" si="4"/>
        <v>2.4653531077529569E-2</v>
      </c>
    </row>
    <row r="21" spans="1:25">
      <c r="A21" s="176">
        <v>7122</v>
      </c>
      <c r="B21" s="421" t="str">
        <f>+VLOOKUP($A21,Master!$D$25:$G$223,4,FALSE)</f>
        <v>Doprinosi za zdravstveno osiguranje</v>
      </c>
      <c r="C21" s="422"/>
      <c r="D21" s="422"/>
      <c r="E21" s="422"/>
      <c r="F21" s="422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0</v>
      </c>
      <c r="M21" s="189">
        <f>+INDEX(DataEx!$1:$1048576,MATCH('2017'!$A21,DataEx!$D:$D,0),MATCH('2017'!M$6,DataEx!$7:$7,0))</f>
        <v>0</v>
      </c>
      <c r="N21" s="189">
        <f>+INDEX(DataEx!$1:$1048576,MATCH('2017'!$A21,DataEx!$D:$D,0),MATCH('2017'!N$6,DataEx!$7:$7,0))</f>
        <v>0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56127432.339999996</v>
      </c>
      <c r="T21" s="271">
        <f t="shared" si="4"/>
        <v>1.4183622849489538E-2</v>
      </c>
    </row>
    <row r="22" spans="1:25">
      <c r="A22" s="176">
        <v>7123</v>
      </c>
      <c r="B22" s="421" t="str">
        <f>+VLOOKUP($A22,Master!$D$25:$G$223,4,FALSE)</f>
        <v>Doprinosi za osiguranje od nezaposlenosti</v>
      </c>
      <c r="C22" s="422"/>
      <c r="D22" s="422"/>
      <c r="E22" s="422"/>
      <c r="F22" s="422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0</v>
      </c>
      <c r="M22" s="189">
        <f>+INDEX(DataEx!$1:$1048576,MATCH('2017'!$A22,DataEx!$D:$D,0),MATCH('2017'!M$6,DataEx!$7:$7,0))</f>
        <v>0</v>
      </c>
      <c r="N22" s="189">
        <f>+INDEX(DataEx!$1:$1048576,MATCH('2017'!$A22,DataEx!$D:$D,0),MATCH('2017'!N$6,DataEx!$7:$7,0))</f>
        <v>0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4470071</v>
      </c>
      <c r="T22" s="271">
        <f t="shared" si="4"/>
        <v>1.1296045183463055E-3</v>
      </c>
    </row>
    <row r="23" spans="1:25">
      <c r="A23" s="176">
        <v>7124</v>
      </c>
      <c r="B23" s="421" t="str">
        <f>+VLOOKUP($A23,Master!$D$25:$G$223,4,FALSE)</f>
        <v>Ostali doprinosi</v>
      </c>
      <c r="C23" s="422"/>
      <c r="D23" s="422"/>
      <c r="E23" s="422"/>
      <c r="F23" s="422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0</v>
      </c>
      <c r="M23" s="189">
        <f>+INDEX(DataEx!$1:$1048576,MATCH('2017'!$A23,DataEx!$D:$D,0),MATCH('2017'!M$6,DataEx!$7:$7,0))</f>
        <v>0</v>
      </c>
      <c r="N23" s="189">
        <f>+INDEX(DataEx!$1:$1048576,MATCH('2017'!$A23,DataEx!$D:$D,0),MATCH('2017'!N$6,DataEx!$7:$7,0))</f>
        <v>0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4088676.37</v>
      </c>
      <c r="T23" s="271">
        <f t="shared" si="4"/>
        <v>1.0332245956737086E-3</v>
      </c>
      <c r="Y23" s="380"/>
    </row>
    <row r="24" spans="1:25">
      <c r="A24" s="176">
        <v>713</v>
      </c>
      <c r="B24" s="423" t="str">
        <f>+VLOOKUP($A24,Master!$D$25:$G$223,4,FALSE)</f>
        <v>Takse</v>
      </c>
      <c r="C24" s="424"/>
      <c r="D24" s="424"/>
      <c r="E24" s="424"/>
      <c r="F24" s="424"/>
      <c r="G24" s="201">
        <f>+INDEX(DataEx!$1:$1048576,MATCH('2017'!$A24,DataEx!$D:$D,0),MATCH('2017'!G$6,DataEx!$7:$7,0))</f>
        <v>550918.32999999996</v>
      </c>
      <c r="H24" s="201">
        <f>+INDEX(DataEx!$1:$1048576,MATCH('2017'!$A24,DataEx!$D:$D,0),MATCH('2017'!H$6,DataEx!$7:$7,0))</f>
        <v>772214.17</v>
      </c>
      <c r="I24" s="201">
        <f>+INDEX(DataEx!$1:$1048576,MATCH('2017'!$A24,DataEx!$D:$D,0),MATCH('2017'!I$6,DataEx!$7:$7,0))</f>
        <v>959047.52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979495.57</v>
      </c>
      <c r="L24" s="201">
        <f>+INDEX(DataEx!$1:$1048576,MATCH('2017'!$A24,DataEx!$D:$D,0),MATCH('2017'!L$6,DataEx!$7:$7,0))</f>
        <v>0</v>
      </c>
      <c r="M24" s="201">
        <f>+INDEX(DataEx!$1:$1048576,MATCH('2017'!$A24,DataEx!$D:$D,0),MATCH('2017'!M$6,DataEx!$7:$7,0))</f>
        <v>0</v>
      </c>
      <c r="N24" s="201">
        <f>+INDEX(DataEx!$1:$1048576,MATCH('2017'!$A24,DataEx!$D:$D,0),MATCH('2017'!N$6,DataEx!$7:$7,0))</f>
        <v>0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4162122.51</v>
      </c>
      <c r="T24" s="274">
        <f t="shared" si="4"/>
        <v>1.0517847240473061E-3</v>
      </c>
      <c r="Y24" s="380"/>
    </row>
    <row r="25" spans="1:25">
      <c r="A25" s="176">
        <v>714</v>
      </c>
      <c r="B25" s="423" t="str">
        <f>+VLOOKUP($A25,Master!$D$25:$G$223,4,FALSE)</f>
        <v>Naknade</v>
      </c>
      <c r="C25" s="424"/>
      <c r="D25" s="424"/>
      <c r="E25" s="424"/>
      <c r="F25" s="424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0</v>
      </c>
      <c r="M25" s="201">
        <f>+INDEX(DataEx!$1:$1048576,MATCH('2017'!$A25,DataEx!$D:$D,0),MATCH('2017'!M$6,DataEx!$7:$7,0))</f>
        <v>0</v>
      </c>
      <c r="N25" s="201">
        <f>+INDEX(DataEx!$1:$1048576,MATCH('2017'!$A25,DataEx!$D:$D,0),MATCH('2017'!N$6,DataEx!$7:$7,0))</f>
        <v>0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7956353.669999999</v>
      </c>
      <c r="T25" s="274">
        <f t="shared" si="4"/>
        <v>2.0106018573739005E-3</v>
      </c>
      <c r="W25" s="367"/>
    </row>
    <row r="26" spans="1:25">
      <c r="A26" s="176">
        <v>715</v>
      </c>
      <c r="B26" s="423" t="str">
        <f>+VLOOKUP($A26,Master!$D$25:$G$223,4,FALSE)</f>
        <v>Ostali prihodi</v>
      </c>
      <c r="C26" s="424"/>
      <c r="D26" s="424"/>
      <c r="E26" s="424"/>
      <c r="F26" s="424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2195271.4</v>
      </c>
      <c r="L26" s="201">
        <f>+INDEX(DataEx!$1:$1048576,MATCH('2017'!$A26,DataEx!$D:$D,0),MATCH('2017'!L$6,DataEx!$7:$7,0))</f>
        <v>0</v>
      </c>
      <c r="M26" s="201">
        <f>+INDEX(DataEx!$1:$1048576,MATCH('2017'!$A26,DataEx!$D:$D,0),MATCH('2017'!M$6,DataEx!$7:$7,0))</f>
        <v>0</v>
      </c>
      <c r="N26" s="201">
        <f>+INDEX(DataEx!$1:$1048576,MATCH('2017'!$A26,DataEx!$D:$D,0),MATCH('2017'!N$6,DataEx!$7:$7,0))</f>
        <v>0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11886035.810000001</v>
      </c>
      <c r="T26" s="274">
        <f t="shared" si="4"/>
        <v>3.0036479859496617E-3</v>
      </c>
    </row>
    <row r="27" spans="1:25">
      <c r="A27" s="176">
        <v>73</v>
      </c>
      <c r="B27" s="423" t="str">
        <f>+VLOOKUP($A27,Master!$D$25:$G$223,4,FALSE)</f>
        <v>Primici od otplate kredita i sredstva prenesena iz prethodne godine</v>
      </c>
      <c r="C27" s="424"/>
      <c r="D27" s="424"/>
      <c r="E27" s="424"/>
      <c r="F27" s="424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0</v>
      </c>
      <c r="M27" s="201">
        <f>+INDEX(DataEx!$1:$1048576,MATCH('2017'!$A27,DataEx!$D:$D,0),MATCH('2017'!M$6,DataEx!$7:$7,0))</f>
        <v>0</v>
      </c>
      <c r="N27" s="201">
        <f>+INDEX(DataEx!$1:$1048576,MATCH('2017'!$A27,DataEx!$D:$D,0),MATCH('2017'!N$6,DataEx!$7:$7,0))</f>
        <v>0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1183894.05</v>
      </c>
      <c r="T27" s="274">
        <f t="shared" si="4"/>
        <v>2.991746815930456E-4</v>
      </c>
    </row>
    <row r="28" spans="1:25" ht="13.5" thickBot="1">
      <c r="A28" s="176">
        <v>74</v>
      </c>
      <c r="B28" s="427" t="str">
        <f>+VLOOKUP($A28,Master!$D$25:$G$223,4,FALSE)</f>
        <v>Donacije i transferi</v>
      </c>
      <c r="C28" s="428"/>
      <c r="D28" s="428"/>
      <c r="E28" s="428"/>
      <c r="F28" s="428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1896583.06</v>
      </c>
      <c r="L28" s="201">
        <f>+INDEX(DataEx!$1:$1048576,MATCH('2017'!$A28,DataEx!$D:$D,0),MATCH('2017'!L$6,DataEx!$7:$7,0))</f>
        <v>0</v>
      </c>
      <c r="M28" s="201">
        <f>+INDEX(DataEx!$1:$1048576,MATCH('2017'!$A28,DataEx!$D:$D,0),MATCH('2017'!M$6,DataEx!$7:$7,0))</f>
        <v>0</v>
      </c>
      <c r="N28" s="201">
        <f>+INDEX(DataEx!$1:$1048576,MATCH('2017'!$A28,DataEx!$D:$D,0),MATCH('2017'!N$6,DataEx!$7:$7,0))</f>
        <v>0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6379692.6100000013</v>
      </c>
      <c r="T28" s="277">
        <f t="shared" si="4"/>
        <v>1.6121734079652282E-3</v>
      </c>
    </row>
    <row r="29" spans="1:25" ht="13.5" thickBot="1">
      <c r="A29" s="176">
        <v>4</v>
      </c>
      <c r="B29" s="429" t="str">
        <f>+VLOOKUP($A29,Master!$D$25:$G$223,4,FALSE)</f>
        <v>Budžetki izdaci</v>
      </c>
      <c r="C29" s="430"/>
      <c r="D29" s="430"/>
      <c r="E29" s="430"/>
      <c r="F29" s="430"/>
      <c r="G29" s="177">
        <f>+G31+G42+G48+SUM(G49:G53)</f>
        <v>95291519.709999993</v>
      </c>
      <c r="H29" s="177">
        <f t="shared" ref="H29:R29" si="5">+H31+H42+H48+SUM(H49:H53)</f>
        <v>106508736.56999999</v>
      </c>
      <c r="I29" s="177">
        <f t="shared" si="5"/>
        <v>166447156.89000002</v>
      </c>
      <c r="J29" s="177">
        <f t="shared" si="5"/>
        <v>122763183.57999998</v>
      </c>
      <c r="K29" s="177">
        <f t="shared" si="5"/>
        <v>114504021.78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605514618.52999997</v>
      </c>
      <c r="T29" s="279">
        <f t="shared" si="4"/>
        <v>0.15301592503032446</v>
      </c>
    </row>
    <row r="30" spans="1:25" ht="13.5" thickBot="1">
      <c r="A30" s="176">
        <v>41</v>
      </c>
      <c r="B30" s="431" t="str">
        <f>+VLOOKUP($A30,Master!$D$25:$G$223,4,FALSE)</f>
        <v>Tekući izdaci</v>
      </c>
      <c r="C30" s="432"/>
      <c r="D30" s="432"/>
      <c r="E30" s="432"/>
      <c r="F30" s="432"/>
      <c r="G30" s="207">
        <f>+G29-G49</f>
        <v>95181875.269999996</v>
      </c>
      <c r="H30" s="207">
        <f t="shared" ref="H30:R30" si="6">+H29-H49</f>
        <v>105017146.22999999</v>
      </c>
      <c r="I30" s="207">
        <f t="shared" si="6"/>
        <v>159084336.40000001</v>
      </c>
      <c r="J30" s="207">
        <f t="shared" si="6"/>
        <v>115844666.31999998</v>
      </c>
      <c r="K30" s="207">
        <f t="shared" si="6"/>
        <v>111992277.61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587120301.82999992</v>
      </c>
      <c r="T30" s="281">
        <f t="shared" si="4"/>
        <v>0.14836760887243503</v>
      </c>
    </row>
    <row r="31" spans="1:25">
      <c r="A31" s="176">
        <v>40</v>
      </c>
      <c r="B31" s="433" t="str">
        <f>+VLOOKUP($A31,Master!$D$25:$G$223,4,FALSE)</f>
        <v>Tekući budžetski izdaci</v>
      </c>
      <c r="C31" s="434"/>
      <c r="D31" s="434"/>
      <c r="E31" s="434"/>
      <c r="F31" s="434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96996429.859999999</v>
      </c>
      <c r="J31" s="213">
        <f t="shared" si="7"/>
        <v>52539949.539999992</v>
      </c>
      <c r="K31" s="213">
        <f t="shared" si="7"/>
        <v>49418725.530000009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290995298.25999999</v>
      </c>
      <c r="T31" s="269">
        <f t="shared" si="4"/>
        <v>7.3535656085110687E-2</v>
      </c>
    </row>
    <row r="32" spans="1:25">
      <c r="A32" s="176">
        <v>411</v>
      </c>
      <c r="B32" s="421" t="str">
        <f>+VLOOKUP($A32,Master!$D$25:$G$223,4,FALSE)</f>
        <v>Bruto zarade i doprinosi na teret poslodavca</v>
      </c>
      <c r="C32" s="422"/>
      <c r="D32" s="422"/>
      <c r="E32" s="422"/>
      <c r="F32" s="422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0</v>
      </c>
      <c r="M32" s="189">
        <f>+INDEX(DataEx!$1:$1048576,MATCH('2017'!$A32,DataEx!$D:$D,0),MATCH('2017'!M$6,DataEx!$7:$7,0))</f>
        <v>0</v>
      </c>
      <c r="N32" s="189">
        <f>+INDEX(DataEx!$1:$1048576,MATCH('2017'!$A32,DataEx!$D:$D,0),MATCH('2017'!N$6,DataEx!$7:$7,0))</f>
        <v>0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180100740.43000004</v>
      </c>
      <c r="T32" s="271">
        <f t="shared" si="4"/>
        <v>4.5512165275952705E-2</v>
      </c>
    </row>
    <row r="33" spans="1:22">
      <c r="A33" s="176">
        <v>412</v>
      </c>
      <c r="B33" s="421" t="str">
        <f>+VLOOKUP($A33,Master!$D$25:$G$223,4,FALSE)</f>
        <v>Ostala lična primanja</v>
      </c>
      <c r="C33" s="422"/>
      <c r="D33" s="422"/>
      <c r="E33" s="422"/>
      <c r="F33" s="422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764036.59</v>
      </c>
      <c r="L33" s="189">
        <f>+INDEX(DataEx!$1:$1048576,MATCH('2017'!$A33,DataEx!$D:$D,0),MATCH('2017'!L$6,DataEx!$7:$7,0))</f>
        <v>0</v>
      </c>
      <c r="M33" s="189">
        <f>+INDEX(DataEx!$1:$1048576,MATCH('2017'!$A33,DataEx!$D:$D,0),MATCH('2017'!M$6,DataEx!$7:$7,0))</f>
        <v>0</v>
      </c>
      <c r="N33" s="189">
        <f>+INDEX(DataEx!$1:$1048576,MATCH('2017'!$A33,DataEx!$D:$D,0),MATCH('2017'!N$6,DataEx!$7:$7,0))</f>
        <v>0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3377056.5799999996</v>
      </c>
      <c r="T33" s="271">
        <f t="shared" si="4"/>
        <v>8.5339547659961574E-4</v>
      </c>
      <c r="U33" s="368"/>
    </row>
    <row r="34" spans="1:22">
      <c r="A34" s="176">
        <v>413</v>
      </c>
      <c r="B34" s="421" t="str">
        <f>+VLOOKUP($A34,Master!$D$25:$G$223,4,FALSE)</f>
        <v>Rashodi za materijal</v>
      </c>
      <c r="C34" s="422"/>
      <c r="D34" s="422"/>
      <c r="E34" s="422"/>
      <c r="F34" s="422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2065751.38</v>
      </c>
      <c r="L34" s="189">
        <f>+INDEX(DataEx!$1:$1048576,MATCH('2017'!$A34,DataEx!$D:$D,0),MATCH('2017'!L$6,DataEx!$7:$7,0))</f>
        <v>0</v>
      </c>
      <c r="M34" s="189">
        <f>+INDEX(DataEx!$1:$1048576,MATCH('2017'!$A34,DataEx!$D:$D,0),MATCH('2017'!M$6,DataEx!$7:$7,0))</f>
        <v>0</v>
      </c>
      <c r="N34" s="189">
        <f>+INDEX(DataEx!$1:$1048576,MATCH('2017'!$A34,DataEx!$D:$D,0),MATCH('2017'!N$6,DataEx!$7:$7,0))</f>
        <v>0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9779685.4199999999</v>
      </c>
      <c r="T34" s="271">
        <f t="shared" si="4"/>
        <v>2.4713649600727789E-3</v>
      </c>
      <c r="U34" s="386"/>
      <c r="V34" s="366"/>
    </row>
    <row r="35" spans="1:22">
      <c r="A35" s="176">
        <v>414</v>
      </c>
      <c r="B35" s="421" t="str">
        <f>+VLOOKUP($A35,Master!$D$25:$G$223,4,FALSE)</f>
        <v>Rashodi za usluge</v>
      </c>
      <c r="C35" s="422"/>
      <c r="D35" s="422"/>
      <c r="E35" s="422"/>
      <c r="F35" s="422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7050655.3200000003</v>
      </c>
      <c r="J35" s="189">
        <f>+INDEX(DataEx!$1:$1048576,MATCH('2017'!$A35,DataEx!$D:$D,0),MATCH('2017'!J$6,DataEx!$7:$7,0))</f>
        <v>4695470.62</v>
      </c>
      <c r="K35" s="189">
        <f>+INDEX(DataEx!$1:$1048576,MATCH('2017'!$A35,DataEx!$D:$D,0),MATCH('2017'!K$6,DataEx!$7:$7,0))</f>
        <v>3519706.95</v>
      </c>
      <c r="L35" s="189">
        <f>+INDEX(DataEx!$1:$1048576,MATCH('2017'!$A35,DataEx!$D:$D,0),MATCH('2017'!L$6,DataEx!$7:$7,0))</f>
        <v>0</v>
      </c>
      <c r="M35" s="189">
        <f>+INDEX(DataEx!$1:$1048576,MATCH('2017'!$A35,DataEx!$D:$D,0),MATCH('2017'!M$6,DataEx!$7:$7,0))</f>
        <v>0</v>
      </c>
      <c r="N35" s="189">
        <f>+INDEX(DataEx!$1:$1048576,MATCH('2017'!$A35,DataEx!$D:$D,0),MATCH('2017'!N$6,DataEx!$7:$7,0))</f>
        <v>0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20030831.039999999</v>
      </c>
      <c r="T35" s="271">
        <f t="shared" si="4"/>
        <v>5.0618697665015663E-3</v>
      </c>
    </row>
    <row r="36" spans="1:22">
      <c r="A36" s="176">
        <v>415</v>
      </c>
      <c r="B36" s="421" t="str">
        <f>+VLOOKUP($A36,Master!$D$25:$G$223,4,FALSE)</f>
        <v>Rashodi za tekuće održavanje</v>
      </c>
      <c r="C36" s="422"/>
      <c r="D36" s="422"/>
      <c r="E36" s="422"/>
      <c r="F36" s="422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0</v>
      </c>
      <c r="M36" s="189">
        <f>+INDEX(DataEx!$1:$1048576,MATCH('2017'!$A36,DataEx!$D:$D,0),MATCH('2017'!M$6,DataEx!$7:$7,0))</f>
        <v>0</v>
      </c>
      <c r="N36" s="189">
        <f>+INDEX(DataEx!$1:$1048576,MATCH('2017'!$A36,DataEx!$D:$D,0),MATCH('2017'!N$6,DataEx!$7:$7,0))</f>
        <v>0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6035037.75</v>
      </c>
      <c r="T36" s="271">
        <f t="shared" si="4"/>
        <v>1.5250777696350956E-3</v>
      </c>
    </row>
    <row r="37" spans="1:22">
      <c r="A37" s="176">
        <v>416</v>
      </c>
      <c r="B37" s="421" t="str">
        <f>+VLOOKUP($A37,Master!$D$25:$G$223,4,FALSE)</f>
        <v>Kamate</v>
      </c>
      <c r="C37" s="422"/>
      <c r="D37" s="422"/>
      <c r="E37" s="422"/>
      <c r="F37" s="422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39354310.549999997</v>
      </c>
      <c r="J37" s="189">
        <f>+INDEX(DataEx!$1:$1048576,MATCH('2017'!$A37,DataEx!$D:$D,0),MATCH('2017'!J$6,DataEx!$7:$7,0))</f>
        <v>673486.43</v>
      </c>
      <c r="K37" s="189">
        <f>+INDEX(DataEx!$1:$1048576,MATCH('2017'!$A37,DataEx!$D:$D,0),MATCH('2017'!K$6,DataEx!$7:$7,0))</f>
        <v>1301185.95</v>
      </c>
      <c r="L37" s="189">
        <f>+INDEX(DataEx!$1:$1048576,MATCH('2017'!$A37,DataEx!$D:$D,0),MATCH('2017'!L$6,DataEx!$7:$7,0))</f>
        <v>0</v>
      </c>
      <c r="M37" s="189">
        <f>+INDEX(DataEx!$1:$1048576,MATCH('2017'!$A37,DataEx!$D:$D,0),MATCH('2017'!M$6,DataEx!$7:$7,0))</f>
        <v>0</v>
      </c>
      <c r="N37" s="189">
        <f>+INDEX(DataEx!$1:$1048576,MATCH('2017'!$A37,DataEx!$D:$D,0),MATCH('2017'!N$6,DataEx!$7:$7,0))</f>
        <v>0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45671610.549999997</v>
      </c>
      <c r="T37" s="271">
        <f t="shared" si="4"/>
        <v>1.1541395570100071E-2</v>
      </c>
    </row>
    <row r="38" spans="1:22">
      <c r="A38" s="176">
        <v>417</v>
      </c>
      <c r="B38" s="421" t="str">
        <f>+VLOOKUP($A38,Master!$D$25:$G$223,4,FALSE)</f>
        <v>Renta</v>
      </c>
      <c r="C38" s="422"/>
      <c r="D38" s="422"/>
      <c r="E38" s="422"/>
      <c r="F38" s="422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0</v>
      </c>
      <c r="M38" s="189">
        <f>+INDEX(DataEx!$1:$1048576,MATCH('2017'!$A38,DataEx!$D:$D,0),MATCH('2017'!M$6,DataEx!$7:$7,0))</f>
        <v>0</v>
      </c>
      <c r="N38" s="189">
        <f>+INDEX(DataEx!$1:$1048576,MATCH('2017'!$A38,DataEx!$D:$D,0),MATCH('2017'!N$6,DataEx!$7:$7,0))</f>
        <v>0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3220596.75</v>
      </c>
      <c r="T38" s="271">
        <f t="shared" si="4"/>
        <v>8.1385746234711412E-4</v>
      </c>
    </row>
    <row r="39" spans="1:22">
      <c r="A39" s="176">
        <v>418</v>
      </c>
      <c r="B39" s="421" t="str">
        <f>+VLOOKUP($A39,Master!$D$25:$G$223,4,FALSE)</f>
        <v>Subvencije</v>
      </c>
      <c r="C39" s="422"/>
      <c r="D39" s="422"/>
      <c r="E39" s="422"/>
      <c r="F39" s="422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0</v>
      </c>
      <c r="M39" s="189">
        <f>+INDEX(DataEx!$1:$1048576,MATCH('2017'!$A39,DataEx!$D:$D,0),MATCH('2017'!M$6,DataEx!$7:$7,0))</f>
        <v>0</v>
      </c>
      <c r="N39" s="189">
        <f>+INDEX(DataEx!$1:$1048576,MATCH('2017'!$A39,DataEx!$D:$D,0),MATCH('2017'!N$6,DataEx!$7:$7,0))</f>
        <v>0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4438463.4400000004</v>
      </c>
      <c r="T39" s="271">
        <f t="shared" si="4"/>
        <v>1.1216171636510665E-3</v>
      </c>
    </row>
    <row r="40" spans="1:22">
      <c r="A40" s="176">
        <v>419</v>
      </c>
      <c r="B40" s="421" t="str">
        <f>+VLOOKUP($A40,Master!$D$25:$G$223,4,FALSE)</f>
        <v>Ostali izdaci</v>
      </c>
      <c r="C40" s="422"/>
      <c r="D40" s="422"/>
      <c r="E40" s="422"/>
      <c r="F40" s="422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0</v>
      </c>
      <c r="M40" s="189">
        <f>+INDEX(DataEx!$1:$1048576,MATCH('2017'!$A40,DataEx!$D:$D,0),MATCH('2017'!M$6,DataEx!$7:$7,0))</f>
        <v>0</v>
      </c>
      <c r="N40" s="189">
        <f>+INDEX(DataEx!$1:$1048576,MATCH('2017'!$A40,DataEx!$D:$D,0),MATCH('2017'!N$6,DataEx!$7:$7,0))</f>
        <v>0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11475473.85</v>
      </c>
      <c r="T40" s="271">
        <f t="shared" si="4"/>
        <v>2.8998973642979883E-3</v>
      </c>
    </row>
    <row r="41" spans="1:22">
      <c r="A41" s="176">
        <v>440</v>
      </c>
      <c r="B41" s="421" t="str">
        <f>+VLOOKUP($A41,Master!$D$25:$G$223,4,FALSE)</f>
        <v>Kapitalni izdaci u tekućem budžetu</v>
      </c>
      <c r="C41" s="422"/>
      <c r="D41" s="422"/>
      <c r="E41" s="422"/>
      <c r="F41" s="422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1582796.93</v>
      </c>
      <c r="L41" s="189">
        <f>+INDEX(DataEx!$1:$1048576,MATCH('2017'!$A41,DataEx!$D:$D,0),MATCH('2017'!L$6,DataEx!$7:$7,0))</f>
        <v>0</v>
      </c>
      <c r="M41" s="189">
        <f>+INDEX(DataEx!$1:$1048576,MATCH('2017'!$A41,DataEx!$D:$D,0),MATCH('2017'!M$6,DataEx!$7:$7,0))</f>
        <v>0</v>
      </c>
      <c r="N41" s="189">
        <f>+INDEX(DataEx!$1:$1048576,MATCH('2017'!$A41,DataEx!$D:$D,0),MATCH('2017'!N$6,DataEx!$7:$7,0))</f>
        <v>0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6865802.4499999993</v>
      </c>
      <c r="T41" s="271">
        <f t="shared" si="4"/>
        <v>1.7350152759526935E-3</v>
      </c>
    </row>
    <row r="42" spans="1:22">
      <c r="A42" s="176">
        <v>42</v>
      </c>
      <c r="B42" s="437" t="str">
        <f>+VLOOKUP($A42,Master!$D$25:$G$223,4,FALSE)</f>
        <v>Transferi za socijalnu zaštitu</v>
      </c>
      <c r="C42" s="438"/>
      <c r="D42" s="438"/>
      <c r="E42" s="438"/>
      <c r="F42" s="438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227532930.24000001</v>
      </c>
      <c r="T42" s="274">
        <f t="shared" si="4"/>
        <v>5.7498466147781264E-2</v>
      </c>
    </row>
    <row r="43" spans="1:22">
      <c r="A43" s="176">
        <v>421</v>
      </c>
      <c r="B43" s="421" t="str">
        <f>+VLOOKUP($A43,Master!$D$25:$G$223,4,FALSE)</f>
        <v>Prava iz oblasti socijalne zaštite</v>
      </c>
      <c r="C43" s="422"/>
      <c r="D43" s="422"/>
      <c r="E43" s="422"/>
      <c r="F43" s="422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0</v>
      </c>
      <c r="M43" s="189">
        <f>+INDEX(DataEx!$1:$1048576,MATCH('2017'!$A43,DataEx!$D:$D,0),MATCH('2017'!M$6,DataEx!$7:$7,0))</f>
        <v>0</v>
      </c>
      <c r="N43" s="189">
        <f>+INDEX(DataEx!$1:$1048576,MATCH('2017'!$A43,DataEx!$D:$D,0),MATCH('2017'!N$6,DataEx!$7:$7,0))</f>
        <v>0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48065950.079999998</v>
      </c>
      <c r="T43" s="271">
        <f t="shared" si="4"/>
        <v>1.2146454584049327E-2</v>
      </c>
    </row>
    <row r="44" spans="1:22">
      <c r="A44" s="176">
        <v>422</v>
      </c>
      <c r="B44" s="421" t="str">
        <f>+VLOOKUP($A44,Master!$D$25:$G$223,4,FALSE)</f>
        <v>Sredstva za tehnološke viškove</v>
      </c>
      <c r="C44" s="422"/>
      <c r="D44" s="422"/>
      <c r="E44" s="422"/>
      <c r="F44" s="422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0</v>
      </c>
      <c r="M44" s="189">
        <f>+INDEX(DataEx!$1:$1048576,MATCH('2017'!$A44,DataEx!$D:$D,0),MATCH('2017'!M$6,DataEx!$7:$7,0))</f>
        <v>0</v>
      </c>
      <c r="N44" s="189">
        <f>+INDEX(DataEx!$1:$1048576,MATCH('2017'!$A44,DataEx!$D:$D,0),MATCH('2017'!N$6,DataEx!$7:$7,0))</f>
        <v>0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4497214.9000000004</v>
      </c>
      <c r="T44" s="271">
        <f t="shared" si="4"/>
        <v>1.1364638886081069E-3</v>
      </c>
    </row>
    <row r="45" spans="1:22">
      <c r="A45" s="176">
        <v>423</v>
      </c>
      <c r="B45" s="421" t="str">
        <f>+VLOOKUP($A45,Master!$D$25:$G$223,4,FALSE)</f>
        <v>Prava iz oblasti penzijskog i invalidskog osiguranja</v>
      </c>
      <c r="C45" s="422"/>
      <c r="D45" s="422"/>
      <c r="E45" s="422"/>
      <c r="F45" s="422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0</v>
      </c>
      <c r="M45" s="189">
        <f>+INDEX(DataEx!$1:$1048576,MATCH('2017'!$A45,DataEx!$D:$D,0),MATCH('2017'!M$6,DataEx!$7:$7,0))</f>
        <v>0</v>
      </c>
      <c r="N45" s="189">
        <f>+INDEX(DataEx!$1:$1048576,MATCH('2017'!$A45,DataEx!$D:$D,0),MATCH('2017'!N$6,DataEx!$7:$7,0))</f>
        <v>0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165722321.15000001</v>
      </c>
      <c r="T45" s="271">
        <f t="shared" si="4"/>
        <v>4.1878682186899829E-2</v>
      </c>
    </row>
    <row r="46" spans="1:22">
      <c r="A46" s="176">
        <v>424</v>
      </c>
      <c r="B46" s="421" t="str">
        <f>+VLOOKUP($A46,Master!$D$25:$G$223,4,FALSE)</f>
        <v>Ostala prava iz oblasti zdravstvene zaštite</v>
      </c>
      <c r="C46" s="422"/>
      <c r="D46" s="422"/>
      <c r="E46" s="422"/>
      <c r="F46" s="422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0</v>
      </c>
      <c r="M46" s="189">
        <f>+INDEX(DataEx!$1:$1048576,MATCH('2017'!$A46,DataEx!$D:$D,0),MATCH('2017'!M$6,DataEx!$7:$7,0))</f>
        <v>0</v>
      </c>
      <c r="N46" s="189">
        <f>+INDEX(DataEx!$1:$1048576,MATCH('2017'!$A46,DataEx!$D:$D,0),MATCH('2017'!N$6,DataEx!$7:$7,0))</f>
        <v>0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5844534.4799999995</v>
      </c>
      <c r="T46" s="271">
        <f t="shared" si="4"/>
        <v>1.4769368442332962E-3</v>
      </c>
    </row>
    <row r="47" spans="1:22">
      <c r="A47" s="176">
        <v>425</v>
      </c>
      <c r="B47" s="421" t="str">
        <f>+VLOOKUP($A47,Master!$D$25:$G$223,4,FALSE)</f>
        <v>Ostala prava iz zdravstvenog osiguranja</v>
      </c>
      <c r="C47" s="422"/>
      <c r="D47" s="422"/>
      <c r="E47" s="422"/>
      <c r="F47" s="422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0</v>
      </c>
      <c r="M47" s="189">
        <f>+INDEX(DataEx!$1:$1048576,MATCH('2017'!$A47,DataEx!$D:$D,0),MATCH('2017'!M$6,DataEx!$7:$7,0))</f>
        <v>0</v>
      </c>
      <c r="N47" s="189">
        <f>+INDEX(DataEx!$1:$1048576,MATCH('2017'!$A47,DataEx!$D:$D,0),MATCH('2017'!N$6,DataEx!$7:$7,0))</f>
        <v>0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3402909.63</v>
      </c>
      <c r="T47" s="271">
        <f t="shared" si="4"/>
        <v>8.5992864399070043E-4</v>
      </c>
    </row>
    <row r="48" spans="1:22">
      <c r="A48" s="176">
        <v>43</v>
      </c>
      <c r="B48" s="435" t="str">
        <f>+VLOOKUP($A48,Master!$D$25:$G$223,4,FALSE)</f>
        <v xml:space="preserve">Transferi institucijama, pojedincima, nevladinom i javnom sektoru </v>
      </c>
      <c r="C48" s="436"/>
      <c r="D48" s="436"/>
      <c r="E48" s="436"/>
      <c r="F48" s="436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0</v>
      </c>
      <c r="M48" s="201">
        <f>+INDEX(DataEx!$1:$1048576,MATCH('2017'!$A48,DataEx!$D:$D,0),MATCH('2017'!M$6,DataEx!$7:$7,0))</f>
        <v>0</v>
      </c>
      <c r="N48" s="201">
        <f>+INDEX(DataEx!$1:$1048576,MATCH('2017'!$A48,DataEx!$D:$D,0),MATCH('2017'!N$6,DataEx!$7:$7,0))</f>
        <v>0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52300068.550000004</v>
      </c>
      <c r="T48" s="274">
        <f t="shared" si="4"/>
        <v>1.3216432970282018E-2</v>
      </c>
    </row>
    <row r="49" spans="1:22">
      <c r="A49" s="176">
        <v>44</v>
      </c>
      <c r="B49" s="435" t="str">
        <f>+VLOOKUP($A49,Master!$D$25:$G$223,4,FALSE)</f>
        <v>Kapitalni budžet</v>
      </c>
      <c r="C49" s="436"/>
      <c r="D49" s="436"/>
      <c r="E49" s="436"/>
      <c r="F49" s="436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2511744.17</v>
      </c>
      <c r="L49" s="201">
        <f>+INDEX(DataEx!$1:$1048576,MATCH('2017'!$A49,DataEx!$D:$D,0),MATCH('2017'!L$6,DataEx!$7:$7,0))</f>
        <v>0</v>
      </c>
      <c r="M49" s="201">
        <f>+INDEX(DataEx!$1:$1048576,MATCH('2017'!$A49,DataEx!$D:$D,0),MATCH('2017'!M$6,DataEx!$7:$7,0))</f>
        <v>0</v>
      </c>
      <c r="N49" s="201">
        <f>+INDEX(DataEx!$1:$1048576,MATCH('2017'!$A49,DataEx!$D:$D,0),MATCH('2017'!N$6,DataEx!$7:$7,0))</f>
        <v>0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18394316.699999999</v>
      </c>
      <c r="T49" s="274">
        <f t="shared" si="4"/>
        <v>4.6483161578894164E-3</v>
      </c>
    </row>
    <row r="50" spans="1:22">
      <c r="A50" s="176">
        <v>451</v>
      </c>
      <c r="B50" s="439" t="str">
        <f>+VLOOKUP($A50,Master!$D$25:$G$223,4,FALSE)</f>
        <v>Pozajmice i krediti</v>
      </c>
      <c r="C50" s="440"/>
      <c r="D50" s="440"/>
      <c r="E50" s="440"/>
      <c r="F50" s="440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0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620246</v>
      </c>
      <c r="T50" s="271">
        <f t="shared" si="4"/>
        <v>1.5673860305266349E-4</v>
      </c>
    </row>
    <row r="51" spans="1:22">
      <c r="A51" s="176">
        <v>47</v>
      </c>
      <c r="B51" s="439" t="str">
        <f>+VLOOKUP($A51,Master!$D$25:$G$223,4,FALSE)</f>
        <v>Rezerve</v>
      </c>
      <c r="C51" s="440"/>
      <c r="D51" s="440"/>
      <c r="E51" s="440"/>
      <c r="F51" s="440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4318405.9400000004</v>
      </c>
      <c r="L51" s="189">
        <f>+INDEX(DataEx!$1:$1048576,MATCH('2017'!$A51,DataEx!$D:$D,0),MATCH('2017'!L$6,DataEx!$7:$7,0))</f>
        <v>0</v>
      </c>
      <c r="M51" s="189">
        <f>+INDEX(DataEx!$1:$1048576,MATCH('2017'!$A51,DataEx!$D:$D,0),MATCH('2017'!M$6,DataEx!$7:$7,0))</f>
        <v>0</v>
      </c>
      <c r="N51" s="189">
        <f>+INDEX(DataEx!$1:$1048576,MATCH('2017'!$A51,DataEx!$D:$D,0),MATCH('2017'!N$6,DataEx!$7:$7,0))</f>
        <v>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5128403.78</v>
      </c>
      <c r="T51" s="271">
        <f t="shared" si="4"/>
        <v>1.2959678004649752E-3</v>
      </c>
    </row>
    <row r="52" spans="1:22" ht="13.5" thickBot="1">
      <c r="A52" s="176">
        <v>462</v>
      </c>
      <c r="B52" s="441" t="str">
        <f>+VLOOKUP($A52,Master!$D$25:$G$223,4,FALSE)</f>
        <v>Otplata garancija</v>
      </c>
      <c r="C52" s="442"/>
      <c r="D52" s="442"/>
      <c r="E52" s="442"/>
      <c r="F52" s="442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1" t="str">
        <f>+VLOOKUP($A53,Master!$D$25:$G$223,4,TRUE)</f>
        <v>Otplata obaveza iz prethodnih godina</v>
      </c>
      <c r="C53" s="442"/>
      <c r="D53" s="442"/>
      <c r="E53" s="442"/>
      <c r="F53" s="442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1722446.51</v>
      </c>
      <c r="I53" s="225">
        <f>+INDEX(DataEx!$1:$1048576,MATCH('2017'!$A53,DataEx!$D:$D,0),MATCH('2017'!I$6,DataEx!$7:$7,0))</f>
        <v>2908426.48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0</v>
      </c>
      <c r="M53" s="225">
        <f>+INDEX(DataEx!$1:$1048576,MATCH('2017'!$A53,DataEx!$D:$D,0),MATCH('2017'!M$6,DataEx!$7:$7,0))</f>
        <v>0</v>
      </c>
      <c r="N53" s="225">
        <f>+INDEX(DataEx!$1:$1048576,MATCH('2017'!$A53,DataEx!$D:$D,0),MATCH('2017'!N$6,DataEx!$7:$7,0))</f>
        <v>0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10543355</v>
      </c>
      <c r="T53" s="285">
        <f>+S53/$T$7</f>
        <v>2.6643472657434551E-3</v>
      </c>
    </row>
    <row r="54" spans="1:22" ht="13.5" thickBot="1">
      <c r="A54" s="71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3" t="str">
        <f>+VLOOKUP($A55,Master!$D$25:$G$223,4,FALSE)</f>
        <v>Suficit / deficit</v>
      </c>
      <c r="C55" s="444"/>
      <c r="D55" s="444"/>
      <c r="E55" s="444"/>
      <c r="F55" s="444"/>
      <c r="G55" s="177">
        <f t="shared" ref="G55:R55" si="9">+G10-G29</f>
        <v>-21641175.599999994</v>
      </c>
      <c r="H55" s="177">
        <f t="shared" si="9"/>
        <v>-17745999.209999979</v>
      </c>
      <c r="I55" s="177">
        <f t="shared" si="9"/>
        <v>-31121479.940000027</v>
      </c>
      <c r="J55" s="177">
        <f t="shared" si="9"/>
        <v>2148478.0900000036</v>
      </c>
      <c r="K55" s="177">
        <f t="shared" si="9"/>
        <v>10788651.87999998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-57571524.780000016</v>
      </c>
      <c r="T55" s="287">
        <f t="shared" si="4"/>
        <v>-1.45485506873547E-2</v>
      </c>
    </row>
    <row r="56" spans="1:22" ht="13.5" thickBot="1">
      <c r="A56" s="170">
        <v>1001</v>
      </c>
      <c r="B56" s="445" t="str">
        <f>+VLOOKUP($A56,Master!$D$25:$G$223,4,FALSE)</f>
        <v>Primarni bilans</v>
      </c>
      <c r="C56" s="446"/>
      <c r="D56" s="446"/>
      <c r="E56" s="446"/>
      <c r="F56" s="446"/>
      <c r="G56" s="231">
        <f>+G55+G37</f>
        <v>-18407903.609999992</v>
      </c>
      <c r="H56" s="231">
        <f t="shared" ref="H56:R56" si="10">+H55+H37</f>
        <v>-16636643.57999998</v>
      </c>
      <c r="I56" s="231">
        <f t="shared" si="10"/>
        <v>8232830.6099999696</v>
      </c>
      <c r="J56" s="231">
        <f t="shared" si="10"/>
        <v>2821964.5200000037</v>
      </c>
      <c r="K56" s="231">
        <f t="shared" si="10"/>
        <v>12089837.82999998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-11899914.230000015</v>
      </c>
      <c r="T56" s="287">
        <f t="shared" si="4"/>
        <v>-3.0071551172546284E-3</v>
      </c>
    </row>
    <row r="57" spans="1:22">
      <c r="A57" s="170">
        <v>46</v>
      </c>
      <c r="B57" s="437" t="str">
        <f>+VLOOKUP($A57,Master!$D$25:$G$223,4,FALSE)</f>
        <v>Otplata dugova</v>
      </c>
      <c r="C57" s="438"/>
      <c r="D57" s="438"/>
      <c r="E57" s="438"/>
      <c r="F57" s="438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5432249.0099999998</v>
      </c>
      <c r="K57" s="219">
        <f t="shared" si="11"/>
        <v>6070178.8200000003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108658719.96000001</v>
      </c>
      <c r="T57" s="289">
        <f t="shared" si="4"/>
        <v>2.7458485787930861E-2</v>
      </c>
      <c r="V57" s="384"/>
    </row>
    <row r="58" spans="1:22">
      <c r="A58" s="170">
        <v>4611</v>
      </c>
      <c r="B58" s="463" t="str">
        <f>+VLOOKUP($A58,Master!$D$25:$G$223,4,FALSE)</f>
        <v>Otplata hartija od vrijednosti i kredita rezidentima</v>
      </c>
      <c r="C58" s="464"/>
      <c r="D58" s="464"/>
      <c r="E58" s="464"/>
      <c r="F58" s="464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0</v>
      </c>
      <c r="M58" s="237">
        <f>+INDEX(DataEx!$1:$1048576,MATCH('2017'!$A58,DataEx!$D:$D,0),MATCH('2017'!M$6,DataEx!$7:$7,0))</f>
        <v>0</v>
      </c>
      <c r="N58" s="237">
        <f>+INDEX(DataEx!$1:$1048576,MATCH('2017'!$A58,DataEx!$D:$D,0),MATCH('2017'!N$6,DataEx!$7:$7,0))</f>
        <v>0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86489964.879999995</v>
      </c>
      <c r="T58" s="291">
        <f t="shared" si="4"/>
        <v>2.1856354210047509E-2</v>
      </c>
    </row>
    <row r="59" spans="1:22" ht="13.5" thickBot="1">
      <c r="A59" s="170">
        <v>4612</v>
      </c>
      <c r="B59" s="439" t="str">
        <f>+VLOOKUP($A59,Master!$D$25:$G$223,4,FALSE)</f>
        <v>Otplata hartija od vrijednosti i kredita nerezidentima</v>
      </c>
      <c r="C59" s="440"/>
      <c r="D59" s="440"/>
      <c r="E59" s="440"/>
      <c r="F59" s="440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5321070.24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0</v>
      </c>
      <c r="M59" s="237">
        <f>+INDEX(DataEx!$1:$1048576,MATCH('2017'!$A59,DataEx!$D:$D,0),MATCH('2017'!M$6,DataEx!$7:$7,0))</f>
        <v>0</v>
      </c>
      <c r="N59" s="237">
        <f>+INDEX(DataEx!$1:$1048576,MATCH('2017'!$A59,DataEx!$D:$D,0),MATCH('2017'!N$6,DataEx!$7:$7,0))</f>
        <v>0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90">
        <f t="shared" si="3"/>
        <v>22168755.079999998</v>
      </c>
      <c r="T59" s="291">
        <f t="shared" si="4"/>
        <v>5.6021315778833512E-3</v>
      </c>
      <c r="V59" s="404"/>
    </row>
    <row r="60" spans="1:22" ht="13.5" thickBot="1">
      <c r="A60" s="170">
        <v>1002</v>
      </c>
      <c r="B60" s="465" t="str">
        <f>+VLOOKUP($A60,Master!$D$25:$G$223,4,FALSE)</f>
        <v>Nedostajuća sredstva</v>
      </c>
      <c r="C60" s="466"/>
      <c r="D60" s="466"/>
      <c r="E60" s="466"/>
      <c r="F60" s="466"/>
      <c r="G60" s="243">
        <f t="shared" ref="G60:R60" si="12">+G55-G57</f>
        <v>-39952813.789999992</v>
      </c>
      <c r="H60" s="243">
        <f t="shared" si="12"/>
        <v>-60098593.609999985</v>
      </c>
      <c r="I60" s="243">
        <f t="shared" si="12"/>
        <v>-67613539.480000019</v>
      </c>
      <c r="J60" s="243">
        <f t="shared" si="12"/>
        <v>-3283770.9199999962</v>
      </c>
      <c r="K60" s="243">
        <f t="shared" si="12"/>
        <v>4718473.05999998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-166230244.74000001</v>
      </c>
      <c r="T60" s="293">
        <f t="shared" si="4"/>
        <v>-4.2007036475285559E-2</v>
      </c>
    </row>
    <row r="61" spans="1:22" ht="13.5" thickBot="1">
      <c r="A61" s="170">
        <v>1003</v>
      </c>
      <c r="B61" s="429" t="str">
        <f>+VLOOKUP($A61,Master!$D$25:$G$223,4,FALSE)</f>
        <v>Finansiranje</v>
      </c>
      <c r="C61" s="430"/>
      <c r="D61" s="430"/>
      <c r="E61" s="430"/>
      <c r="F61" s="430"/>
      <c r="G61" s="177">
        <f>+SUM(G62:G65)</f>
        <v>39952813.789999992</v>
      </c>
      <c r="H61" s="177">
        <f t="shared" ref="H61:R61" si="13">+SUM(H62:H65)</f>
        <v>60098593.609999985</v>
      </c>
      <c r="I61" s="177">
        <f t="shared" si="13"/>
        <v>67613539.480000019</v>
      </c>
      <c r="J61" s="177">
        <f t="shared" si="13"/>
        <v>3283770.9200000018</v>
      </c>
      <c r="K61" s="177">
        <f t="shared" si="13"/>
        <v>-4718473.05999998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166230244.74000004</v>
      </c>
      <c r="T61" s="295">
        <f t="shared" si="4"/>
        <v>4.2007036475285565E-2</v>
      </c>
    </row>
    <row r="62" spans="1:22">
      <c r="A62" s="170">
        <v>7511</v>
      </c>
      <c r="B62" s="463" t="str">
        <f>+VLOOKUP($A62,Master!$D$25:$G$223,4,FALSE)</f>
        <v>Pozajmice i krediti od domaćih izvora</v>
      </c>
      <c r="C62" s="464"/>
      <c r="D62" s="464"/>
      <c r="E62" s="464"/>
      <c r="F62" s="464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0</v>
      </c>
      <c r="M62" s="237">
        <f>+INDEX(DataEx!$1:$1048576,MATCH('2017'!$A62,DataEx!$D:$D,0),MATCH('2017'!M$6,DataEx!$7:$7,0))</f>
        <v>0</v>
      </c>
      <c r="N62" s="237">
        <f>+INDEX(DataEx!$1:$1048576,MATCH('2017'!$A62,DataEx!$D:$D,0),MATCH('2017'!N$6,DataEx!$7:$7,0))</f>
        <v>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169535000</v>
      </c>
      <c r="T62" s="291">
        <f t="shared" si="4"/>
        <v>4.2842161124027091E-2</v>
      </c>
    </row>
    <row r="63" spans="1:22">
      <c r="A63" s="170">
        <v>7512</v>
      </c>
      <c r="B63" s="439" t="str">
        <f>+VLOOKUP($A63,Master!$D$25:$G$223,4,FALSE)</f>
        <v>Pozajmice i krediti od inostranih izvora</v>
      </c>
      <c r="C63" s="440"/>
      <c r="D63" s="440"/>
      <c r="E63" s="440"/>
      <c r="F63" s="440"/>
      <c r="G63" s="237">
        <f>+DataEx!EH53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0</v>
      </c>
      <c r="M63" s="237">
        <f>+INDEX(DataEx!$1:$1048576,MATCH('2017'!$A63,DataEx!$D:$D,0),MATCH('2017'!M$6,DataEx!$7:$7,0))</f>
        <v>0</v>
      </c>
      <c r="N63" s="237">
        <f>+INDEX(DataEx!$1:$1048576,MATCH('2017'!$A63,DataEx!$D:$D,0),MATCH('2017'!N$6,DataEx!$7:$7,0))</f>
        <v>0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90398750.629999995</v>
      </c>
      <c r="T63" s="291">
        <f t="shared" si="4"/>
        <v>2.2844119738704132E-2</v>
      </c>
    </row>
    <row r="64" spans="1:22">
      <c r="A64" s="170">
        <v>72</v>
      </c>
      <c r="B64" s="439" t="str">
        <f>+VLOOKUP($A64,Master!$D$25:$G$223,4,FALSE)</f>
        <v>Primici od prodaje imovine</v>
      </c>
      <c r="C64" s="440"/>
      <c r="D64" s="440"/>
      <c r="E64" s="440"/>
      <c r="F64" s="440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0</v>
      </c>
      <c r="M64" s="237">
        <f>+INDEX(DataEx!$1:$1048576,MATCH('2017'!$A64,DataEx!$D:$D,0),MATCH('2017'!M$6,DataEx!$7:$7,0))</f>
        <v>0</v>
      </c>
      <c r="N64" s="237">
        <f>+INDEX(DataEx!$1:$1048576,MATCH('2017'!$A64,DataEx!$D:$D,0),MATCH('2017'!N$6,DataEx!$7:$7,0))</f>
        <v>0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1952528.15</v>
      </c>
      <c r="T64" s="291">
        <f t="shared" si="4"/>
        <v>4.9341154098857774E-4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23196711.219999991</v>
      </c>
      <c r="H65" s="251">
        <f t="shared" ref="H65:R65" si="14">-H60-SUM(H62:H64)</f>
        <v>4365773.2299999893</v>
      </c>
      <c r="I65" s="251">
        <f t="shared" si="14"/>
        <v>-12692470.48999998</v>
      </c>
      <c r="J65" s="251">
        <f t="shared" si="14"/>
        <v>-104824075.80999999</v>
      </c>
      <c r="K65" s="251">
        <f t="shared" si="14"/>
        <v>-5701972.1899999799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-95656034.039999977</v>
      </c>
      <c r="T65" s="297">
        <f t="shared" si="4"/>
        <v>-2.417265592843424E-2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80" t="str">
        <f>+Master!G250</f>
        <v>Plan ostvarenja budžeta</v>
      </c>
      <c r="C101" s="481"/>
      <c r="D101" s="481"/>
      <c r="E101" s="481"/>
      <c r="F101" s="481"/>
      <c r="G101" s="472">
        <v>2017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73"/>
      <c r="S101" s="116" t="str">
        <f>+S7</f>
        <v>BDP</v>
      </c>
      <c r="T101" s="117">
        <f>+T7</f>
        <v>3957200000</v>
      </c>
    </row>
    <row r="102" spans="1:21" ht="15.75" customHeight="1">
      <c r="B102" s="482"/>
      <c r="C102" s="483"/>
      <c r="D102" s="483"/>
      <c r="E102" s="483"/>
      <c r="F102" s="484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2" t="str">
        <f>+Master!G244</f>
        <v>Jan - Dec</v>
      </c>
      <c r="T102" s="473">
        <f>+T8</f>
        <v>0</v>
      </c>
    </row>
    <row r="103" spans="1:21" ht="13.5" thickBot="1">
      <c r="B103" s="485"/>
      <c r="C103" s="486"/>
      <c r="D103" s="486"/>
      <c r="E103" s="486"/>
      <c r="F103" s="48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4" t="str">
        <f>+VLOOKUP(LEFT($A104,LEN(A104)-1)*1,Master!$D$25:$G$223,4,FALSE)</f>
        <v>Prihodi budžeta</v>
      </c>
      <c r="C104" s="475"/>
      <c r="D104" s="475"/>
      <c r="E104" s="475"/>
      <c r="F104" s="475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0.39209963192719904</v>
      </c>
    </row>
    <row r="105" spans="1:21">
      <c r="A105" s="138" t="str">
        <f t="shared" si="17"/>
        <v>711p</v>
      </c>
      <c r="B105" s="476" t="str">
        <f>+VLOOKUP(LEFT($A105,LEN(A105)-1)*1,Master!$D$25:$G$223,4,FALSE)</f>
        <v>Porezi</v>
      </c>
      <c r="C105" s="477"/>
      <c r="D105" s="477"/>
      <c r="E105" s="477"/>
      <c r="F105" s="477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0.2386224083353316</v>
      </c>
      <c r="U105" s="303"/>
    </row>
    <row r="106" spans="1:21">
      <c r="A106" s="138" t="str">
        <f t="shared" si="17"/>
        <v>7111p</v>
      </c>
      <c r="B106" s="478" t="str">
        <f>+VLOOKUP(LEFT($A106,LEN(A106)-1)*1,Master!$D$25:$G$223,4,FALSE)</f>
        <v>Porez na dohodak fizičkih lica</v>
      </c>
      <c r="C106" s="479"/>
      <c r="D106" s="479"/>
      <c r="E106" s="479"/>
      <c r="F106" s="479"/>
      <c r="G106" s="91">
        <f>+SUM(DataEx!EH221)</f>
        <v>3445730.68</v>
      </c>
      <c r="H106" s="91">
        <f>+SUM(DataEx!EI221)</f>
        <v>9145427.7004242092</v>
      </c>
      <c r="I106" s="91">
        <f>+SUM(DataEx!EJ221)</f>
        <v>10121749.817724096</v>
      </c>
      <c r="J106" s="91">
        <f>+SUM(DataEx!EK221)</f>
        <v>8543881.1088797171</v>
      </c>
      <c r="K106" s="91">
        <f>+SUM(DataEx!EL221)</f>
        <v>8733654.6548668258</v>
      </c>
      <c r="L106" s="91">
        <f>+SUM(DataEx!EM221)</f>
        <v>9954508.8904511016</v>
      </c>
      <c r="M106" s="91">
        <f>+SUM(DataEx!EN221)</f>
        <v>12848847.212564949</v>
      </c>
      <c r="N106" s="91">
        <f>+SUM(DataEx!EO221)</f>
        <v>11972281.172638645</v>
      </c>
      <c r="O106" s="91">
        <f>+SUM(DataEx!EP221)</f>
        <v>12910432.881604763</v>
      </c>
      <c r="P106" s="91">
        <f>+SUM(DataEx!EQ221)</f>
        <v>10424403.066179592</v>
      </c>
      <c r="Q106" s="91">
        <f>+SUM(DataEx!ER221)</f>
        <v>8922339.2000792101</v>
      </c>
      <c r="R106" s="91">
        <f>+SUM(DataEx!ES221)</f>
        <v>18560135.152000677</v>
      </c>
      <c r="S106" s="126">
        <f t="shared" si="20"/>
        <v>125583391.53741376</v>
      </c>
      <c r="T106" s="127">
        <f t="shared" si="21"/>
        <v>3.173541684459056E-2</v>
      </c>
    </row>
    <row r="107" spans="1:21">
      <c r="A107" s="138" t="str">
        <f t="shared" si="17"/>
        <v>7112p</v>
      </c>
      <c r="B107" s="478" t="str">
        <f>+VLOOKUP(LEFT($A107,LEN(A107)-1)*1,Master!$D$25:$G$223,4,FALSE)</f>
        <v>Porez na dobit pravnih lica</v>
      </c>
      <c r="C107" s="479"/>
      <c r="D107" s="479"/>
      <c r="E107" s="479"/>
      <c r="F107" s="479"/>
      <c r="G107" s="91">
        <f>+SUM(DataEx!EH222)</f>
        <v>319868.36632967507</v>
      </c>
      <c r="H107" s="91">
        <f>+SUM(DataEx!EI222)</f>
        <v>1275692.7823229732</v>
      </c>
      <c r="I107" s="91">
        <f>+SUM(DataEx!EJ222)</f>
        <v>15606774.300851075</v>
      </c>
      <c r="J107" s="91">
        <f>+SUM(DataEx!EK222)</f>
        <v>11880917.025348544</v>
      </c>
      <c r="K107" s="91">
        <f>+SUM(DataEx!EL222)</f>
        <v>2694890.5355524938</v>
      </c>
      <c r="L107" s="91">
        <f>+SUM(DataEx!EM222)</f>
        <v>4614984.2836715048</v>
      </c>
      <c r="M107" s="91">
        <f>+SUM(DataEx!EN222)</f>
        <v>2644838.5201759087</v>
      </c>
      <c r="N107" s="91">
        <f>+SUM(DataEx!EO222)</f>
        <v>2920331.1421357361</v>
      </c>
      <c r="O107" s="91">
        <f>+SUM(DataEx!EP222)</f>
        <v>1809770.5258781903</v>
      </c>
      <c r="P107" s="91">
        <f>+SUM(DataEx!EQ222)</f>
        <v>1613666.6581515796</v>
      </c>
      <c r="Q107" s="91">
        <f>+SUM(DataEx!ER222)</f>
        <v>541050.49431968771</v>
      </c>
      <c r="R107" s="91">
        <f>+SUM(DataEx!ES222)</f>
        <v>999903.42131223751</v>
      </c>
      <c r="S107" s="126">
        <f t="shared" si="20"/>
        <v>46922688.056049608</v>
      </c>
      <c r="T107" s="127">
        <f t="shared" si="21"/>
        <v>1.1857547775207119E-2</v>
      </c>
    </row>
    <row r="108" spans="1:21">
      <c r="A108" s="138" t="str">
        <f t="shared" si="17"/>
        <v>7113p</v>
      </c>
      <c r="B108" s="478" t="str">
        <f>+VLOOKUP(LEFT($A108,LEN(A108)-1)*1,Master!$D$25:$G$223,4,FALSE)</f>
        <v>Porez na promet nepokretnosti</v>
      </c>
      <c r="C108" s="479"/>
      <c r="D108" s="479"/>
      <c r="E108" s="479"/>
      <c r="F108" s="479"/>
      <c r="G108" s="91">
        <f>+SUM(DataEx!EH223)</f>
        <v>156784.53115028006</v>
      </c>
      <c r="H108" s="91">
        <f>+SUM(DataEx!EI223)</f>
        <v>215996.23844451422</v>
      </c>
      <c r="I108" s="91">
        <f>+SUM(DataEx!EJ223)</f>
        <v>172844.23524068185</v>
      </c>
      <c r="J108" s="91">
        <f>+SUM(DataEx!EK223)</f>
        <v>166312.68055694172</v>
      </c>
      <c r="K108" s="91">
        <f>+SUM(DataEx!EL223)</f>
        <v>177348.58546757439</v>
      </c>
      <c r="L108" s="91">
        <f>+SUM(DataEx!EM223)</f>
        <v>232734.91327750011</v>
      </c>
      <c r="M108" s="91">
        <f>+SUM(DataEx!EN223)</f>
        <v>162468.08893173773</v>
      </c>
      <c r="N108" s="91">
        <f>+SUM(DataEx!EO223)</f>
        <v>245981.65668851638</v>
      </c>
      <c r="O108" s="91">
        <f>+SUM(DataEx!EP223)</f>
        <v>296340.06182741246</v>
      </c>
      <c r="P108" s="91">
        <f>+SUM(DataEx!EQ223)</f>
        <v>190322.06899586218</v>
      </c>
      <c r="Q108" s="91">
        <f>+SUM(DataEx!ER223)</f>
        <v>224798.65338931847</v>
      </c>
      <c r="R108" s="91">
        <f>+SUM(DataEx!ES223)</f>
        <v>217462.68507191085</v>
      </c>
      <c r="S108" s="126">
        <f t="shared" si="20"/>
        <v>2459394.3990422501</v>
      </c>
      <c r="T108" s="127">
        <f t="shared" si="21"/>
        <v>6.2149863515673965E-4</v>
      </c>
    </row>
    <row r="109" spans="1:21">
      <c r="A109" s="138" t="str">
        <f t="shared" si="17"/>
        <v>7114p</v>
      </c>
      <c r="B109" s="478" t="str">
        <f>+VLOOKUP(LEFT($A109,LEN(A109)-1)*1,Master!$D$25:$G$223,4,FALSE)</f>
        <v>Porez na dodatu vrijednost</v>
      </c>
      <c r="C109" s="479"/>
      <c r="D109" s="479"/>
      <c r="E109" s="479"/>
      <c r="F109" s="479"/>
      <c r="G109" s="91">
        <f>+SUM(DataEx!EH224)</f>
        <v>35038006.882620126</v>
      </c>
      <c r="H109" s="91">
        <f>+SUM(DataEx!EI224)</f>
        <v>34439419.532361373</v>
      </c>
      <c r="I109" s="91">
        <f>+SUM(DataEx!EJ224)</f>
        <v>36610416.4961081</v>
      </c>
      <c r="J109" s="91">
        <f>+SUM(DataEx!EK224)</f>
        <v>38572572.842501707</v>
      </c>
      <c r="K109" s="91">
        <f>+SUM(DataEx!EL224)</f>
        <v>41434170.447496742</v>
      </c>
      <c r="L109" s="91">
        <f>+SUM(DataEx!EM224)</f>
        <v>46352523.998122126</v>
      </c>
      <c r="M109" s="91">
        <f>+SUM(DataEx!EN224)</f>
        <v>50698247.403485686</v>
      </c>
      <c r="N109" s="91">
        <f>+SUM(DataEx!EO224)</f>
        <v>58728722.217279099</v>
      </c>
      <c r="O109" s="91">
        <f>+SUM(DataEx!EP224)</f>
        <v>48579978.228629358</v>
      </c>
      <c r="P109" s="91">
        <f>+SUM(DataEx!EQ224)</f>
        <v>46963099.251775004</v>
      </c>
      <c r="Q109" s="91">
        <f>+SUM(DataEx!ER224)</f>
        <v>42160271.759740531</v>
      </c>
      <c r="R109" s="91">
        <f>+SUM(DataEx!ES224)</f>
        <v>45168008.320931129</v>
      </c>
      <c r="S109" s="126">
        <f t="shared" si="20"/>
        <v>524745437.38105094</v>
      </c>
      <c r="T109" s="127">
        <f t="shared" si="21"/>
        <v>0.13260523536365385</v>
      </c>
    </row>
    <row r="110" spans="1:21">
      <c r="A110" s="138" t="str">
        <f t="shared" si="17"/>
        <v>7115p</v>
      </c>
      <c r="B110" s="478" t="str">
        <f>+VLOOKUP(LEFT($A110,LEN(A110)-1)*1,Master!$D$25:$G$223,4,FALSE)</f>
        <v>Akcize</v>
      </c>
      <c r="C110" s="479"/>
      <c r="D110" s="479"/>
      <c r="E110" s="479"/>
      <c r="F110" s="479"/>
      <c r="G110" s="91">
        <f>+SUM(DataEx!EH225)</f>
        <v>12892504.45877865</v>
      </c>
      <c r="H110" s="91">
        <f>+SUM(DataEx!EI225)</f>
        <v>12119703.851627368</v>
      </c>
      <c r="I110" s="91">
        <f>+SUM(DataEx!EJ225)</f>
        <v>13870804.729335839</v>
      </c>
      <c r="J110" s="91">
        <f>+SUM(DataEx!EK225)</f>
        <v>14610210.360753594</v>
      </c>
      <c r="K110" s="91">
        <f>+SUM(DataEx!EL225)</f>
        <v>16300422.349870451</v>
      </c>
      <c r="L110" s="91">
        <f>+SUM(DataEx!EM225)</f>
        <v>18609472.866493613</v>
      </c>
      <c r="M110" s="91">
        <f>+SUM(DataEx!EN225)</f>
        <v>20547920.740498953</v>
      </c>
      <c r="N110" s="91">
        <f>+SUM(DataEx!EO225)</f>
        <v>24414293.57144583</v>
      </c>
      <c r="O110" s="91">
        <f>+SUM(DataEx!EP225)</f>
        <v>23471505.696022253</v>
      </c>
      <c r="P110" s="91">
        <f>+SUM(DataEx!EQ225)</f>
        <v>19541702.474037282</v>
      </c>
      <c r="Q110" s="91">
        <f>+SUM(DataEx!ER225)</f>
        <v>16768578.081388976</v>
      </c>
      <c r="R110" s="91">
        <f>+SUM(DataEx!ES225)</f>
        <v>17334177.519377578</v>
      </c>
      <c r="S110" s="126">
        <f t="shared" si="20"/>
        <v>210481296.69963041</v>
      </c>
      <c r="T110" s="127">
        <f t="shared" si="21"/>
        <v>5.3189451303858895E-2</v>
      </c>
    </row>
    <row r="111" spans="1:21">
      <c r="A111" s="138" t="str">
        <f t="shared" si="17"/>
        <v>7116p</v>
      </c>
      <c r="B111" s="478" t="str">
        <f>+VLOOKUP(LEFT($A111,LEN(A111)-1)*1,Master!$D$25:$G$223,4,FALSE)</f>
        <v>Porez na međunarodnu trgovinu i transakcije</v>
      </c>
      <c r="C111" s="479"/>
      <c r="D111" s="479"/>
      <c r="E111" s="479"/>
      <c r="F111" s="479"/>
      <c r="G111" s="91">
        <f>+SUM(DataEx!EH226)</f>
        <v>1020117.0792786785</v>
      </c>
      <c r="H111" s="91">
        <f>+SUM(DataEx!EI226)</f>
        <v>1549568.1072133458</v>
      </c>
      <c r="I111" s="91">
        <f>+SUM(DataEx!EJ226)</f>
        <v>1995477.1757682527</v>
      </c>
      <c r="J111" s="91">
        <f>+SUM(DataEx!EK226)</f>
        <v>2074792.1116972775</v>
      </c>
      <c r="K111" s="91">
        <f>+SUM(DataEx!EL226)</f>
        <v>2086161.3669564624</v>
      </c>
      <c r="L111" s="91">
        <f>+SUM(DataEx!EM226)</f>
        <v>2213983.5460728402</v>
      </c>
      <c r="M111" s="91">
        <f>+SUM(DataEx!EN226)</f>
        <v>2470029.8389860876</v>
      </c>
      <c r="N111" s="91">
        <f>+SUM(DataEx!EO226)</f>
        <v>2792769.9688101793</v>
      </c>
      <c r="O111" s="91">
        <f>+SUM(DataEx!EP226)</f>
        <v>2392576.4889084394</v>
      </c>
      <c r="P111" s="91">
        <f>+SUM(DataEx!EQ226)</f>
        <v>2053687.1611713313</v>
      </c>
      <c r="Q111" s="91">
        <f>+SUM(DataEx!ER226)</f>
        <v>1789771.7782482144</v>
      </c>
      <c r="R111" s="91">
        <f>+SUM(DataEx!ES226)</f>
        <v>1987808.9022146964</v>
      </c>
      <c r="S111" s="126">
        <f t="shared" si="20"/>
        <v>24426743.525325805</v>
      </c>
      <c r="T111" s="127">
        <f t="shared" si="21"/>
        <v>6.1727341365929965E-3</v>
      </c>
    </row>
    <row r="112" spans="1:21">
      <c r="A112" s="138" t="str">
        <f t="shared" si="17"/>
        <v>7118p</v>
      </c>
      <c r="B112" s="478" t="str">
        <f>+VLOOKUP(LEFT($A112,LEN(A112)-1)*1,Master!$D$25:$G$223,4,FALSE)</f>
        <v>Ostali državni porezi</v>
      </c>
      <c r="C112" s="479"/>
      <c r="D112" s="479"/>
      <c r="E112" s="479"/>
      <c r="F112" s="479"/>
      <c r="G112" s="91">
        <f>+SUM(DataEx!EH228)</f>
        <v>519999.19958666293</v>
      </c>
      <c r="H112" s="91">
        <f>+SUM(DataEx!EI228)</f>
        <v>552690.53896879952</v>
      </c>
      <c r="I112" s="91">
        <f>+SUM(DataEx!EJ228)</f>
        <v>862173.85894013394</v>
      </c>
      <c r="J112" s="91">
        <f>+SUM(DataEx!EK228)</f>
        <v>921140.58562000177</v>
      </c>
      <c r="K112" s="91">
        <f>+SUM(DataEx!EL228)</f>
        <v>857926.48421483312</v>
      </c>
      <c r="L112" s="91">
        <f>+SUM(DataEx!EM228)</f>
        <v>889611.95593554468</v>
      </c>
      <c r="M112" s="91">
        <f>+SUM(DataEx!EN228)</f>
        <v>843301.64671243716</v>
      </c>
      <c r="N112" s="91">
        <f>+SUM(DataEx!EO228)</f>
        <v>1017536.9503792862</v>
      </c>
      <c r="O112" s="91">
        <f>+SUM(DataEx!EP228)</f>
        <v>850957.23877843586</v>
      </c>
      <c r="P112" s="91">
        <f>+SUM(DataEx!EQ228)</f>
        <v>803528.96288030746</v>
      </c>
      <c r="Q112" s="91">
        <f>+SUM(DataEx!ER228)</f>
        <v>697203.75185900577</v>
      </c>
      <c r="R112" s="91">
        <f>+SUM(DataEx!ES228)</f>
        <v>841571.49218586681</v>
      </c>
      <c r="S112" s="126">
        <f t="shared" si="20"/>
        <v>9657642.6660613157</v>
      </c>
      <c r="T112" s="127">
        <f t="shared" si="21"/>
        <v>2.4405242762714332E-3</v>
      </c>
    </row>
    <row r="113" spans="1:20">
      <c r="A113" s="138" t="str">
        <f t="shared" si="17"/>
        <v>712p</v>
      </c>
      <c r="B113" s="491" t="str">
        <f>+VLOOKUP(LEFT($A113,LEN(A113)-1)*1,Master!$D$25:$G$223,4,FALSE)</f>
        <v>Doprinosi</v>
      </c>
      <c r="C113" s="492"/>
      <c r="D113" s="492"/>
      <c r="E113" s="492"/>
      <c r="F113" s="492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0.1243699565484373</v>
      </c>
    </row>
    <row r="114" spans="1:20">
      <c r="A114" s="138" t="str">
        <f t="shared" si="17"/>
        <v>7121p</v>
      </c>
      <c r="B114" s="478" t="str">
        <f>+VLOOKUP(LEFT($A114,LEN(A114)-1)*1,Master!$D$25:$G$223,4,FALSE)</f>
        <v>Doprinosi za penzijsko i invalidsko osiguranje</v>
      </c>
      <c r="C114" s="479"/>
      <c r="D114" s="479"/>
      <c r="E114" s="479"/>
      <c r="F114" s="479"/>
      <c r="G114" s="91">
        <f>+SUM(DataEx!EH230)</f>
        <v>9060796.079177171</v>
      </c>
      <c r="H114" s="91">
        <f>+SUM(DataEx!EI230)</f>
        <v>23124706.852591999</v>
      </c>
      <c r="I114" s="91">
        <f>+SUM(DataEx!EJ230)</f>
        <v>25778145.761630509</v>
      </c>
      <c r="J114" s="91">
        <f>+SUM(DataEx!EK230)</f>
        <v>22315006.097604383</v>
      </c>
      <c r="K114" s="91">
        <f>+SUM(DataEx!EL230)</f>
        <v>22883149.755243029</v>
      </c>
      <c r="L114" s="91">
        <f>+SUM(DataEx!EM230)</f>
        <v>24653399.098267406</v>
      </c>
      <c r="M114" s="91">
        <f>+SUM(DataEx!EN230)</f>
        <v>21096909.436257415</v>
      </c>
      <c r="N114" s="91">
        <f>+SUM(DataEx!EO230)</f>
        <v>23562273.747153763</v>
      </c>
      <c r="O114" s="91">
        <f>+SUM(DataEx!EP230)</f>
        <v>25444734.42588995</v>
      </c>
      <c r="P114" s="91">
        <f>+SUM(DataEx!EQ230)</f>
        <v>23008561.099321935</v>
      </c>
      <c r="Q114" s="91">
        <f>+SUM(DataEx!ER230)</f>
        <v>25730958.328370228</v>
      </c>
      <c r="R114" s="91">
        <f>+SUM(DataEx!ES230)</f>
        <v>46954173.159861192</v>
      </c>
      <c r="S114" s="126">
        <f t="shared" si="20"/>
        <v>293612813.84136897</v>
      </c>
      <c r="T114" s="127">
        <f t="shared" si="21"/>
        <v>7.419711256478545E-2</v>
      </c>
    </row>
    <row r="115" spans="1:20">
      <c r="A115" s="138" t="str">
        <f t="shared" si="17"/>
        <v>7122p</v>
      </c>
      <c r="B115" s="478" t="str">
        <f>+VLOOKUP(LEFT($A115,LEN(A115)-1)*1,Master!$D$25:$G$223,4,FALSE)</f>
        <v>Doprinosi za zdravstveno osiguranje</v>
      </c>
      <c r="C115" s="479"/>
      <c r="D115" s="479"/>
      <c r="E115" s="479"/>
      <c r="F115" s="479"/>
      <c r="G115" s="91">
        <f>+SUM(DataEx!EH231)</f>
        <v>5033763.6031913934</v>
      </c>
      <c r="H115" s="91">
        <f>+SUM(DataEx!EI231)</f>
        <v>13190874.32162513</v>
      </c>
      <c r="I115" s="91">
        <f>+SUM(DataEx!EJ231)</f>
        <v>14560034.842802931</v>
      </c>
      <c r="J115" s="91">
        <f>+SUM(DataEx!EK231)</f>
        <v>12426424.31774326</v>
      </c>
      <c r="K115" s="91">
        <f>+SUM(DataEx!EL231)</f>
        <v>12780246.575118551</v>
      </c>
      <c r="L115" s="91">
        <f>+SUM(DataEx!EM231)</f>
        <v>13948223.892347284</v>
      </c>
      <c r="M115" s="91">
        <f>+SUM(DataEx!EN231)</f>
        <v>13453637.29564468</v>
      </c>
      <c r="N115" s="91">
        <f>+SUM(DataEx!EO231)</f>
        <v>14173979.781966317</v>
      </c>
      <c r="O115" s="91">
        <f>+SUM(DataEx!EP231)</f>
        <v>15976537.492320921</v>
      </c>
      <c r="P115" s="91">
        <f>+SUM(DataEx!EQ231)</f>
        <v>14029532.008260634</v>
      </c>
      <c r="Q115" s="91">
        <f>+SUM(DataEx!ER231)</f>
        <v>13649270.684277592</v>
      </c>
      <c r="R115" s="91">
        <f>+SUM(DataEx!ES231)</f>
        <v>29150407.962933309</v>
      </c>
      <c r="S115" s="126">
        <f t="shared" si="20"/>
        <v>172372932.77823201</v>
      </c>
      <c r="T115" s="127">
        <f t="shared" si="21"/>
        <v>4.3559317896045689E-2</v>
      </c>
    </row>
    <row r="116" spans="1:20">
      <c r="A116" s="138" t="str">
        <f t="shared" si="17"/>
        <v>7123p</v>
      </c>
      <c r="B116" s="478" t="str">
        <f>+VLOOKUP(LEFT($A116,LEN(A116)-1)*1,Master!$D$25:$G$223,4,FALSE)</f>
        <v>Doprinosi za osiguranje od nezaposlenosti</v>
      </c>
      <c r="C116" s="479"/>
      <c r="D116" s="479"/>
      <c r="E116" s="479"/>
      <c r="F116" s="479"/>
      <c r="G116" s="91">
        <f>+SUM(DataEx!EH232)</f>
        <v>34766.900814828943</v>
      </c>
      <c r="H116" s="91">
        <f>+SUM(DataEx!EI232)</f>
        <v>993654.74277777073</v>
      </c>
      <c r="I116" s="91">
        <f>+SUM(DataEx!EJ232)</f>
        <v>1113836.8565952757</v>
      </c>
      <c r="J116" s="91">
        <f>+SUM(DataEx!EK232)</f>
        <v>1233130.4486106783</v>
      </c>
      <c r="K116" s="91">
        <f>+SUM(DataEx!EL232)</f>
        <v>1051463.2957267121</v>
      </c>
      <c r="L116" s="91">
        <f>+SUM(DataEx!EM232)</f>
        <v>1178569.585246797</v>
      </c>
      <c r="M116" s="91">
        <f>+SUM(DataEx!EN232)</f>
        <v>1439912.5864559195</v>
      </c>
      <c r="N116" s="91">
        <f>+SUM(DataEx!EO232)</f>
        <v>1558367.0915362868</v>
      </c>
      <c r="O116" s="91">
        <f>+SUM(DataEx!EP232)</f>
        <v>1553495.4782926445</v>
      </c>
      <c r="P116" s="91">
        <f>+SUM(DataEx!EQ232)</f>
        <v>1431813.379118765</v>
      </c>
      <c r="Q116" s="91">
        <f>+SUM(DataEx!ER232)</f>
        <v>1071760.2162897959</v>
      </c>
      <c r="R116" s="91">
        <f>+SUM(DataEx!ES232)</f>
        <v>1237129.1759996265</v>
      </c>
      <c r="S116" s="126">
        <f t="shared" si="20"/>
        <v>13897899.7574651</v>
      </c>
      <c r="T116" s="127">
        <f t="shared" si="21"/>
        <v>3.512053916270368E-3</v>
      </c>
    </row>
    <row r="117" spans="1:20">
      <c r="A117" s="138" t="str">
        <f t="shared" si="17"/>
        <v>7124p</v>
      </c>
      <c r="B117" s="478" t="str">
        <f>+VLOOKUP(LEFT($A117,LEN(A117)-1)*1,Master!$D$25:$G$223,4,FALSE)</f>
        <v>Ostali doprinosi</v>
      </c>
      <c r="C117" s="479"/>
      <c r="D117" s="479"/>
      <c r="E117" s="479"/>
      <c r="F117" s="479"/>
      <c r="G117" s="91">
        <f>+SUM(DataEx!EH233)</f>
        <v>365065.07289730239</v>
      </c>
      <c r="H117" s="91">
        <f>+SUM(DataEx!EI233)</f>
        <v>976898.58747741836</v>
      </c>
      <c r="I117" s="91">
        <f>+SUM(DataEx!EJ233)</f>
        <v>1060578.7083815164</v>
      </c>
      <c r="J117" s="91">
        <f>+SUM(DataEx!EK233)</f>
        <v>906939.79283236968</v>
      </c>
      <c r="K117" s="91">
        <f>+SUM(DataEx!EL233)</f>
        <v>939719.43547718064</v>
      </c>
      <c r="L117" s="91">
        <f>+SUM(DataEx!EM233)</f>
        <v>1011568.0578182479</v>
      </c>
      <c r="M117" s="91">
        <f>+SUM(DataEx!EN233)</f>
        <v>958414.50063517841</v>
      </c>
      <c r="N117" s="91">
        <f>+SUM(DataEx!EO233)</f>
        <v>1025579.6793235709</v>
      </c>
      <c r="O117" s="91">
        <f>+SUM(DataEx!EP233)</f>
        <v>1037416.9130003202</v>
      </c>
      <c r="P117" s="91">
        <f>+SUM(DataEx!EQ233)</f>
        <v>1150851.9939894073</v>
      </c>
      <c r="Q117" s="91">
        <f>+SUM(DataEx!ER233)</f>
        <v>1002483.7300243885</v>
      </c>
      <c r="R117" s="91">
        <f>+SUM(DataEx!ES233)</f>
        <v>1837629.2045531017</v>
      </c>
      <c r="S117" s="126">
        <f t="shared" si="20"/>
        <v>12273145.676410003</v>
      </c>
      <c r="T117" s="127">
        <f t="shared" si="21"/>
        <v>3.1014721713357937E-3</v>
      </c>
    </row>
    <row r="118" spans="1:20">
      <c r="A118" s="138" t="str">
        <f t="shared" si="17"/>
        <v>713p</v>
      </c>
      <c r="B118" s="489" t="str">
        <f>+VLOOKUP(LEFT($A118,LEN(A118)-1)*1,Master!$D$25:$G$223,4,FALSE)</f>
        <v>Takse</v>
      </c>
      <c r="C118" s="490"/>
      <c r="D118" s="490"/>
      <c r="E118" s="490"/>
      <c r="F118" s="490"/>
      <c r="G118" s="85">
        <f>+SUM(DataEx!EH234)</f>
        <v>610864.67030384962</v>
      </c>
      <c r="H118" s="85">
        <f>+SUM(DataEx!EI234)</f>
        <v>956190.19217041158</v>
      </c>
      <c r="I118" s="85">
        <f>+SUM(DataEx!EJ234)</f>
        <v>1101531.2378384364</v>
      </c>
      <c r="J118" s="85">
        <f>+SUM(DataEx!EK234)</f>
        <v>1012659.4044928866</v>
      </c>
      <c r="K118" s="85">
        <f>+SUM(DataEx!EL234)</f>
        <v>1178564.1353407067</v>
      </c>
      <c r="L118" s="85">
        <f>+SUM(DataEx!EM234)</f>
        <v>1356946.2184835174</v>
      </c>
      <c r="M118" s="85">
        <f>+SUM(DataEx!EN234)</f>
        <v>1348470.7634851695</v>
      </c>
      <c r="N118" s="85">
        <f>+SUM(DataEx!EO234)</f>
        <v>1646935.436847656</v>
      </c>
      <c r="O118" s="85">
        <f>+SUM(DataEx!EP234)</f>
        <v>1304957.8822505821</v>
      </c>
      <c r="P118" s="85">
        <f>+SUM(DataEx!EQ234)</f>
        <v>1090007.5802936796</v>
      </c>
      <c r="Q118" s="85">
        <f>+SUM(DataEx!ER234)</f>
        <v>1069514.6174671263</v>
      </c>
      <c r="R118" s="85">
        <f>+SUM(DataEx!ES234)</f>
        <v>1155633.7530853748</v>
      </c>
      <c r="S118" s="128">
        <f t="shared" si="20"/>
        <v>13832275.892059395</v>
      </c>
      <c r="T118" s="129">
        <f t="shared" si="21"/>
        <v>3.4954705074445049E-3</v>
      </c>
    </row>
    <row r="119" spans="1:20">
      <c r="A119" s="138" t="str">
        <f t="shared" si="17"/>
        <v>714p</v>
      </c>
      <c r="B119" s="489" t="str">
        <f>+VLOOKUP(LEFT($A119,LEN(A119)-1)*1,Master!$D$25:$G$223,4,FALSE)</f>
        <v>Naknade</v>
      </c>
      <c r="C119" s="490"/>
      <c r="D119" s="490"/>
      <c r="E119" s="490"/>
      <c r="F119" s="490"/>
      <c r="G119" s="85">
        <f>+SUM(DataEx!EH241)</f>
        <v>1682455.8460246248</v>
      </c>
      <c r="H119" s="85">
        <f>+SUM(DataEx!EI241)</f>
        <v>1232315.1298845697</v>
      </c>
      <c r="I119" s="85">
        <f>+SUM(DataEx!EJ241)</f>
        <v>1332747.1124490716</v>
      </c>
      <c r="J119" s="85">
        <f>+SUM(DataEx!EK241)</f>
        <v>1975532.6209221156</v>
      </c>
      <c r="K119" s="85">
        <f>+SUM(DataEx!EL241)</f>
        <v>1379961.0350704237</v>
      </c>
      <c r="L119" s="85">
        <f>+SUM(DataEx!EM241)</f>
        <v>1823244.5616456694</v>
      </c>
      <c r="M119" s="85">
        <f>+SUM(DataEx!EN241)</f>
        <v>2820791.0553781362</v>
      </c>
      <c r="N119" s="85">
        <f>+SUM(DataEx!EO241)</f>
        <v>1850940.4561359507</v>
      </c>
      <c r="O119" s="85">
        <f>+SUM(DataEx!EP241)</f>
        <v>2466068.9719773401</v>
      </c>
      <c r="P119" s="85">
        <f>+SUM(DataEx!EQ241)</f>
        <v>2793048.4100497989</v>
      </c>
      <c r="Q119" s="85">
        <f>+SUM(DataEx!ER241)</f>
        <v>1640472.4289961406</v>
      </c>
      <c r="R119" s="85">
        <f>+SUM(DataEx!ES241)</f>
        <v>2451703.7437339895</v>
      </c>
      <c r="S119" s="128">
        <f t="shared" si="20"/>
        <v>23449281.372267835</v>
      </c>
      <c r="T119" s="129">
        <f t="shared" si="21"/>
        <v>5.9257256070625276E-3</v>
      </c>
    </row>
    <row r="120" spans="1:20">
      <c r="A120" s="138" t="str">
        <f t="shared" si="17"/>
        <v>715p</v>
      </c>
      <c r="B120" s="489" t="str">
        <f>+VLOOKUP(LEFT($A120,LEN(A120)-1)*1,Master!$D$25:$G$223,4,FALSE)</f>
        <v>Ostali prihodi</v>
      </c>
      <c r="C120" s="490"/>
      <c r="D120" s="490"/>
      <c r="E120" s="490"/>
      <c r="F120" s="490"/>
      <c r="G120" s="85">
        <f>+SUM(DataEx!EH251)</f>
        <v>1168350.4302555511</v>
      </c>
      <c r="H120" s="85">
        <f>+SUM(DataEx!EI251)</f>
        <v>1798869.4036121303</v>
      </c>
      <c r="I120" s="85">
        <f>+SUM(DataEx!EJ251)</f>
        <v>4217567.8031770149</v>
      </c>
      <c r="J120" s="85">
        <f>+SUM(DataEx!EK251)</f>
        <v>4791550.5507069705</v>
      </c>
      <c r="K120" s="85">
        <f>+SUM(DataEx!EL251)</f>
        <v>2759327.8496096786</v>
      </c>
      <c r="L120" s="85">
        <f>+SUM(DataEx!EM251)</f>
        <v>4234177.9201608691</v>
      </c>
      <c r="M120" s="85">
        <f>+SUM(DataEx!EN251)</f>
        <v>2756294.0427416707</v>
      </c>
      <c r="N120" s="85">
        <f>+SUM(DataEx!EO251)</f>
        <v>3422485.7897798368</v>
      </c>
      <c r="O120" s="85">
        <f>+SUM(DataEx!EP251)</f>
        <v>2475503.0918674311</v>
      </c>
      <c r="P120" s="85">
        <f>+SUM(DataEx!EQ251)</f>
        <v>2324139.1651606886</v>
      </c>
      <c r="Q120" s="85">
        <f>+SUM(DataEx!ER251)</f>
        <v>2273693.8538731383</v>
      </c>
      <c r="R120" s="85">
        <f>+SUM(DataEx!ES251)</f>
        <v>5169176.3101685084</v>
      </c>
      <c r="S120" s="128">
        <f t="shared" si="20"/>
        <v>37391136.21111349</v>
      </c>
      <c r="T120" s="129">
        <f t="shared" si="21"/>
        <v>9.4488871452323587E-3</v>
      </c>
    </row>
    <row r="121" spans="1:20">
      <c r="A121" s="138" t="str">
        <f t="shared" si="17"/>
        <v>73p</v>
      </c>
      <c r="B121" s="489" t="str">
        <f>+VLOOKUP(LEFT($A121,LEN(A121)-1)*1,Master!$D$25:$G$223,4,FALSE)</f>
        <v>Primici od otplate kredita i sredstva prenesena iz prethodne godine</v>
      </c>
      <c r="C121" s="490"/>
      <c r="D121" s="490"/>
      <c r="E121" s="490"/>
      <c r="F121" s="490"/>
      <c r="G121" s="85">
        <f>+SUM(DataEx!EH260)</f>
        <v>183698.17865459234</v>
      </c>
      <c r="H121" s="85">
        <f>+SUM(DataEx!EI260)</f>
        <v>102035.58643931696</v>
      </c>
      <c r="I121" s="85">
        <f>+SUM(DataEx!EJ260)</f>
        <v>148096.29167512842</v>
      </c>
      <c r="J121" s="85">
        <f>+SUM(DataEx!EK260)</f>
        <v>127767.63759506466</v>
      </c>
      <c r="K121" s="85">
        <f>+SUM(DataEx!EL260)</f>
        <v>1142721.3076513549</v>
      </c>
      <c r="L121" s="85">
        <f>+SUM(DataEx!EM260)</f>
        <v>701618.42572295177</v>
      </c>
      <c r="M121" s="85">
        <f>+SUM(DataEx!EN260)</f>
        <v>104750.01912924652</v>
      </c>
      <c r="N121" s="85">
        <f>+SUM(DataEx!EO260)</f>
        <v>98423.786607340022</v>
      </c>
      <c r="O121" s="85">
        <f>+SUM(DataEx!EP260)</f>
        <v>166546.28014151528</v>
      </c>
      <c r="P121" s="85">
        <f>+SUM(DataEx!EQ260)</f>
        <v>280543.43877720588</v>
      </c>
      <c r="Q121" s="85">
        <f>+SUM(DataEx!ER260)</f>
        <v>972014.9027765803</v>
      </c>
      <c r="R121" s="85">
        <f>+SUM(DataEx!ES260)</f>
        <v>1282367.813650754</v>
      </c>
      <c r="S121" s="128">
        <f t="shared" si="20"/>
        <v>5310583.6688210517</v>
      </c>
      <c r="T121" s="129">
        <f t="shared" si="21"/>
        <v>1.3420053747147103E-3</v>
      </c>
    </row>
    <row r="122" spans="1:20" ht="13.5" thickBot="1">
      <c r="A122" s="138" t="str">
        <f t="shared" si="17"/>
        <v>74p</v>
      </c>
      <c r="B122" s="493" t="str">
        <f>+VLOOKUP(LEFT($A122,LEN(A122)-1)*1,Master!$D$25:$G$223,4,FALSE)</f>
        <v>Donacije i transferi</v>
      </c>
      <c r="C122" s="494"/>
      <c r="D122" s="494"/>
      <c r="E122" s="494"/>
      <c r="F122" s="494"/>
      <c r="G122" s="85">
        <f>+SUM(DataEx!EH263)</f>
        <v>547322.26784047682</v>
      </c>
      <c r="H122" s="85">
        <f>+SUM(DataEx!EI263)</f>
        <v>467022.50625958334</v>
      </c>
      <c r="I122" s="85">
        <f>+SUM(DataEx!EJ263)</f>
        <v>2218647.0372368339</v>
      </c>
      <c r="J122" s="85">
        <f>+SUM(DataEx!EK263)</f>
        <v>1658251.9080133145</v>
      </c>
      <c r="K122" s="85">
        <f>+SUM(DataEx!EL263)</f>
        <v>2940231.9146968834</v>
      </c>
      <c r="L122" s="85">
        <f>+SUM(DataEx!EM263)</f>
        <v>3480111.7653140961</v>
      </c>
      <c r="M122" s="85">
        <f>+SUM(DataEx!EN263)</f>
        <v>1506547.2713743269</v>
      </c>
      <c r="N122" s="85">
        <f>+SUM(DataEx!EO263)</f>
        <v>1860592.1593926547</v>
      </c>
      <c r="O122" s="85">
        <f>+SUM(DataEx!EP263)</f>
        <v>4235813.5165702263</v>
      </c>
      <c r="P122" s="85">
        <f>+SUM(DataEx!EQ263)</f>
        <v>3997546.8172499253</v>
      </c>
      <c r="Q122" s="85">
        <f>+SUM(DataEx!ER263)</f>
        <v>4745750.1562713273</v>
      </c>
      <c r="R122" s="85">
        <f>+SUM(DataEx!ES263)</f>
        <v>7542162.679780351</v>
      </c>
      <c r="S122" s="130">
        <f t="shared" si="20"/>
        <v>35200000</v>
      </c>
      <c r="T122" s="131">
        <f t="shared" si="21"/>
        <v>8.8951784089760441E-3</v>
      </c>
    </row>
    <row r="123" spans="1:20" ht="13.5" thickBot="1">
      <c r="A123" s="138" t="str">
        <f t="shared" si="17"/>
        <v>4p</v>
      </c>
      <c r="B123" s="495" t="str">
        <f>+VLOOKUP(LEFT($A123,LEN(A123)-1)*1,Master!$D$25:$G$223,4,FALSE)</f>
        <v>Budžetki izdaci</v>
      </c>
      <c r="C123" s="496"/>
      <c r="D123" s="496"/>
      <c r="E123" s="496"/>
      <c r="F123" s="496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0.45132408664207013</v>
      </c>
    </row>
    <row r="124" spans="1:20" ht="13.5" thickBot="1">
      <c r="A124" s="138" t="str">
        <f t="shared" si="17"/>
        <v>41p</v>
      </c>
      <c r="B124" s="497" t="str">
        <f>+VLOOKUP(LEFT($A124,LEN(A124)-1)*1,Master!$D$25:$G$223,4,FALSE)</f>
        <v>Tekući izdaci</v>
      </c>
      <c r="C124" s="498"/>
      <c r="D124" s="498"/>
      <c r="E124" s="498"/>
      <c r="F124" s="498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0.37978901133124426</v>
      </c>
    </row>
    <row r="125" spans="1:20">
      <c r="A125" s="138" t="str">
        <f t="shared" si="17"/>
        <v>40p</v>
      </c>
      <c r="B125" s="499" t="str">
        <f>+VLOOKUP(LEFT($A125,LEN(A125)-1)*1,Master!$D$25:$G$223,4,FALSE)</f>
        <v>Tekući budžetski izdaci</v>
      </c>
      <c r="C125" s="500"/>
      <c r="D125" s="500"/>
      <c r="E125" s="500"/>
      <c r="F125" s="500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0.18977036710805617</v>
      </c>
    </row>
    <row r="126" spans="1:20">
      <c r="A126" s="138" t="str">
        <f t="shared" si="17"/>
        <v>411p</v>
      </c>
      <c r="B126" s="478" t="str">
        <f>+VLOOKUP(LEFT($A126,LEN(A126)-1)*1,Master!$D$25:$G$223,4,FALSE)</f>
        <v>Bruto zarade i doprinosi na teret poslodavca</v>
      </c>
      <c r="C126" s="479"/>
      <c r="D126" s="479"/>
      <c r="E126" s="479"/>
      <c r="F126" s="479"/>
      <c r="G126" s="91">
        <f>+SUM(DataEx!EH272)</f>
        <v>36520519.998333327</v>
      </c>
      <c r="H126" s="91">
        <f>+SUM(DataEx!EI272)</f>
        <v>36520519.998333327</v>
      </c>
      <c r="I126" s="91">
        <f>+SUM(DataEx!EJ272)</f>
        <v>36520519.998333327</v>
      </c>
      <c r="J126" s="91">
        <f>+SUM(DataEx!EK272)</f>
        <v>36520519.998333327</v>
      </c>
      <c r="K126" s="91">
        <f>+SUM(DataEx!EL272)</f>
        <v>36520519.998333327</v>
      </c>
      <c r="L126" s="91">
        <f>+SUM(DataEx!EM272)</f>
        <v>36520519.998333327</v>
      </c>
      <c r="M126" s="91">
        <f>+SUM(DataEx!EN272)</f>
        <v>36520519.998333327</v>
      </c>
      <c r="N126" s="91">
        <f>+SUM(DataEx!EO272)</f>
        <v>36520519.998333327</v>
      </c>
      <c r="O126" s="91">
        <f>+SUM(DataEx!EP272)</f>
        <v>36520519.998333327</v>
      </c>
      <c r="P126" s="91">
        <f>+SUM(DataEx!EQ272)</f>
        <v>36520519.998333327</v>
      </c>
      <c r="Q126" s="91">
        <f>+SUM(DataEx!ER272)</f>
        <v>36520519.998333327</v>
      </c>
      <c r="R126" s="91">
        <f>+SUM(DataEx!ES272)</f>
        <v>36520519.998333327</v>
      </c>
      <c r="S126" s="126">
        <f t="shared" si="20"/>
        <v>438246239.97999996</v>
      </c>
      <c r="T126" s="127">
        <f t="shared" si="21"/>
        <v>0.11074654805923378</v>
      </c>
    </row>
    <row r="127" spans="1:20">
      <c r="A127" s="138" t="str">
        <f t="shared" si="17"/>
        <v>412p</v>
      </c>
      <c r="B127" s="478" t="str">
        <f>+VLOOKUP(LEFT($A127,LEN(A127)-1)*1,Master!$D$25:$G$223,4,FALSE)</f>
        <v>Ostala lična primanja</v>
      </c>
      <c r="C127" s="479"/>
      <c r="D127" s="479"/>
      <c r="E127" s="479"/>
      <c r="F127" s="479"/>
      <c r="G127" s="91">
        <f>SUM(DataEx!EH278)</f>
        <v>849012.24750000006</v>
      </c>
      <c r="H127" s="91">
        <f>SUM(DataEx!EI278)</f>
        <v>849012.24750000006</v>
      </c>
      <c r="I127" s="91">
        <f>SUM(DataEx!EJ278)</f>
        <v>849012.24750000006</v>
      </c>
      <c r="J127" s="91">
        <f>SUM(DataEx!EK278)</f>
        <v>849012.24750000006</v>
      </c>
      <c r="K127" s="91">
        <f>SUM(DataEx!EL278)</f>
        <v>849012.24750000006</v>
      </c>
      <c r="L127" s="91">
        <f>SUM(DataEx!EM278)</f>
        <v>849012.24750000006</v>
      </c>
      <c r="M127" s="91">
        <f>SUM(DataEx!EN278)</f>
        <v>849012.24750000006</v>
      </c>
      <c r="N127" s="91">
        <f>SUM(DataEx!EO278)</f>
        <v>849012.24750000006</v>
      </c>
      <c r="O127" s="91">
        <f>SUM(DataEx!EP278)</f>
        <v>849012.24750000006</v>
      </c>
      <c r="P127" s="91">
        <f>SUM(DataEx!EQ278)</f>
        <v>849012.24750000006</v>
      </c>
      <c r="Q127" s="91">
        <f>SUM(DataEx!ER278)</f>
        <v>849012.24750000006</v>
      </c>
      <c r="R127" s="91">
        <f>SUM(DataEx!ES278)</f>
        <v>849012.24750000006</v>
      </c>
      <c r="S127" s="126">
        <f t="shared" si="20"/>
        <v>10188146.970000004</v>
      </c>
      <c r="T127" s="127">
        <f t="shared" si="21"/>
        <v>2.5745847998584867E-3</v>
      </c>
    </row>
    <row r="128" spans="1:20">
      <c r="A128" s="138" t="str">
        <f t="shared" si="17"/>
        <v>413p</v>
      </c>
      <c r="B128" s="478" t="str">
        <f>+VLOOKUP(LEFT($A128,LEN(A128)-1)*1,Master!$D$25:$G$223,4,FALSE)</f>
        <v>Rashodi za materijal</v>
      </c>
      <c r="C128" s="479"/>
      <c r="D128" s="479"/>
      <c r="E128" s="479"/>
      <c r="F128" s="479"/>
      <c r="G128" s="91">
        <f>SUM(DataEx!EH286)</f>
        <v>1973140.86</v>
      </c>
      <c r="H128" s="91">
        <f>SUM(DataEx!EI286)</f>
        <v>1973140.86</v>
      </c>
      <c r="I128" s="91">
        <f>SUM(DataEx!EJ286)</f>
        <v>1973140.86</v>
      </c>
      <c r="J128" s="91">
        <f>SUM(DataEx!EK286)</f>
        <v>1973140.86</v>
      </c>
      <c r="K128" s="91">
        <f>SUM(DataEx!EL286)</f>
        <v>1973140.86</v>
      </c>
      <c r="L128" s="91">
        <f>SUM(DataEx!EM286)</f>
        <v>1973140.86</v>
      </c>
      <c r="M128" s="91">
        <f>SUM(DataEx!EN286)</f>
        <v>2959711.29</v>
      </c>
      <c r="N128" s="91">
        <f>SUM(DataEx!EO286)</f>
        <v>2959711.29</v>
      </c>
      <c r="O128" s="91">
        <f>SUM(DataEx!EP286)</f>
        <v>2959711.29</v>
      </c>
      <c r="P128" s="91">
        <f>SUM(DataEx!EQ286)</f>
        <v>2959711.29</v>
      </c>
      <c r="Q128" s="91">
        <f>SUM(DataEx!ER286)</f>
        <v>2959711.29</v>
      </c>
      <c r="R128" s="91">
        <f>SUM(DataEx!ES286)</f>
        <v>2959711.29</v>
      </c>
      <c r="S128" s="126">
        <f t="shared" si="20"/>
        <v>29597112.899999995</v>
      </c>
      <c r="T128" s="127">
        <f t="shared" si="21"/>
        <v>7.4793068078439287E-3</v>
      </c>
    </row>
    <row r="129" spans="1:20">
      <c r="A129" s="138" t="str">
        <f t="shared" si="17"/>
        <v>414p</v>
      </c>
      <c r="B129" s="478" t="str">
        <f>+VLOOKUP(LEFT($A129,LEN(A129)-1)*1,Master!$D$25:$G$223,4,FALSE)</f>
        <v>Rashodi za usluge</v>
      </c>
      <c r="C129" s="479"/>
      <c r="D129" s="479"/>
      <c r="E129" s="479"/>
      <c r="F129" s="479"/>
      <c r="G129" s="91">
        <f>SUM(DataEx!EH293)</f>
        <v>3534983.4</v>
      </c>
      <c r="H129" s="91">
        <f>SUM(DataEx!EI293)</f>
        <v>3534983.4</v>
      </c>
      <c r="I129" s="91">
        <f>SUM(DataEx!EJ293)</f>
        <v>3534983.4</v>
      </c>
      <c r="J129" s="91">
        <f>SUM(DataEx!EK293)</f>
        <v>3534983.4</v>
      </c>
      <c r="K129" s="91">
        <f>SUM(DataEx!EL293)</f>
        <v>3534983.4</v>
      </c>
      <c r="L129" s="91">
        <f>SUM(DataEx!EM293)</f>
        <v>3534983.4</v>
      </c>
      <c r="M129" s="91">
        <f>SUM(DataEx!EN293)</f>
        <v>5302475.09</v>
      </c>
      <c r="N129" s="91">
        <f>SUM(DataEx!EO293)</f>
        <v>5302475.09</v>
      </c>
      <c r="O129" s="91">
        <f>SUM(DataEx!EP293)</f>
        <v>5302475.09</v>
      </c>
      <c r="P129" s="91">
        <f>SUM(DataEx!EQ293)</f>
        <v>5302475.09</v>
      </c>
      <c r="Q129" s="91">
        <f>SUM(DataEx!ER293)</f>
        <v>5302475.09</v>
      </c>
      <c r="R129" s="91">
        <f>SUM(DataEx!ES293)</f>
        <v>5302475.09</v>
      </c>
      <c r="S129" s="126">
        <f t="shared" si="20"/>
        <v>53024750.940000013</v>
      </c>
      <c r="T129" s="127">
        <f t="shared" si="21"/>
        <v>1.3399563059739213E-2</v>
      </c>
    </row>
    <row r="130" spans="1:20">
      <c r="A130" s="138" t="str">
        <f t="shared" si="17"/>
        <v>415p</v>
      </c>
      <c r="B130" s="478" t="str">
        <f>+VLOOKUP(LEFT($A130,LEN(A130)-1)*1,Master!$D$25:$G$223,4,FALSE)</f>
        <v>Rashodi za tekuće održavanje</v>
      </c>
      <c r="C130" s="479"/>
      <c r="D130" s="479"/>
      <c r="E130" s="479"/>
      <c r="F130" s="479"/>
      <c r="G130" s="91">
        <f>SUM(DataEx!EH303)</f>
        <v>1415131.31</v>
      </c>
      <c r="H130" s="91">
        <f>SUM(DataEx!EI303)</f>
        <v>1415131.31</v>
      </c>
      <c r="I130" s="91">
        <f>SUM(DataEx!EJ303)</f>
        <v>1415131.31</v>
      </c>
      <c r="J130" s="91">
        <f>SUM(DataEx!EK303)</f>
        <v>1415131.31</v>
      </c>
      <c r="K130" s="91">
        <f>SUM(DataEx!EL303)</f>
        <v>1415131.31</v>
      </c>
      <c r="L130" s="91">
        <f>SUM(DataEx!EM303)</f>
        <v>1415131.31</v>
      </c>
      <c r="M130" s="91">
        <f>SUM(DataEx!EN303)</f>
        <v>2122696.9700000002</v>
      </c>
      <c r="N130" s="91">
        <f>SUM(DataEx!EO303)</f>
        <v>2122696.9700000002</v>
      </c>
      <c r="O130" s="91">
        <f>SUM(DataEx!EP303)</f>
        <v>2122696.9700000002</v>
      </c>
      <c r="P130" s="91">
        <f>SUM(DataEx!EQ303)</f>
        <v>2122696.9700000002</v>
      </c>
      <c r="Q130" s="91">
        <f>SUM(DataEx!ER303)</f>
        <v>2122696.9700000002</v>
      </c>
      <c r="R130" s="91">
        <f>SUM(DataEx!ES303)</f>
        <v>2122696.9700000002</v>
      </c>
      <c r="S130" s="126">
        <f t="shared" si="20"/>
        <v>21226969.68</v>
      </c>
      <c r="T130" s="127">
        <f t="shared" si="21"/>
        <v>5.3641387041342362E-3</v>
      </c>
    </row>
    <row r="131" spans="1:20">
      <c r="A131" s="138" t="str">
        <f t="shared" si="17"/>
        <v>416p</v>
      </c>
      <c r="B131" s="478" t="str">
        <f>+VLOOKUP(LEFT($A131,LEN(A131)-1)*1,Master!$D$25:$G$223,4,FALSE)</f>
        <v>Kamate</v>
      </c>
      <c r="C131" s="479"/>
      <c r="D131" s="479"/>
      <c r="E131" s="479"/>
      <c r="F131" s="479"/>
      <c r="G131" s="91">
        <f>SUM(DataEx!EH307)</f>
        <v>3333757.43</v>
      </c>
      <c r="H131" s="91">
        <f>SUM(DataEx!EI307)</f>
        <v>1096671.53</v>
      </c>
      <c r="I131" s="91">
        <f>SUM(DataEx!EJ307)</f>
        <v>36126290.18</v>
      </c>
      <c r="J131" s="91">
        <f>SUM(DataEx!EK307)</f>
        <v>21246911.27</v>
      </c>
      <c r="K131" s="91">
        <f>SUM(DataEx!EL307)</f>
        <v>16205436.859999999</v>
      </c>
      <c r="L131" s="91">
        <f>SUM(DataEx!EM307)</f>
        <v>2300084.98</v>
      </c>
      <c r="M131" s="91">
        <f>SUM(DataEx!EN307)</f>
        <v>5535297.3899999997</v>
      </c>
      <c r="N131" s="91">
        <f>SUM(DataEx!EO307)</f>
        <v>1275261.51</v>
      </c>
      <c r="O131" s="91">
        <f>SUM(DataEx!EP307)</f>
        <v>1875594.36</v>
      </c>
      <c r="P131" s="91">
        <f>SUM(DataEx!EQ307)</f>
        <v>394180.91</v>
      </c>
      <c r="Q131" s="91">
        <f>SUM(DataEx!ER307)</f>
        <v>3829719.18</v>
      </c>
      <c r="R131" s="91">
        <f>SUM(DataEx!ES307)</f>
        <v>2144420.31</v>
      </c>
      <c r="S131" s="126">
        <f t="shared" si="20"/>
        <v>95363625.910000011</v>
      </c>
      <c r="T131" s="127">
        <f t="shared" si="21"/>
        <v>2.4098763244213083E-2</v>
      </c>
    </row>
    <row r="132" spans="1:20">
      <c r="A132" s="138" t="str">
        <f t="shared" si="17"/>
        <v>417p</v>
      </c>
      <c r="B132" s="478" t="str">
        <f>+VLOOKUP(LEFT($A132,LEN(A132)-1)*1,Master!$D$25:$G$223,4,FALSE)</f>
        <v>Renta</v>
      </c>
      <c r="C132" s="479"/>
      <c r="D132" s="479"/>
      <c r="E132" s="479"/>
      <c r="F132" s="479"/>
      <c r="G132" s="91">
        <f>SUM(DataEx!EH310)</f>
        <v>776981.62666666659</v>
      </c>
      <c r="H132" s="91">
        <f>SUM(DataEx!EI310)</f>
        <v>776981.62666666659</v>
      </c>
      <c r="I132" s="91">
        <f>SUM(DataEx!EJ310)</f>
        <v>776981.62666666659</v>
      </c>
      <c r="J132" s="91">
        <f>SUM(DataEx!EK310)</f>
        <v>776981.62666666659</v>
      </c>
      <c r="K132" s="91">
        <f>SUM(DataEx!EL310)</f>
        <v>776981.62666666659</v>
      </c>
      <c r="L132" s="91">
        <f>SUM(DataEx!EM310)</f>
        <v>776981.62666666659</v>
      </c>
      <c r="M132" s="91">
        <f>SUM(DataEx!EN310)</f>
        <v>776981.62666666659</v>
      </c>
      <c r="N132" s="91">
        <f>SUM(DataEx!EO310)</f>
        <v>776981.62666666659</v>
      </c>
      <c r="O132" s="91">
        <f>SUM(DataEx!EP310)</f>
        <v>776981.62666666659</v>
      </c>
      <c r="P132" s="91">
        <f>SUM(DataEx!EQ310)</f>
        <v>776981.62666666659</v>
      </c>
      <c r="Q132" s="91">
        <f>SUM(DataEx!ER310)</f>
        <v>776981.62666666659</v>
      </c>
      <c r="R132" s="91">
        <f>SUM(DataEx!ES310)</f>
        <v>776981.62666666659</v>
      </c>
      <c r="S132" s="126">
        <f t="shared" si="20"/>
        <v>9323779.5200000014</v>
      </c>
      <c r="T132" s="127">
        <f t="shared" si="21"/>
        <v>2.3561557464874157E-3</v>
      </c>
    </row>
    <row r="133" spans="1:20">
      <c r="A133" s="138" t="str">
        <f t="shared" si="17"/>
        <v>418p</v>
      </c>
      <c r="B133" s="478" t="str">
        <f>+VLOOKUP(LEFT($A133,LEN(A133)-1)*1,Master!$D$25:$G$223,4,FALSE)</f>
        <v>Subvencije</v>
      </c>
      <c r="C133" s="479"/>
      <c r="D133" s="479"/>
      <c r="E133" s="479"/>
      <c r="F133" s="479"/>
      <c r="G133" s="91">
        <f>SUM(DataEx!EH314)</f>
        <v>1661453.33</v>
      </c>
      <c r="H133" s="91">
        <f>SUM(DataEx!EI314)</f>
        <v>1661453.33</v>
      </c>
      <c r="I133" s="91">
        <f>SUM(DataEx!EJ314)</f>
        <v>1661453.33</v>
      </c>
      <c r="J133" s="91">
        <f>SUM(DataEx!EK314)</f>
        <v>1661453.33</v>
      </c>
      <c r="K133" s="91">
        <f>SUM(DataEx!EL314)</f>
        <v>1661453.33</v>
      </c>
      <c r="L133" s="91">
        <f>SUM(DataEx!EM314)</f>
        <v>1661453.33</v>
      </c>
      <c r="M133" s="91">
        <f>SUM(DataEx!EN314)</f>
        <v>2492180</v>
      </c>
      <c r="N133" s="91">
        <f>SUM(DataEx!EO314)</f>
        <v>2492180</v>
      </c>
      <c r="O133" s="91">
        <f>SUM(DataEx!EP314)</f>
        <v>2492180</v>
      </c>
      <c r="P133" s="91">
        <f>SUM(DataEx!EQ314)</f>
        <v>2492180</v>
      </c>
      <c r="Q133" s="91">
        <f>SUM(DataEx!ER314)</f>
        <v>2492180</v>
      </c>
      <c r="R133" s="91">
        <f>SUM(DataEx!ES314)</f>
        <v>2492180</v>
      </c>
      <c r="S133" s="126">
        <f t="shared" si="20"/>
        <v>24921799.98</v>
      </c>
      <c r="T133" s="127">
        <f t="shared" si="21"/>
        <v>6.297836849287375E-3</v>
      </c>
    </row>
    <row r="134" spans="1:20">
      <c r="A134" s="138" t="str">
        <f t="shared" si="17"/>
        <v>419p</v>
      </c>
      <c r="B134" s="478" t="str">
        <f>+VLOOKUP(LEFT($A134,LEN(A134)-1)*1,Master!$D$25:$G$223,4,FALSE)</f>
        <v>Ostali izdaci</v>
      </c>
      <c r="C134" s="479"/>
      <c r="D134" s="479"/>
      <c r="E134" s="479"/>
      <c r="F134" s="479"/>
      <c r="G134" s="91">
        <f>SUM(DataEx!EH318)</f>
        <v>2197329.84</v>
      </c>
      <c r="H134" s="91">
        <f>SUM(DataEx!EI318)</f>
        <v>2197329.84</v>
      </c>
      <c r="I134" s="91">
        <f>SUM(DataEx!EJ318)</f>
        <v>2197329.84</v>
      </c>
      <c r="J134" s="91">
        <f>SUM(DataEx!EK318)</f>
        <v>2197329.84</v>
      </c>
      <c r="K134" s="91">
        <f>SUM(DataEx!EL318)</f>
        <v>2197329.84</v>
      </c>
      <c r="L134" s="91">
        <f>SUM(DataEx!EM318)</f>
        <v>2197329.84</v>
      </c>
      <c r="M134" s="91">
        <f>SUM(DataEx!EN318)</f>
        <v>3295994.75</v>
      </c>
      <c r="N134" s="91">
        <f>SUM(DataEx!EO318)</f>
        <v>3295994.75</v>
      </c>
      <c r="O134" s="91">
        <f>SUM(DataEx!EP318)</f>
        <v>3295994.75</v>
      </c>
      <c r="P134" s="91">
        <f>SUM(DataEx!EQ318)</f>
        <v>3295994.75</v>
      </c>
      <c r="Q134" s="91">
        <f>SUM(DataEx!ER318)</f>
        <v>3295994.75</v>
      </c>
      <c r="R134" s="91">
        <f>SUM(DataEx!ES318)</f>
        <v>3295994.75</v>
      </c>
      <c r="S134" s="126">
        <f t="shared" si="20"/>
        <v>32959947.539999999</v>
      </c>
      <c r="T134" s="127">
        <f t="shared" si="21"/>
        <v>8.3291083442838375E-3</v>
      </c>
    </row>
    <row r="135" spans="1:20">
      <c r="A135" s="138" t="str">
        <f t="shared" si="17"/>
        <v>440p</v>
      </c>
      <c r="B135" s="478" t="str">
        <f>+VLOOKUP(LEFT($A135,LEN(A135)-1)*1,Master!$D$25:$G$223,4,FALSE)</f>
        <v>Kapitalni izdaci u tekućem budžetu</v>
      </c>
      <c r="C135" s="479"/>
      <c r="D135" s="479"/>
      <c r="E135" s="479"/>
      <c r="F135" s="479"/>
      <c r="G135" s="91">
        <f>SUM(DataEx!EH376)</f>
        <v>2407128.2200000002</v>
      </c>
      <c r="H135" s="91">
        <f>SUM(DataEx!EI376)</f>
        <v>2407128.2200000002</v>
      </c>
      <c r="I135" s="91">
        <f>SUM(DataEx!EJ376)</f>
        <v>2407128.2200000002</v>
      </c>
      <c r="J135" s="91">
        <f>SUM(DataEx!EK376)</f>
        <v>2407128.2200000002</v>
      </c>
      <c r="K135" s="91">
        <f>SUM(DataEx!EL376)</f>
        <v>2407128.2200000002</v>
      </c>
      <c r="L135" s="91">
        <f>SUM(DataEx!EM376)</f>
        <v>2407128.2200000002</v>
      </c>
      <c r="M135" s="91">
        <f>SUM(DataEx!EN376)</f>
        <v>3610692.33</v>
      </c>
      <c r="N135" s="91">
        <f>SUM(DataEx!EO376)</f>
        <v>3610692.33</v>
      </c>
      <c r="O135" s="91">
        <f>SUM(DataEx!EP376)</f>
        <v>3610692.33</v>
      </c>
      <c r="P135" s="91">
        <f>SUM(DataEx!EQ376)</f>
        <v>3610692.33</v>
      </c>
      <c r="Q135" s="91">
        <f>SUM(DataEx!ER376)</f>
        <v>3610692.33</v>
      </c>
      <c r="R135" s="91">
        <f>SUM(DataEx!ES376)</f>
        <v>3610692.33</v>
      </c>
      <c r="S135" s="126">
        <f t="shared" si="20"/>
        <v>36106923.299999997</v>
      </c>
      <c r="T135" s="127">
        <f t="shared" si="21"/>
        <v>9.1243614929748303E-3</v>
      </c>
    </row>
    <row r="136" spans="1:20">
      <c r="A136" s="138" t="str">
        <f t="shared" si="17"/>
        <v>42p</v>
      </c>
      <c r="B136" s="505" t="str">
        <f>+VLOOKUP(LEFT($A136,LEN(A136)-1)*1,Master!$D$25:$G$223,4,FALSE)</f>
        <v>Transferi za socijalnu zaštitu</v>
      </c>
      <c r="C136" s="506"/>
      <c r="D136" s="506"/>
      <c r="E136" s="506"/>
      <c r="F136" s="506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0.14427325002527039</v>
      </c>
    </row>
    <row r="137" spans="1:20">
      <c r="A137" s="138" t="str">
        <f t="shared" si="17"/>
        <v>421p</v>
      </c>
      <c r="B137" s="478" t="str">
        <f>+VLOOKUP(LEFT($A137,LEN(A137)-1)*1,Master!$D$25:$G$223,4,FALSE)</f>
        <v>Prava iz oblasti socijalne zaštite</v>
      </c>
      <c r="C137" s="479"/>
      <c r="D137" s="479"/>
      <c r="E137" s="479"/>
      <c r="F137" s="479"/>
      <c r="G137" s="91">
        <f>SUM(DataEx!EH329)</f>
        <v>9559635.416666666</v>
      </c>
      <c r="H137" s="91">
        <f>SUM(DataEx!EI329)</f>
        <v>9559635.416666666</v>
      </c>
      <c r="I137" s="91">
        <f>SUM(DataEx!EJ329)</f>
        <v>9559635.416666666</v>
      </c>
      <c r="J137" s="91">
        <f>SUM(DataEx!EK329)</f>
        <v>9559635.416666666</v>
      </c>
      <c r="K137" s="91">
        <f>SUM(DataEx!EL329)</f>
        <v>9559635.416666666</v>
      </c>
      <c r="L137" s="91">
        <f>SUM(DataEx!EM329)</f>
        <v>9559635.416666666</v>
      </c>
      <c r="M137" s="91">
        <f>SUM(DataEx!EN329)</f>
        <v>9559635.416666666</v>
      </c>
      <c r="N137" s="91">
        <f>SUM(DataEx!EO329)</f>
        <v>9559635.416666666</v>
      </c>
      <c r="O137" s="91">
        <f>SUM(DataEx!EP329)</f>
        <v>9559635.416666666</v>
      </c>
      <c r="P137" s="91">
        <f>SUM(DataEx!EQ329)</f>
        <v>9559635.416666666</v>
      </c>
      <c r="Q137" s="91">
        <f>SUM(DataEx!ER329)</f>
        <v>9559635.416666666</v>
      </c>
      <c r="R137" s="91">
        <f>SUM(DataEx!ES329)</f>
        <v>9559635.416666666</v>
      </c>
      <c r="S137" s="126">
        <f t="shared" si="20"/>
        <v>114715625.00000001</v>
      </c>
      <c r="T137" s="127">
        <f t="shared" si="21"/>
        <v>2.8989089507732744E-2</v>
      </c>
    </row>
    <row r="138" spans="1:20">
      <c r="A138" s="138" t="str">
        <f t="shared" si="17"/>
        <v>422p</v>
      </c>
      <c r="B138" s="478" t="str">
        <f>+VLOOKUP(LEFT($A138,LEN(A138)-1)*1,Master!$D$25:$G$223,4,FALSE)</f>
        <v>Sredstva za tehnološke viškove</v>
      </c>
      <c r="C138" s="479"/>
      <c r="D138" s="479"/>
      <c r="E138" s="479"/>
      <c r="F138" s="479"/>
      <c r="G138" s="91">
        <f>SUM(DataEx!EH337)</f>
        <v>1716373.3333333333</v>
      </c>
      <c r="H138" s="91">
        <f>SUM(DataEx!EI337)</f>
        <v>1716373.3333333333</v>
      </c>
      <c r="I138" s="91">
        <f>SUM(DataEx!EJ337)</f>
        <v>1716373.3333333333</v>
      </c>
      <c r="J138" s="91">
        <f>SUM(DataEx!EK337)</f>
        <v>1716373.3333333333</v>
      </c>
      <c r="K138" s="91">
        <f>SUM(DataEx!EL337)</f>
        <v>1716373.3333333333</v>
      </c>
      <c r="L138" s="91">
        <f>SUM(DataEx!EM337)</f>
        <v>1716373.3333333333</v>
      </c>
      <c r="M138" s="91">
        <f>SUM(DataEx!EN337)</f>
        <v>1716373.3333333333</v>
      </c>
      <c r="N138" s="91">
        <f>SUM(DataEx!EO337)</f>
        <v>1716373.3333333333</v>
      </c>
      <c r="O138" s="91">
        <f>SUM(DataEx!EP337)</f>
        <v>1716373.3333333333</v>
      </c>
      <c r="P138" s="91">
        <f>SUM(DataEx!EQ337)</f>
        <v>1716373.3333333333</v>
      </c>
      <c r="Q138" s="91">
        <f>SUM(DataEx!ER337)</f>
        <v>1716373.3333333333</v>
      </c>
      <c r="R138" s="91">
        <f>SUM(DataEx!ES337)</f>
        <v>1716373.3333333333</v>
      </c>
      <c r="S138" s="126">
        <f t="shared" si="20"/>
        <v>20596480</v>
      </c>
      <c r="T138" s="127">
        <f t="shared" si="21"/>
        <v>5.204811482866673E-3</v>
      </c>
    </row>
    <row r="139" spans="1:20">
      <c r="A139" s="138" t="str">
        <f t="shared" si="17"/>
        <v>423p</v>
      </c>
      <c r="B139" s="478" t="str">
        <f>+VLOOKUP(LEFT($A139,LEN(A139)-1)*1,Master!$D$25:$G$223,4,FALSE)</f>
        <v>Prava iz oblasti penzijskog i invalidskog osiguranja</v>
      </c>
      <c r="C139" s="479"/>
      <c r="D139" s="479"/>
      <c r="E139" s="479"/>
      <c r="F139" s="479"/>
      <c r="G139" s="91">
        <f>SUM(DataEx!EH343)</f>
        <v>34262500</v>
      </c>
      <c r="H139" s="91">
        <f>SUM(DataEx!EI343)</f>
        <v>34262500</v>
      </c>
      <c r="I139" s="91">
        <f>SUM(DataEx!EJ343)</f>
        <v>34262500</v>
      </c>
      <c r="J139" s="91">
        <f>SUM(DataEx!EK343)</f>
        <v>34262500</v>
      </c>
      <c r="K139" s="91">
        <f>SUM(DataEx!EL343)</f>
        <v>34262500</v>
      </c>
      <c r="L139" s="91">
        <f>SUM(DataEx!EM343)</f>
        <v>34262500</v>
      </c>
      <c r="M139" s="91">
        <f>SUM(DataEx!EN343)</f>
        <v>34262500</v>
      </c>
      <c r="N139" s="91">
        <f>SUM(DataEx!EO343)</f>
        <v>34262500</v>
      </c>
      <c r="O139" s="91">
        <f>SUM(DataEx!EP343)</f>
        <v>34262500</v>
      </c>
      <c r="P139" s="91">
        <f>SUM(DataEx!EQ343)</f>
        <v>34262500</v>
      </c>
      <c r="Q139" s="91">
        <f>SUM(DataEx!ER343)</f>
        <v>34262500</v>
      </c>
      <c r="R139" s="91">
        <f>SUM(DataEx!ES343)</f>
        <v>34262500</v>
      </c>
      <c r="S139" s="126">
        <f t="shared" si="20"/>
        <v>411150000</v>
      </c>
      <c r="T139" s="127">
        <f t="shared" si="21"/>
        <v>0.10389922167188921</v>
      </c>
    </row>
    <row r="140" spans="1:20">
      <c r="A140" s="138" t="str">
        <f t="shared" si="17"/>
        <v>424p</v>
      </c>
      <c r="B140" s="478" t="str">
        <f>+VLOOKUP(LEFT($A140,LEN(A140)-1)*1,Master!$D$25:$G$223,4,FALSE)</f>
        <v>Ostala prava iz oblasti zdravstvene zaštite</v>
      </c>
      <c r="C140" s="479"/>
      <c r="D140" s="479"/>
      <c r="E140" s="479"/>
      <c r="F140" s="479"/>
      <c r="G140" s="91">
        <f>SUM(DataEx!EH351)</f>
        <v>1327583.3333333333</v>
      </c>
      <c r="H140" s="91">
        <f>SUM(DataEx!EI351)</f>
        <v>1327583.3333333333</v>
      </c>
      <c r="I140" s="91">
        <f>SUM(DataEx!EJ351)</f>
        <v>1327583.3333333333</v>
      </c>
      <c r="J140" s="91">
        <f>SUM(DataEx!EK351)</f>
        <v>1327583.3333333333</v>
      </c>
      <c r="K140" s="91">
        <f>SUM(DataEx!EL351)</f>
        <v>1327583.3333333333</v>
      </c>
      <c r="L140" s="91">
        <f>SUM(DataEx!EM351)</f>
        <v>1327583.3333333333</v>
      </c>
      <c r="M140" s="91">
        <f>SUM(DataEx!EN351)</f>
        <v>1327583.3333333333</v>
      </c>
      <c r="N140" s="91">
        <f>SUM(DataEx!EO351)</f>
        <v>1327583.3333333333</v>
      </c>
      <c r="O140" s="91">
        <f>SUM(DataEx!EP351)</f>
        <v>1327583.3333333333</v>
      </c>
      <c r="P140" s="91">
        <f>SUM(DataEx!EQ351)</f>
        <v>1327583.3333333333</v>
      </c>
      <c r="Q140" s="91">
        <f>SUM(DataEx!ER351)</f>
        <v>1327583.3333333333</v>
      </c>
      <c r="R140" s="91">
        <f>SUM(DataEx!ES351)</f>
        <v>1327583.3333333333</v>
      </c>
      <c r="S140" s="126">
        <f t="shared" si="20"/>
        <v>15931000.000000002</v>
      </c>
      <c r="T140" s="127">
        <f t="shared" si="21"/>
        <v>4.0258263418578794E-3</v>
      </c>
    </row>
    <row r="141" spans="1:20">
      <c r="A141" s="138" t="str">
        <f t="shared" si="17"/>
        <v>425p</v>
      </c>
      <c r="B141" s="478" t="str">
        <f>+VLOOKUP(LEFT($A141,LEN(A141)-1)*1,Master!$D$25:$G$223,4,FALSE)</f>
        <v>Ostala prava iz zdravstvenog osiguranja</v>
      </c>
      <c r="C141" s="479"/>
      <c r="D141" s="479"/>
      <c r="E141" s="479"/>
      <c r="F141" s="479"/>
      <c r="G141" s="91">
        <f>SUM(DataEx!EH353)</f>
        <v>710416.66666666663</v>
      </c>
      <c r="H141" s="91">
        <f>SUM(DataEx!EI353)</f>
        <v>710416.66666666663</v>
      </c>
      <c r="I141" s="91">
        <f>SUM(DataEx!EJ353)</f>
        <v>710416.66666666663</v>
      </c>
      <c r="J141" s="91">
        <f>SUM(DataEx!EK353)</f>
        <v>710416.66666666663</v>
      </c>
      <c r="K141" s="91">
        <f>SUM(DataEx!EL353)</f>
        <v>710416.66666666663</v>
      </c>
      <c r="L141" s="91">
        <f>SUM(DataEx!EM353)</f>
        <v>710416.66666666663</v>
      </c>
      <c r="M141" s="91">
        <f>SUM(DataEx!EN353)</f>
        <v>710416.66666666663</v>
      </c>
      <c r="N141" s="91">
        <f>SUM(DataEx!EO353)</f>
        <v>710416.66666666663</v>
      </c>
      <c r="O141" s="91">
        <f>SUM(DataEx!EP353)</f>
        <v>710416.66666666663</v>
      </c>
      <c r="P141" s="91">
        <f>SUM(DataEx!EQ353)</f>
        <v>710416.66666666663</v>
      </c>
      <c r="Q141" s="91">
        <f>SUM(DataEx!ER353)</f>
        <v>710416.66666666663</v>
      </c>
      <c r="R141" s="91">
        <f>SUM(DataEx!ES353)</f>
        <v>710416.66666666663</v>
      </c>
      <c r="S141" s="126">
        <f t="shared" si="20"/>
        <v>8525000.0000000019</v>
      </c>
      <c r="T141" s="127">
        <f t="shared" si="21"/>
        <v>2.1543010209238858E-3</v>
      </c>
    </row>
    <row r="142" spans="1:20">
      <c r="A142" s="138" t="str">
        <f t="shared" si="17"/>
        <v>43p</v>
      </c>
      <c r="B142" s="501" t="str">
        <f>+VLOOKUP(LEFT($A142,LEN(A142)-1)*1,Master!$D$25:$G$223,4,FALSE)</f>
        <v xml:space="preserve">Transferi institucijama, pojedincima, nevladinom i javnom sektoru </v>
      </c>
      <c r="C142" s="502"/>
      <c r="D142" s="502"/>
      <c r="E142" s="502"/>
      <c r="F142" s="502"/>
      <c r="G142" s="85">
        <f>SUM(DataEx!EH357)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4.1519256049732126E-2</v>
      </c>
    </row>
    <row r="143" spans="1:20">
      <c r="A143" s="138" t="str">
        <f t="shared" si="17"/>
        <v>44p</v>
      </c>
      <c r="B143" s="501" t="str">
        <f>+VLOOKUP(LEFT($A143,LEN(A143)-1)*1,Master!$D$25:$G$223,4,FALSE)</f>
        <v>Kapitalni budžet</v>
      </c>
      <c r="C143" s="502"/>
      <c r="D143" s="502"/>
      <c r="E143" s="502"/>
      <c r="F143" s="502"/>
      <c r="G143" s="85">
        <f>SUM(DataEx!EH375)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7.1535075310825841E-2</v>
      </c>
    </row>
    <row r="144" spans="1:20">
      <c r="A144" s="138" t="str">
        <f t="shared" si="17"/>
        <v>451p</v>
      </c>
      <c r="B144" s="503" t="str">
        <f>+VLOOKUP(LEFT($A144,LEN(A144)-1)*1,Master!$D$25:$G$223,4,FALSE)</f>
        <v>Pozajmice i krediti</v>
      </c>
      <c r="C144" s="504"/>
      <c r="D144" s="504"/>
      <c r="E144" s="504"/>
      <c r="F144" s="504"/>
      <c r="G144" s="91">
        <f>SUM(DataEx!EH386)</f>
        <v>202083.33333333334</v>
      </c>
      <c r="H144" s="91">
        <f>SUM(DataEx!EI386)</f>
        <v>202083.33333333334</v>
      </c>
      <c r="I144" s="91">
        <f>SUM(DataEx!EJ386)</f>
        <v>202083.33333333334</v>
      </c>
      <c r="J144" s="91">
        <f>SUM(DataEx!EK386)</f>
        <v>202083.33333333334</v>
      </c>
      <c r="K144" s="91">
        <f>SUM(DataEx!EL386)</f>
        <v>202083.33333333334</v>
      </c>
      <c r="L144" s="91">
        <f>SUM(DataEx!EM386)</f>
        <v>202083.33333333334</v>
      </c>
      <c r="M144" s="91">
        <f>SUM(DataEx!EN386)</f>
        <v>202083.33333333334</v>
      </c>
      <c r="N144" s="91">
        <f>SUM(DataEx!EO386)</f>
        <v>202083.33333333334</v>
      </c>
      <c r="O144" s="91">
        <f>SUM(DataEx!EP386)</f>
        <v>202083.33333333334</v>
      </c>
      <c r="P144" s="91">
        <f>SUM(DataEx!EQ386)</f>
        <v>202083.33333333334</v>
      </c>
      <c r="Q144" s="91">
        <f>SUM(DataEx!ER386)</f>
        <v>202083.33333333334</v>
      </c>
      <c r="R144" s="91">
        <f>SUM(DataEx!ES386)</f>
        <v>202083.33333333334</v>
      </c>
      <c r="S144" s="126">
        <f t="shared" si="20"/>
        <v>2425000</v>
      </c>
      <c r="T144" s="127">
        <f t="shared" si="21"/>
        <v>6.1280703527746892E-4</v>
      </c>
    </row>
    <row r="145" spans="1:20">
      <c r="A145" s="138" t="str">
        <f t="shared" si="17"/>
        <v>47p</v>
      </c>
      <c r="B145" s="503" t="str">
        <f>+VLOOKUP(LEFT($A145,LEN(A145)-1)*1,Master!$D$25:$G$223,4,FALSE)</f>
        <v>Rezerve</v>
      </c>
      <c r="C145" s="504"/>
      <c r="D145" s="504"/>
      <c r="E145" s="504"/>
      <c r="F145" s="504"/>
      <c r="G145" s="91">
        <f>SUM(DataEx!EH401)</f>
        <v>1191556.1566666667</v>
      </c>
      <c r="H145" s="91">
        <f>SUM(DataEx!EI401)</f>
        <v>1191556.1566666667</v>
      </c>
      <c r="I145" s="91">
        <f>SUM(DataEx!EJ401)</f>
        <v>1191556.1566666667</v>
      </c>
      <c r="J145" s="91">
        <f>SUM(DataEx!EK401)</f>
        <v>1191556.1566666667</v>
      </c>
      <c r="K145" s="91">
        <f>SUM(DataEx!EL401)</f>
        <v>1191556.1566666667</v>
      </c>
      <c r="L145" s="91">
        <f>SUM(DataEx!EM401)</f>
        <v>1191556.1566666667</v>
      </c>
      <c r="M145" s="91">
        <f>SUM(DataEx!EN401)</f>
        <v>1191556.1566666667</v>
      </c>
      <c r="N145" s="91">
        <f>SUM(DataEx!EO401)</f>
        <v>1191556.1566666667</v>
      </c>
      <c r="O145" s="91">
        <f>SUM(DataEx!EP401)</f>
        <v>1191556.1566666667</v>
      </c>
      <c r="P145" s="91">
        <f>SUM(DataEx!EQ401)</f>
        <v>1191556.1566666667</v>
      </c>
      <c r="Q145" s="91">
        <f>SUM(DataEx!ER401)</f>
        <v>1191556.1566666667</v>
      </c>
      <c r="R145" s="91">
        <f>SUM(DataEx!ES401)</f>
        <v>1191556.1566666667</v>
      </c>
      <c r="S145" s="126">
        <f t="shared" si="20"/>
        <v>14298673.879999997</v>
      </c>
      <c r="T145" s="127">
        <f t="shared" si="21"/>
        <v>3.613331112908116E-3</v>
      </c>
    </row>
    <row r="146" spans="1:20">
      <c r="A146" s="138" t="str">
        <f t="shared" si="17"/>
        <v>462p</v>
      </c>
      <c r="B146" s="503" t="str">
        <f>+VLOOKUP(LEFT($A146,LEN(A146)-1)*1,Master!$D$25:$G$223,4,FALSE)</f>
        <v>Otplata garancija</v>
      </c>
      <c r="C146" s="504"/>
      <c r="D146" s="504"/>
      <c r="E146" s="504"/>
      <c r="F146" s="504"/>
      <c r="G146" s="91">
        <f>SUM(DataEx!EH397)</f>
        <v>0</v>
      </c>
      <c r="H146" s="91">
        <f>SUM(DataEx!EI397)</f>
        <v>0</v>
      </c>
      <c r="I146" s="91">
        <f>SUM(DataEx!EJ397)</f>
        <v>0</v>
      </c>
      <c r="J146" s="91">
        <f>SUM(DataEx!EK397)</f>
        <v>0</v>
      </c>
      <c r="K146" s="91">
        <f>SUM(DataEx!EL397)</f>
        <v>0</v>
      </c>
      <c r="L146" s="91">
        <f>SUM(DataEx!EM397)</f>
        <v>0</v>
      </c>
      <c r="M146" s="91">
        <f>SUM(DataEx!EN397)</f>
        <v>0</v>
      </c>
      <c r="N146" s="91">
        <f>SUM(DataEx!EO397)</f>
        <v>0</v>
      </c>
      <c r="O146" s="91">
        <f>SUM(DataEx!EP397)</f>
        <v>0</v>
      </c>
      <c r="P146" s="91">
        <f>SUM(DataEx!EQ397)</f>
        <v>0</v>
      </c>
      <c r="Q146" s="91">
        <f>SUM(DataEx!ER397)</f>
        <v>0</v>
      </c>
      <c r="R146" s="91">
        <f>SUM(DataEx!ES397)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1" t="str">
        <f>+VLOOKUP(LEFT($A148,LEN(A148)-1)*1,Master!$D$25:$G$223,4,FALSE)</f>
        <v>Suficit / deficit</v>
      </c>
      <c r="C148" s="512"/>
      <c r="D148" s="512"/>
      <c r="E148" s="512"/>
      <c r="F148" s="512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-5.9224454714871116E-2</v>
      </c>
    </row>
    <row r="149" spans="1:20" ht="13.5" thickBot="1">
      <c r="A149" s="139" t="str">
        <f>+CONCATENATE(A56,"p")</f>
        <v>1001p</v>
      </c>
      <c r="B149" s="513" t="str">
        <f>+VLOOKUP(LEFT($A149,LEN(A149)-1)*1,Master!$D$25:$G$223,4,FALSE)</f>
        <v>Primarni bilans</v>
      </c>
      <c r="C149" s="514"/>
      <c r="D149" s="514"/>
      <c r="E149" s="514"/>
      <c r="F149" s="514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-3.5125691470658027E-2</v>
      </c>
    </row>
    <row r="150" spans="1:20">
      <c r="A150" s="139" t="str">
        <f>+CONCATENATE(A57,"p")</f>
        <v>46p</v>
      </c>
      <c r="B150" s="505" t="str">
        <f>+VLOOKUP(LEFT($A150,LEN(A150)-1)*1,Master!$D$25:$G$223,4,FALSE)</f>
        <v>Otplata dugova</v>
      </c>
      <c r="C150" s="506"/>
      <c r="D150" s="506"/>
      <c r="E150" s="506"/>
      <c r="F150" s="506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5.5699864335894057E-2</v>
      </c>
    </row>
    <row r="151" spans="1:20">
      <c r="A151" s="139" t="str">
        <f>+CONCATENATE(A58,"p")</f>
        <v>4611p</v>
      </c>
      <c r="B151" s="509" t="str">
        <f>+VLOOKUP(LEFT($A151,LEN(A151)-1)*1,Master!$D$25:$G$223,4,FALSE)</f>
        <v>Otplata hartija od vrijednosti i kredita rezidentima</v>
      </c>
      <c r="C151" s="510"/>
      <c r="D151" s="510"/>
      <c r="E151" s="510"/>
      <c r="F151" s="510"/>
      <c r="G151" s="100">
        <f>SUM(DataEx!EH395)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1.3118326632467401E-2</v>
      </c>
    </row>
    <row r="152" spans="1:20">
      <c r="A152" s="139" t="str">
        <f>+CONCATENATE(A59,"p")</f>
        <v>4612p</v>
      </c>
      <c r="B152" s="503" t="str">
        <f>+VLOOKUP(LEFT($A152,LEN(A152)-1)*1,Master!$D$25:$G$223,4,FALSE)</f>
        <v>Otplata hartija od vrijednosti i kredita nerezidentima</v>
      </c>
      <c r="C152" s="504"/>
      <c r="D152" s="504"/>
      <c r="E152" s="504"/>
      <c r="F152" s="504"/>
      <c r="G152" s="100">
        <f>SUM(DataEx!EH396)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3.4061245880925906E-2</v>
      </c>
    </row>
    <row r="153" spans="1:20" ht="13.5" thickBot="1">
      <c r="A153" s="139" t="str">
        <f>+CONCATENATE(A53,"p")</f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100">
        <f>SUM(DataEx!EH400)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8.5202918225007595E-3</v>
      </c>
    </row>
    <row r="154" spans="1:20" ht="13.5" thickBot="1">
      <c r="A154" s="139" t="str">
        <f t="shared" ref="A154:A159" si="30">+CONCATENATE(A60,"p")</f>
        <v>1002p</v>
      </c>
      <c r="B154" s="507" t="str">
        <f>+VLOOKUP(LEFT($A154,LEN(A154)-1)*1,Master!$D$25:$G$223,4,FALSE)</f>
        <v>Nedostajuća sredstva</v>
      </c>
      <c r="C154" s="508"/>
      <c r="D154" s="508"/>
      <c r="E154" s="508"/>
      <c r="F154" s="508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-0.11492431905076519</v>
      </c>
    </row>
    <row r="155" spans="1:20" ht="13.5" thickBot="1">
      <c r="A155" s="139" t="str">
        <f t="shared" si="30"/>
        <v>1003p</v>
      </c>
      <c r="B155" s="495" t="str">
        <f>+VLOOKUP(LEFT($A155,LEN(A155)-1)*1,Master!$D$25:$G$223,4,FALSE)</f>
        <v>Finansiranje</v>
      </c>
      <c r="C155" s="496"/>
      <c r="D155" s="496"/>
      <c r="E155" s="496"/>
      <c r="F155" s="496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0.11492431905076519</v>
      </c>
    </row>
    <row r="156" spans="1:20">
      <c r="A156" s="139" t="str">
        <f t="shared" si="30"/>
        <v>7511p</v>
      </c>
      <c r="B156" s="509" t="str">
        <f>+VLOOKUP(LEFT($A156,LEN(A156)-1)*1,Master!$D$25:$G$223,4,FALSE)</f>
        <v>Pozajmice i krediti od domaćih izvora</v>
      </c>
      <c r="C156" s="510"/>
      <c r="D156" s="510"/>
      <c r="E156" s="510"/>
      <c r="F156" s="510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2.5270393207318304E-2</v>
      </c>
    </row>
    <row r="157" spans="1:20">
      <c r="A157" s="139" t="str">
        <f t="shared" si="30"/>
        <v>7512p</v>
      </c>
      <c r="B157" s="503" t="str">
        <f>+VLOOKUP(LEFT($A157,LEN(A157)-1)*1,Master!$D$25:$G$223,4,FALSE)</f>
        <v>Pozajmice i krediti od inostranih izvora</v>
      </c>
      <c r="C157" s="504"/>
      <c r="D157" s="504"/>
      <c r="E157" s="504"/>
      <c r="F157" s="504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8.9501117869925692E-2</v>
      </c>
    </row>
    <row r="158" spans="1:20">
      <c r="A158" s="139" t="str">
        <f t="shared" si="30"/>
        <v>72p</v>
      </c>
      <c r="B158" s="503" t="str">
        <f>+VLOOKUP(LEFT($A158,LEN(A158)-1)*1,Master!$D$25:$G$223,4,FALSE)</f>
        <v>Primici od prodaje imovine</v>
      </c>
      <c r="C158" s="504"/>
      <c r="D158" s="504"/>
      <c r="E158" s="504"/>
      <c r="F158" s="504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1.5280797352118329E-4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69" t="str">
        <f>+Master!G249</f>
        <v>Ostvarenje budžeta</v>
      </c>
      <c r="C7" s="450"/>
      <c r="D7" s="450"/>
      <c r="E7" s="450"/>
      <c r="F7" s="450"/>
      <c r="G7" s="458">
        <v>2016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62"/>
      <c r="S7" s="261" t="str">
        <f>+Master!G246</f>
        <v>BDP</v>
      </c>
      <c r="T7" s="262">
        <v>3773000000</v>
      </c>
    </row>
    <row r="8" spans="1:20" ht="16.5" customHeight="1">
      <c r="A8" s="170"/>
      <c r="B8" s="451"/>
      <c r="C8" s="452"/>
      <c r="D8" s="452"/>
      <c r="E8" s="452"/>
      <c r="F8" s="453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8" t="str">
        <f>+Master!G243</f>
        <v>Jan - Maj</v>
      </c>
      <c r="T8" s="462"/>
    </row>
    <row r="9" spans="1:20" ht="13.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1" t="str">
        <f>+VLOOKUP($A18,Master!$D$25:$G$223,4,FALSE)</f>
        <v>Ostali državni porezi</v>
      </c>
      <c r="C18" s="422"/>
      <c r="D18" s="422"/>
      <c r="E18" s="422"/>
      <c r="F18" s="422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5" t="str">
        <f>+VLOOKUP($A19,Master!$D$25:$G$223,4,FALSE)</f>
        <v>Doprinosi</v>
      </c>
      <c r="C19" s="426"/>
      <c r="D19" s="426"/>
      <c r="E19" s="426"/>
      <c r="F19" s="426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1" t="str">
        <f>+VLOOKUP($A20,Master!$D$25:$G$223,4,FALSE)</f>
        <v>Doprinosi za penzijsko i invalidsko osiguranje</v>
      </c>
      <c r="C20" s="422"/>
      <c r="D20" s="422"/>
      <c r="E20" s="422"/>
      <c r="F20" s="422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1" t="str">
        <f>+VLOOKUP($A21,Master!$D$25:$G$223,4,FALSE)</f>
        <v>Doprinosi za zdravstveno osiguranje</v>
      </c>
      <c r="C21" s="422"/>
      <c r="D21" s="422"/>
      <c r="E21" s="422"/>
      <c r="F21" s="422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1" t="str">
        <f>+VLOOKUP($A22,Master!$D$25:$G$223,4,FALSE)</f>
        <v>Doprinosi za osiguranje od nezaposlenosti</v>
      </c>
      <c r="C22" s="422"/>
      <c r="D22" s="422"/>
      <c r="E22" s="422"/>
      <c r="F22" s="422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1" t="str">
        <f>+VLOOKUP($A23,Master!$D$25:$G$223,4,FALSE)</f>
        <v>Ostali doprinosi</v>
      </c>
      <c r="C23" s="422"/>
      <c r="D23" s="422"/>
      <c r="E23" s="422"/>
      <c r="F23" s="422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3" t="str">
        <f>+VLOOKUP($A24,Master!$D$25:$G$223,4,FALSE)</f>
        <v>Takse</v>
      </c>
      <c r="C24" s="424"/>
      <c r="D24" s="424"/>
      <c r="E24" s="424"/>
      <c r="F24" s="424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3" t="str">
        <f>+VLOOKUP($A25,Master!$D$25:$G$223,4,FALSE)</f>
        <v>Naknade</v>
      </c>
      <c r="C25" s="424"/>
      <c r="D25" s="424"/>
      <c r="E25" s="424"/>
      <c r="F25" s="424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3" t="str">
        <f>+VLOOKUP($A26,Master!$D$25:$G$223,4,FALSE)</f>
        <v>Ostali prihodi</v>
      </c>
      <c r="C26" s="424"/>
      <c r="D26" s="424"/>
      <c r="E26" s="424"/>
      <c r="F26" s="424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3" t="str">
        <f>+VLOOKUP($A27,Master!$D$25:$G$223,4,FALSE)</f>
        <v>Primici od otplate kredita i sredstva prenesena iz prethodne godine</v>
      </c>
      <c r="C27" s="424"/>
      <c r="D27" s="424"/>
      <c r="E27" s="424"/>
      <c r="F27" s="424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27" t="str">
        <f>+VLOOKUP($A28,Master!$D$25:$G$223,4,FALSE)</f>
        <v>Donacije i transferi</v>
      </c>
      <c r="C28" s="428"/>
      <c r="D28" s="428"/>
      <c r="E28" s="428"/>
      <c r="F28" s="428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29" t="str">
        <f>+VLOOKUP($A29,Master!$D$25:$G$223,4,FALSE)</f>
        <v>Budžetki izdaci</v>
      </c>
      <c r="C29" s="430"/>
      <c r="D29" s="430"/>
      <c r="E29" s="430"/>
      <c r="F29" s="430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31" t="str">
        <f>+VLOOKUP($A30,Master!$D$25:$G$223,4,FALSE)</f>
        <v>Tekući izdaci</v>
      </c>
      <c r="C30" s="432"/>
      <c r="D30" s="432"/>
      <c r="E30" s="432"/>
      <c r="F30" s="432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3" t="str">
        <f>+VLOOKUP($A31,Master!$D$25:$G$223,4,FALSE)</f>
        <v>Tekući budžetski izdaci</v>
      </c>
      <c r="C31" s="434"/>
      <c r="D31" s="434"/>
      <c r="E31" s="434"/>
      <c r="F31" s="434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1" t="str">
        <f>+VLOOKUP($A32,Master!$D$25:$G$223,4,FALSE)</f>
        <v>Bruto zarade i doprinosi na teret poslodavca</v>
      </c>
      <c r="C32" s="422"/>
      <c r="D32" s="422"/>
      <c r="E32" s="422"/>
      <c r="F32" s="422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1" t="str">
        <f>+VLOOKUP($A33,Master!$D$25:$G$223,4,FALSE)</f>
        <v>Ostala lična primanja</v>
      </c>
      <c r="C33" s="422"/>
      <c r="D33" s="422"/>
      <c r="E33" s="422"/>
      <c r="F33" s="422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1" t="str">
        <f>+VLOOKUP($A34,Master!$D$25:$G$223,4,FALSE)</f>
        <v>Rashodi za materijal</v>
      </c>
      <c r="C34" s="422"/>
      <c r="D34" s="422"/>
      <c r="E34" s="422"/>
      <c r="F34" s="422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1" t="str">
        <f>+VLOOKUP($A35,Master!$D$25:$G$223,4,FALSE)</f>
        <v>Rashodi za usluge</v>
      </c>
      <c r="C35" s="422"/>
      <c r="D35" s="422"/>
      <c r="E35" s="422"/>
      <c r="F35" s="422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1" t="str">
        <f>+VLOOKUP($A36,Master!$D$25:$G$223,4,FALSE)</f>
        <v>Rashodi za tekuće održavanje</v>
      </c>
      <c r="C36" s="422"/>
      <c r="D36" s="422"/>
      <c r="E36" s="422"/>
      <c r="F36" s="422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1" t="str">
        <f>+VLOOKUP($A37,Master!$D$25:$G$223,4,FALSE)</f>
        <v>Kamate</v>
      </c>
      <c r="C37" s="422"/>
      <c r="D37" s="422"/>
      <c r="E37" s="422"/>
      <c r="F37" s="422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1" t="str">
        <f>+VLOOKUP($A38,Master!$D$25:$G$223,4,FALSE)</f>
        <v>Renta</v>
      </c>
      <c r="C38" s="422"/>
      <c r="D38" s="422"/>
      <c r="E38" s="422"/>
      <c r="F38" s="422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1" t="str">
        <f>+VLOOKUP($A39,Master!$D$25:$G$223,4,FALSE)</f>
        <v>Subvencije</v>
      </c>
      <c r="C39" s="422"/>
      <c r="D39" s="422"/>
      <c r="E39" s="422"/>
      <c r="F39" s="422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1" t="str">
        <f>+VLOOKUP($A40,Master!$D$25:$G$223,4,FALSE)</f>
        <v>Ostali izdaci</v>
      </c>
      <c r="C40" s="422"/>
      <c r="D40" s="422"/>
      <c r="E40" s="422"/>
      <c r="F40" s="422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1" t="str">
        <f>+VLOOKUP($A41,Master!$D$25:$G$223,4,FALSE)</f>
        <v>Kapitalni izdaci u tekućem budžetu</v>
      </c>
      <c r="C41" s="422"/>
      <c r="D41" s="422"/>
      <c r="E41" s="422"/>
      <c r="F41" s="422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37" t="str">
        <f>+VLOOKUP($A42,Master!$D$25:$G$223,4,FALSE)</f>
        <v>Transferi za socijalnu zaštitu</v>
      </c>
      <c r="C42" s="438"/>
      <c r="D42" s="438"/>
      <c r="E42" s="438"/>
      <c r="F42" s="438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1" t="str">
        <f>+VLOOKUP($A43,Master!$D$25:$G$223,4,FALSE)</f>
        <v>Prava iz oblasti socijalne zaštite</v>
      </c>
      <c r="C43" s="422"/>
      <c r="D43" s="422"/>
      <c r="E43" s="422"/>
      <c r="F43" s="422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1" t="str">
        <f>+VLOOKUP($A44,Master!$D$25:$G$223,4,FALSE)</f>
        <v>Sredstva za tehnološke viškove</v>
      </c>
      <c r="C44" s="422"/>
      <c r="D44" s="422"/>
      <c r="E44" s="422"/>
      <c r="F44" s="422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1" t="str">
        <f>+VLOOKUP($A45,Master!$D$25:$G$223,4,FALSE)</f>
        <v>Prava iz oblasti penzijskog i invalidskog osiguranja</v>
      </c>
      <c r="C45" s="422"/>
      <c r="D45" s="422"/>
      <c r="E45" s="422"/>
      <c r="F45" s="422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1" t="str">
        <f>+VLOOKUP($A46,Master!$D$25:$G$223,4,FALSE)</f>
        <v>Ostala prava iz oblasti zdravstvene zaštite</v>
      </c>
      <c r="C46" s="422"/>
      <c r="D46" s="422"/>
      <c r="E46" s="422"/>
      <c r="F46" s="422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1" t="str">
        <f>+VLOOKUP($A47,Master!$D$25:$G$223,4,FALSE)</f>
        <v>Ostala prava iz zdravstvenog osiguranja</v>
      </c>
      <c r="C47" s="422"/>
      <c r="D47" s="422"/>
      <c r="E47" s="422"/>
      <c r="F47" s="422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5" t="str">
        <f>+VLOOKUP($A48,Master!$D$25:$G$223,4,FALSE)</f>
        <v xml:space="preserve">Transferi institucijama, pojedincima, nevladinom i javnom sektoru </v>
      </c>
      <c r="C48" s="436"/>
      <c r="D48" s="436"/>
      <c r="E48" s="436"/>
      <c r="F48" s="436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5" t="str">
        <f>+VLOOKUP($A49,Master!$D$25:$G$223,4,FALSE)</f>
        <v>Kapitalni budžet</v>
      </c>
      <c r="C49" s="436"/>
      <c r="D49" s="436"/>
      <c r="E49" s="436"/>
      <c r="F49" s="436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39" t="str">
        <f>+VLOOKUP($A50,Master!$D$25:$G$223,4,FALSE)</f>
        <v>Pozajmice i krediti</v>
      </c>
      <c r="C50" s="440"/>
      <c r="D50" s="440"/>
      <c r="E50" s="440"/>
      <c r="F50" s="440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39" t="str">
        <f>+VLOOKUP($A51,Master!$D$25:$G$223,4,FALSE)</f>
        <v>Rezerve</v>
      </c>
      <c r="C51" s="440"/>
      <c r="D51" s="440"/>
      <c r="E51" s="440"/>
      <c r="F51" s="440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1" t="str">
        <f>+VLOOKUP($A52,Master!$D$25:$G$223,4,FALSE)</f>
        <v>Otplata garancija</v>
      </c>
      <c r="C52" s="442"/>
      <c r="D52" s="442"/>
      <c r="E52" s="442"/>
      <c r="F52" s="442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1" t="str">
        <f>+VLOOKUP($A53,Master!$D$25:$G$223,4,TRUE)</f>
        <v>Otplata obaveza iz prethodnih godina</v>
      </c>
      <c r="C53" s="442"/>
      <c r="D53" s="442"/>
      <c r="E53" s="442"/>
      <c r="F53" s="442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3" t="str">
        <f>+VLOOKUP($A55,Master!$D$25:$G$223,4,FALSE)</f>
        <v>Suficit / deficit</v>
      </c>
      <c r="C55" s="444"/>
      <c r="D55" s="444"/>
      <c r="E55" s="444"/>
      <c r="F55" s="444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45" t="str">
        <f>+VLOOKUP($A56,Master!$D$25:$G$223,4,FALSE)</f>
        <v>Primarni bilans</v>
      </c>
      <c r="C56" s="446"/>
      <c r="D56" s="446"/>
      <c r="E56" s="446"/>
      <c r="F56" s="446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37" t="str">
        <f>+VLOOKUP($A57,Master!$D$25:$G$223,4,FALSE)</f>
        <v>Otplata dugova</v>
      </c>
      <c r="C57" s="438"/>
      <c r="D57" s="438"/>
      <c r="E57" s="438"/>
      <c r="F57" s="438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3" t="str">
        <f>+VLOOKUP($A58,Master!$D$25:$G$223,4,FALSE)</f>
        <v>Otplata hartija od vrijednosti i kredita rezidentima</v>
      </c>
      <c r="C58" s="464"/>
      <c r="D58" s="464"/>
      <c r="E58" s="464"/>
      <c r="F58" s="464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39" t="str">
        <f>+VLOOKUP($A59,Master!$D$25:$G$223,4,FALSE)</f>
        <v>Otplata hartija od vrijednosti i kredita nerezidentima</v>
      </c>
      <c r="C59" s="440"/>
      <c r="D59" s="440"/>
      <c r="E59" s="440"/>
      <c r="F59" s="440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5" t="str">
        <f>+VLOOKUP($A60,Master!$D$25:$G$223,4,FALSE)</f>
        <v>Nedostajuća sredstva</v>
      </c>
      <c r="C60" s="466"/>
      <c r="D60" s="466"/>
      <c r="E60" s="466"/>
      <c r="F60" s="466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29" t="str">
        <f>+VLOOKUP($A61,Master!$D$25:$G$223,4,FALSE)</f>
        <v>Finansiranje</v>
      </c>
      <c r="C61" s="430"/>
      <c r="D61" s="430"/>
      <c r="E61" s="430"/>
      <c r="F61" s="430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3" t="str">
        <f>+VLOOKUP($A62,Master!$D$25:$G$223,4,FALSE)</f>
        <v>Pozajmice i krediti od domaćih izvora</v>
      </c>
      <c r="C62" s="464"/>
      <c r="D62" s="464"/>
      <c r="E62" s="464"/>
      <c r="F62" s="464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39" t="str">
        <f>+VLOOKUP($A63,Master!$D$25:$G$223,4,FALSE)</f>
        <v>Pozajmice i krediti od inostranih izvora</v>
      </c>
      <c r="C63" s="440"/>
      <c r="D63" s="440"/>
      <c r="E63" s="440"/>
      <c r="F63" s="440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39" t="str">
        <f>+VLOOKUP($A64,Master!$D$25:$G$223,4,FALSE)</f>
        <v>Primici od prodaje imovine</v>
      </c>
      <c r="C64" s="440"/>
      <c r="D64" s="440"/>
      <c r="E64" s="440"/>
      <c r="F64" s="440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80" t="str">
        <f>+Master!G250</f>
        <v>Plan ostvarenja budžeta</v>
      </c>
      <c r="C101" s="481"/>
      <c r="D101" s="481"/>
      <c r="E101" s="481"/>
      <c r="F101" s="481"/>
      <c r="G101" s="472">
        <v>2016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73"/>
      <c r="S101" s="116" t="str">
        <f>+S7</f>
        <v>BDP</v>
      </c>
      <c r="T101" s="117">
        <f>+T7</f>
        <v>3773000000</v>
      </c>
    </row>
    <row r="102" spans="1:21" ht="15.75" customHeight="1">
      <c r="B102" s="482"/>
      <c r="C102" s="483"/>
      <c r="D102" s="483"/>
      <c r="E102" s="483"/>
      <c r="F102" s="484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2" t="str">
        <f>+Master!G244</f>
        <v>Jan - Dec</v>
      </c>
      <c r="T102" s="473">
        <f>+T8</f>
        <v>0</v>
      </c>
    </row>
    <row r="103" spans="1:21" ht="13.5" thickBot="1">
      <c r="B103" s="485"/>
      <c r="C103" s="486"/>
      <c r="D103" s="486"/>
      <c r="E103" s="486"/>
      <c r="F103" s="48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4" t="str">
        <f>+VLOOKUP(LEFT($A104,LEN(A104)-1)*1,Master!$D$25:$G$223,4,FALSE)</f>
        <v>Prihodi budžeta</v>
      </c>
      <c r="C104" s="475"/>
      <c r="D104" s="475"/>
      <c r="E104" s="475"/>
      <c r="F104" s="475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76" t="str">
        <f>+VLOOKUP(LEFT($A105,LEN(A105)-1)*1,Master!$D$25:$G$223,4,FALSE)</f>
        <v>Porezi</v>
      </c>
      <c r="C105" s="477"/>
      <c r="D105" s="477"/>
      <c r="E105" s="477"/>
      <c r="F105" s="477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78" t="str">
        <f>+VLOOKUP(LEFT($A106,LEN(A106)-1)*1,Master!$D$25:$G$223,4,FALSE)</f>
        <v>Porez na dohodak fizičkih lica</v>
      </c>
      <c r="C106" s="479"/>
      <c r="D106" s="479"/>
      <c r="E106" s="479"/>
      <c r="F106" s="479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78" t="str">
        <f>+VLOOKUP(LEFT($A107,LEN(A107)-1)*1,Master!$D$25:$G$223,4,FALSE)</f>
        <v>Porez na dobit pravnih lica</v>
      </c>
      <c r="C107" s="479"/>
      <c r="D107" s="479"/>
      <c r="E107" s="479"/>
      <c r="F107" s="479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78" t="str">
        <f>+VLOOKUP(LEFT($A108,LEN(A108)-1)*1,Master!$D$25:$G$223,4,FALSE)</f>
        <v>Porez na promet nepokretnosti</v>
      </c>
      <c r="C108" s="479"/>
      <c r="D108" s="479"/>
      <c r="E108" s="479"/>
      <c r="F108" s="479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78" t="str">
        <f>+VLOOKUP(LEFT($A109,LEN(A109)-1)*1,Master!$D$25:$G$223,4,FALSE)</f>
        <v>Porez na dodatu vrijednost</v>
      </c>
      <c r="C109" s="479"/>
      <c r="D109" s="479"/>
      <c r="E109" s="479"/>
      <c r="F109" s="479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78" t="str">
        <f>+VLOOKUP(LEFT($A110,LEN(A110)-1)*1,Master!$D$25:$G$223,4,FALSE)</f>
        <v>Akcize</v>
      </c>
      <c r="C110" s="479"/>
      <c r="D110" s="479"/>
      <c r="E110" s="479"/>
      <c r="F110" s="479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78" t="str">
        <f>+VLOOKUP(LEFT($A111,LEN(A111)-1)*1,Master!$D$25:$G$223,4,FALSE)</f>
        <v>Porez na međunarodnu trgovinu i transakcije</v>
      </c>
      <c r="C111" s="479"/>
      <c r="D111" s="479"/>
      <c r="E111" s="479"/>
      <c r="F111" s="479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78" t="str">
        <f>+VLOOKUP(LEFT($A112,LEN(A112)-1)*1,Master!$D$25:$G$223,4,FALSE)</f>
        <v>Ostali državni porezi</v>
      </c>
      <c r="C112" s="479"/>
      <c r="D112" s="479"/>
      <c r="E112" s="479"/>
      <c r="F112" s="479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1" t="str">
        <f>+VLOOKUP(LEFT($A113,LEN(A113)-1)*1,Master!$D$25:$G$223,4,FALSE)</f>
        <v>Doprinosi</v>
      </c>
      <c r="C113" s="492"/>
      <c r="D113" s="492"/>
      <c r="E113" s="492"/>
      <c r="F113" s="492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78" t="str">
        <f>+VLOOKUP(LEFT($A114,LEN(A114)-1)*1,Master!$D$25:$G$223,4,FALSE)</f>
        <v>Doprinosi za penzijsko i invalidsko osiguranje</v>
      </c>
      <c r="C114" s="479"/>
      <c r="D114" s="479"/>
      <c r="E114" s="479"/>
      <c r="F114" s="479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78" t="str">
        <f>+VLOOKUP(LEFT($A115,LEN(A115)-1)*1,Master!$D$25:$G$223,4,FALSE)</f>
        <v>Doprinosi za zdravstveno osiguranje</v>
      </c>
      <c r="C115" s="479"/>
      <c r="D115" s="479"/>
      <c r="E115" s="479"/>
      <c r="F115" s="479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78" t="str">
        <f>+VLOOKUP(LEFT($A116,LEN(A116)-1)*1,Master!$D$25:$G$223,4,FALSE)</f>
        <v>Doprinosi za osiguranje od nezaposlenosti</v>
      </c>
      <c r="C116" s="479"/>
      <c r="D116" s="479"/>
      <c r="E116" s="479"/>
      <c r="F116" s="479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78" t="str">
        <f>+VLOOKUP(LEFT($A117,LEN(A117)-1)*1,Master!$D$25:$G$223,4,FALSE)</f>
        <v>Ostali doprinosi</v>
      </c>
      <c r="C117" s="479"/>
      <c r="D117" s="479"/>
      <c r="E117" s="479"/>
      <c r="F117" s="479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89" t="str">
        <f>+VLOOKUP(LEFT($A118,LEN(A118)-1)*1,Master!$D$25:$G$223,4,FALSE)</f>
        <v>Takse</v>
      </c>
      <c r="C118" s="490"/>
      <c r="D118" s="490"/>
      <c r="E118" s="490"/>
      <c r="F118" s="490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89" t="str">
        <f>+VLOOKUP(LEFT($A119,LEN(A119)-1)*1,Master!$D$25:$G$223,4,FALSE)</f>
        <v>Naknade</v>
      </c>
      <c r="C119" s="490"/>
      <c r="D119" s="490"/>
      <c r="E119" s="490"/>
      <c r="F119" s="490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89" t="str">
        <f>+VLOOKUP(LEFT($A120,LEN(A120)-1)*1,Master!$D$25:$G$223,4,FALSE)</f>
        <v>Ostali prihodi</v>
      </c>
      <c r="C120" s="490"/>
      <c r="D120" s="490"/>
      <c r="E120" s="490"/>
      <c r="F120" s="490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89" t="str">
        <f>+VLOOKUP(LEFT($A121,LEN(A121)-1)*1,Master!$D$25:$G$223,4,FALSE)</f>
        <v>Primici od otplate kredita i sredstva prenesena iz prethodne godine</v>
      </c>
      <c r="C121" s="490"/>
      <c r="D121" s="490"/>
      <c r="E121" s="490"/>
      <c r="F121" s="490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93" t="str">
        <f>+VLOOKUP(LEFT($A122,LEN(A122)-1)*1,Master!$D$25:$G$223,4,FALSE)</f>
        <v>Donacije i transferi</v>
      </c>
      <c r="C122" s="494"/>
      <c r="D122" s="494"/>
      <c r="E122" s="494"/>
      <c r="F122" s="494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5" t="str">
        <f>+VLOOKUP(LEFT($A123,LEN(A123)-1)*1,Master!$D$25:$G$223,4,FALSE)</f>
        <v>Budžetki izdaci</v>
      </c>
      <c r="C123" s="496"/>
      <c r="D123" s="496"/>
      <c r="E123" s="496"/>
      <c r="F123" s="496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497" t="str">
        <f>+VLOOKUP(LEFT($A124,LEN(A124)-1)*1,Master!$D$25:$G$223,4,FALSE)</f>
        <v>Tekući izdaci</v>
      </c>
      <c r="C124" s="498"/>
      <c r="D124" s="498"/>
      <c r="E124" s="498"/>
      <c r="F124" s="498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499" t="str">
        <f>+VLOOKUP(LEFT($A125,LEN(A125)-1)*1,Master!$D$25:$G$223,4,FALSE)</f>
        <v>Tekući budžetski izdaci</v>
      </c>
      <c r="C125" s="500"/>
      <c r="D125" s="500"/>
      <c r="E125" s="500"/>
      <c r="F125" s="500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78" t="str">
        <f>+VLOOKUP(LEFT($A126,LEN(A126)-1)*1,Master!$D$25:$G$223,4,FALSE)</f>
        <v>Bruto zarade i doprinosi na teret poslodavca</v>
      </c>
      <c r="C126" s="479"/>
      <c r="D126" s="479"/>
      <c r="E126" s="479"/>
      <c r="F126" s="479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78" t="str">
        <f>+VLOOKUP(LEFT($A127,LEN(A127)-1)*1,Master!$D$25:$G$223,4,FALSE)</f>
        <v>Ostala lična primanja</v>
      </c>
      <c r="C127" s="479"/>
      <c r="D127" s="479"/>
      <c r="E127" s="479"/>
      <c r="F127" s="479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78" t="str">
        <f>+VLOOKUP(LEFT($A128,LEN(A128)-1)*1,Master!$D$25:$G$223,4,FALSE)</f>
        <v>Rashodi za materijal</v>
      </c>
      <c r="C128" s="479"/>
      <c r="D128" s="479"/>
      <c r="E128" s="479"/>
      <c r="F128" s="479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78" t="str">
        <f>+VLOOKUP(LEFT($A129,LEN(A129)-1)*1,Master!$D$25:$G$223,4,FALSE)</f>
        <v>Rashodi za usluge</v>
      </c>
      <c r="C129" s="479"/>
      <c r="D129" s="479"/>
      <c r="E129" s="479"/>
      <c r="F129" s="479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78" t="str">
        <f>+VLOOKUP(LEFT($A130,LEN(A130)-1)*1,Master!$D$25:$G$223,4,FALSE)</f>
        <v>Rashodi za tekuće održavanje</v>
      </c>
      <c r="C130" s="479"/>
      <c r="D130" s="479"/>
      <c r="E130" s="479"/>
      <c r="F130" s="479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78" t="str">
        <f>+VLOOKUP(LEFT($A131,LEN(A131)-1)*1,Master!$D$25:$G$223,4,FALSE)</f>
        <v>Kamate</v>
      </c>
      <c r="C131" s="479"/>
      <c r="D131" s="479"/>
      <c r="E131" s="479"/>
      <c r="F131" s="479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78" t="str">
        <f>+VLOOKUP(LEFT($A132,LEN(A132)-1)*1,Master!$D$25:$G$223,4,FALSE)</f>
        <v>Renta</v>
      </c>
      <c r="C132" s="479"/>
      <c r="D132" s="479"/>
      <c r="E132" s="479"/>
      <c r="F132" s="479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78" t="str">
        <f>+VLOOKUP(LEFT($A133,LEN(A133)-1)*1,Master!$D$25:$G$223,4,FALSE)</f>
        <v>Subvencije</v>
      </c>
      <c r="C133" s="479"/>
      <c r="D133" s="479"/>
      <c r="E133" s="479"/>
      <c r="F133" s="479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78" t="str">
        <f>+VLOOKUP(LEFT($A134,LEN(A134)-1)*1,Master!$D$25:$G$223,4,FALSE)</f>
        <v>Ostali izdaci</v>
      </c>
      <c r="C134" s="479"/>
      <c r="D134" s="479"/>
      <c r="E134" s="479"/>
      <c r="F134" s="479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78" t="str">
        <f>+VLOOKUP(LEFT($A135,LEN(A135)-1)*1,Master!$D$25:$G$223,4,FALSE)</f>
        <v>Kapitalni izdaci u tekućem budžetu</v>
      </c>
      <c r="C135" s="479"/>
      <c r="D135" s="479"/>
      <c r="E135" s="479"/>
      <c r="F135" s="479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5" t="str">
        <f>+VLOOKUP(LEFT($A136,LEN(A136)-1)*1,Master!$D$25:$G$223,4,FALSE)</f>
        <v>Transferi za socijalnu zaštitu</v>
      </c>
      <c r="C136" s="506"/>
      <c r="D136" s="506"/>
      <c r="E136" s="506"/>
      <c r="F136" s="506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78" t="str">
        <f>+VLOOKUP(LEFT($A137,LEN(A137)-1)*1,Master!$D$25:$G$223,4,FALSE)</f>
        <v>Prava iz oblasti socijalne zaštite</v>
      </c>
      <c r="C137" s="479"/>
      <c r="D137" s="479"/>
      <c r="E137" s="479"/>
      <c r="F137" s="479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78" t="str">
        <f>+VLOOKUP(LEFT($A138,LEN(A138)-1)*1,Master!$D$25:$G$223,4,FALSE)</f>
        <v>Sredstva za tehnološke viškove</v>
      </c>
      <c r="C138" s="479"/>
      <c r="D138" s="479"/>
      <c r="E138" s="479"/>
      <c r="F138" s="479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78" t="str">
        <f>+VLOOKUP(LEFT($A139,LEN(A139)-1)*1,Master!$D$25:$G$223,4,FALSE)</f>
        <v>Prava iz oblasti penzijskog i invalidskog osiguranja</v>
      </c>
      <c r="C139" s="479"/>
      <c r="D139" s="479"/>
      <c r="E139" s="479"/>
      <c r="F139" s="479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78" t="str">
        <f>+VLOOKUP(LEFT($A140,LEN(A140)-1)*1,Master!$D$25:$G$223,4,FALSE)</f>
        <v>Ostala prava iz oblasti zdravstvene zaštite</v>
      </c>
      <c r="C140" s="479"/>
      <c r="D140" s="479"/>
      <c r="E140" s="479"/>
      <c r="F140" s="479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78" t="str">
        <f>+VLOOKUP(LEFT($A141,LEN(A141)-1)*1,Master!$D$25:$G$223,4,FALSE)</f>
        <v>Ostala prava iz zdravstvenog osiguranja</v>
      </c>
      <c r="C141" s="479"/>
      <c r="D141" s="479"/>
      <c r="E141" s="479"/>
      <c r="F141" s="479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1" t="str">
        <f>+VLOOKUP(LEFT($A142,LEN(A142)-1)*1,Master!$D$25:$G$223,4,FALSE)</f>
        <v xml:space="preserve">Transferi institucijama, pojedincima, nevladinom i javnom sektoru </v>
      </c>
      <c r="C142" s="502"/>
      <c r="D142" s="502"/>
      <c r="E142" s="502"/>
      <c r="F142" s="502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1" t="str">
        <f>+VLOOKUP(LEFT($A143,LEN(A143)-1)*1,Master!$D$25:$G$223,4,FALSE)</f>
        <v>Kapitalni budžet</v>
      </c>
      <c r="C143" s="502"/>
      <c r="D143" s="502"/>
      <c r="E143" s="502"/>
      <c r="F143" s="502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3" t="str">
        <f>+VLOOKUP(LEFT($A144,LEN(A144)-1)*1,Master!$D$25:$G$223,4,FALSE)</f>
        <v>Pozajmice i krediti</v>
      </c>
      <c r="C144" s="504"/>
      <c r="D144" s="504"/>
      <c r="E144" s="504"/>
      <c r="F144" s="504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3" t="str">
        <f>+VLOOKUP(LEFT($A145,LEN(A145)-1)*1,Master!$D$25:$G$223,4,FALSE)</f>
        <v>Rezerve</v>
      </c>
      <c r="C145" s="504"/>
      <c r="D145" s="504"/>
      <c r="E145" s="504"/>
      <c r="F145" s="504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3" t="str">
        <f>+VLOOKUP(LEFT($A146,LEN(A146)-1)*1,Master!$D$25:$G$223,4,FALSE)</f>
        <v>Otplata garancija</v>
      </c>
      <c r="C146" s="504"/>
      <c r="D146" s="504"/>
      <c r="E146" s="504"/>
      <c r="F146" s="504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1" t="str">
        <f>+VLOOKUP(LEFT($A148,LEN(A148)-1)*1,Master!$D$25:$G$223,4,FALSE)</f>
        <v>Suficit / deficit</v>
      </c>
      <c r="C148" s="512"/>
      <c r="D148" s="512"/>
      <c r="E148" s="512"/>
      <c r="F148" s="512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13" t="str">
        <f>+VLOOKUP(LEFT($A149,LEN(A149)-1)*1,Master!$D$25:$G$223,4,FALSE)</f>
        <v>Primarni bilans</v>
      </c>
      <c r="C149" s="514"/>
      <c r="D149" s="514"/>
      <c r="E149" s="514"/>
      <c r="F149" s="514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5" t="str">
        <f>+VLOOKUP(LEFT($A150,LEN(A150)-1)*1,Master!$D$25:$G$223,4,FALSE)</f>
        <v>Otplata dugova</v>
      </c>
      <c r="C150" s="506"/>
      <c r="D150" s="506"/>
      <c r="E150" s="506"/>
      <c r="F150" s="506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09" t="str">
        <f>+VLOOKUP(LEFT($A151,LEN(A151)-1)*1,Master!$D$25:$G$223,4,FALSE)</f>
        <v>Otplata hartija od vrijednosti i kredita rezidentima</v>
      </c>
      <c r="C151" s="510"/>
      <c r="D151" s="510"/>
      <c r="E151" s="510"/>
      <c r="F151" s="510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3" t="str">
        <f>+VLOOKUP(LEFT($A152,LEN(A152)-1)*1,Master!$D$25:$G$223,4,FALSE)</f>
        <v>Otplata hartija od vrijednosti i kredita nerezidentima</v>
      </c>
      <c r="C152" s="504"/>
      <c r="D152" s="504"/>
      <c r="E152" s="504"/>
      <c r="F152" s="504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07" t="str">
        <f>+VLOOKUP(LEFT($A154,LEN(A154)-1)*1,Master!$D$25:$G$223,4,FALSE)</f>
        <v>Nedostajuća sredstva</v>
      </c>
      <c r="C154" s="508"/>
      <c r="D154" s="508"/>
      <c r="E154" s="508"/>
      <c r="F154" s="508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5" t="str">
        <f>+VLOOKUP(LEFT($A155,LEN(A155)-1)*1,Master!$D$25:$G$223,4,FALSE)</f>
        <v>Finansiranje</v>
      </c>
      <c r="C155" s="496"/>
      <c r="D155" s="496"/>
      <c r="E155" s="496"/>
      <c r="F155" s="496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09" t="str">
        <f>+VLOOKUP(LEFT($A156,LEN(A156)-1)*1,Master!$D$25:$G$223,4,FALSE)</f>
        <v>Pozajmice i krediti od domaćih izvora</v>
      </c>
      <c r="C156" s="510"/>
      <c r="D156" s="510"/>
      <c r="E156" s="510"/>
      <c r="F156" s="510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3" t="str">
        <f>+VLOOKUP(LEFT($A157,LEN(A157)-1)*1,Master!$D$25:$G$223,4,FALSE)</f>
        <v>Pozajmice i krediti od inostranih izvora</v>
      </c>
      <c r="C157" s="504"/>
      <c r="D157" s="504"/>
      <c r="E157" s="504"/>
      <c r="F157" s="504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3" t="str">
        <f>+VLOOKUP(LEFT($A158,LEN(A158)-1)*1,Master!$D$25:$G$223,4,FALSE)</f>
        <v>Primici od prodaje imovine</v>
      </c>
      <c r="C158" s="504"/>
      <c r="D158" s="504"/>
      <c r="E158" s="504"/>
      <c r="F158" s="504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69" t="str">
        <f>+Master!G249</f>
        <v>Ostvarenje budžeta</v>
      </c>
      <c r="C7" s="450"/>
      <c r="D7" s="450"/>
      <c r="E7" s="450"/>
      <c r="F7" s="450"/>
      <c r="G7" s="458">
        <v>2015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62"/>
      <c r="S7" s="261" t="str">
        <f>+Master!G246</f>
        <v>BDP</v>
      </c>
      <c r="T7" s="262">
        <v>3625000000</v>
      </c>
    </row>
    <row r="8" spans="1:20" ht="16.5" customHeight="1">
      <c r="A8" s="170"/>
      <c r="B8" s="451"/>
      <c r="C8" s="452"/>
      <c r="D8" s="452"/>
      <c r="E8" s="452"/>
      <c r="F8" s="453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8" t="s">
        <v>742</v>
      </c>
      <c r="T8" s="462"/>
    </row>
    <row r="9" spans="1:20" ht="13.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1" t="str">
        <f>+VLOOKUP($A18,Master!$D$25:$G$223,4,FALSE)</f>
        <v>Ostali državni porezi</v>
      </c>
      <c r="C18" s="422"/>
      <c r="D18" s="422"/>
      <c r="E18" s="422"/>
      <c r="F18" s="422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5" t="str">
        <f>+VLOOKUP($A19,Master!$D$25:$G$223,4,FALSE)</f>
        <v>Doprinosi</v>
      </c>
      <c r="C19" s="426"/>
      <c r="D19" s="426"/>
      <c r="E19" s="426"/>
      <c r="F19" s="426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1" t="str">
        <f>+VLOOKUP($A20,Master!$D$25:$G$223,4,FALSE)</f>
        <v>Doprinosi za penzijsko i invalidsko osiguranje</v>
      </c>
      <c r="C20" s="422"/>
      <c r="D20" s="422"/>
      <c r="E20" s="422"/>
      <c r="F20" s="422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1" t="str">
        <f>+VLOOKUP($A21,Master!$D$25:$G$223,4,FALSE)</f>
        <v>Doprinosi za zdravstveno osiguranje</v>
      </c>
      <c r="C21" s="422"/>
      <c r="D21" s="422"/>
      <c r="E21" s="422"/>
      <c r="F21" s="422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1" t="str">
        <f>+VLOOKUP($A22,Master!$D$25:$G$223,4,FALSE)</f>
        <v>Doprinosi za osiguranje od nezaposlenosti</v>
      </c>
      <c r="C22" s="422"/>
      <c r="D22" s="422"/>
      <c r="E22" s="422"/>
      <c r="F22" s="422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1" t="str">
        <f>+VLOOKUP($A23,Master!$D$25:$G$223,4,FALSE)</f>
        <v>Ostali doprinosi</v>
      </c>
      <c r="C23" s="422"/>
      <c r="D23" s="422"/>
      <c r="E23" s="422"/>
      <c r="F23" s="422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3" t="str">
        <f>+VLOOKUP($A24,Master!$D$25:$G$223,4,FALSE)</f>
        <v>Takse</v>
      </c>
      <c r="C24" s="424"/>
      <c r="D24" s="424"/>
      <c r="E24" s="424"/>
      <c r="F24" s="424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3" t="str">
        <f>+VLOOKUP($A25,Master!$D$25:$G$223,4,FALSE)</f>
        <v>Naknade</v>
      </c>
      <c r="C25" s="424"/>
      <c r="D25" s="424"/>
      <c r="E25" s="424"/>
      <c r="F25" s="424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3" t="str">
        <f>+VLOOKUP($A26,Master!$D$25:$G$223,4,FALSE)</f>
        <v>Ostali prihodi</v>
      </c>
      <c r="C26" s="424"/>
      <c r="D26" s="424"/>
      <c r="E26" s="424"/>
      <c r="F26" s="424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3" t="str">
        <f>+VLOOKUP($A27,Master!$D$25:$G$223,4,FALSE)</f>
        <v>Primici od otplate kredita i sredstva prenesena iz prethodne godine</v>
      </c>
      <c r="C27" s="424"/>
      <c r="D27" s="424"/>
      <c r="E27" s="424"/>
      <c r="F27" s="424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27" t="str">
        <f>+VLOOKUP($A28,Master!$D$25:$G$223,4,FALSE)</f>
        <v>Donacije i transferi</v>
      </c>
      <c r="C28" s="428"/>
      <c r="D28" s="428"/>
      <c r="E28" s="428"/>
      <c r="F28" s="428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29" t="str">
        <f>+VLOOKUP($A29,Master!$D$25:$G$223,4,FALSE)</f>
        <v>Budžetki izdaci</v>
      </c>
      <c r="C29" s="430"/>
      <c r="D29" s="430"/>
      <c r="E29" s="430"/>
      <c r="F29" s="430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31" t="str">
        <f>+VLOOKUP($A30,Master!$D$25:$G$223,4,FALSE)</f>
        <v>Tekući izdaci</v>
      </c>
      <c r="C30" s="432"/>
      <c r="D30" s="432"/>
      <c r="E30" s="432"/>
      <c r="F30" s="432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3" t="str">
        <f>+VLOOKUP($A31,Master!$D$25:$G$223,4,FALSE)</f>
        <v>Tekući budžetski izdaci</v>
      </c>
      <c r="C31" s="434"/>
      <c r="D31" s="434"/>
      <c r="E31" s="434"/>
      <c r="F31" s="434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1" t="str">
        <f>+VLOOKUP($A32,Master!$D$25:$G$223,4,FALSE)</f>
        <v>Bruto zarade i doprinosi na teret poslodavca</v>
      </c>
      <c r="C32" s="422"/>
      <c r="D32" s="422"/>
      <c r="E32" s="422"/>
      <c r="F32" s="422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1" t="str">
        <f>+VLOOKUP($A33,Master!$D$25:$G$223,4,FALSE)</f>
        <v>Ostala lična primanja</v>
      </c>
      <c r="C33" s="422"/>
      <c r="D33" s="422"/>
      <c r="E33" s="422"/>
      <c r="F33" s="422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1" t="str">
        <f>+VLOOKUP($A34,Master!$D$25:$G$223,4,FALSE)</f>
        <v>Rashodi za materijal</v>
      </c>
      <c r="C34" s="422"/>
      <c r="D34" s="422"/>
      <c r="E34" s="422"/>
      <c r="F34" s="422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1" t="str">
        <f>+VLOOKUP($A35,Master!$D$25:$G$223,4,FALSE)</f>
        <v>Rashodi za usluge</v>
      </c>
      <c r="C35" s="422"/>
      <c r="D35" s="422"/>
      <c r="E35" s="422"/>
      <c r="F35" s="422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1" t="str">
        <f>+VLOOKUP($A36,Master!$D$25:$G$223,4,FALSE)</f>
        <v>Rashodi za tekuće održavanje</v>
      </c>
      <c r="C36" s="422"/>
      <c r="D36" s="422"/>
      <c r="E36" s="422"/>
      <c r="F36" s="422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1" t="str">
        <f>+VLOOKUP($A37,Master!$D$25:$G$223,4,FALSE)</f>
        <v>Kamate</v>
      </c>
      <c r="C37" s="422"/>
      <c r="D37" s="422"/>
      <c r="E37" s="422"/>
      <c r="F37" s="422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1" t="str">
        <f>+VLOOKUP($A38,Master!$D$25:$G$223,4,FALSE)</f>
        <v>Renta</v>
      </c>
      <c r="C38" s="422"/>
      <c r="D38" s="422"/>
      <c r="E38" s="422"/>
      <c r="F38" s="422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1" t="str">
        <f>+VLOOKUP($A39,Master!$D$25:$G$223,4,FALSE)</f>
        <v>Subvencije</v>
      </c>
      <c r="C39" s="422"/>
      <c r="D39" s="422"/>
      <c r="E39" s="422"/>
      <c r="F39" s="422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1" t="str">
        <f>+VLOOKUP($A40,Master!$D$25:$G$223,4,FALSE)</f>
        <v>Ostali izdaci</v>
      </c>
      <c r="C40" s="422"/>
      <c r="D40" s="422"/>
      <c r="E40" s="422"/>
      <c r="F40" s="422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1" t="str">
        <f>+VLOOKUP($A41,Master!$D$25:$G$223,4,FALSE)</f>
        <v>Kapitalni izdaci u tekućem budžetu</v>
      </c>
      <c r="C41" s="422"/>
      <c r="D41" s="422"/>
      <c r="E41" s="422"/>
      <c r="F41" s="422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7" t="str">
        <f>+VLOOKUP($A42,Master!$D$25:$G$223,4,FALSE)</f>
        <v>Transferi za socijalnu zaštitu</v>
      </c>
      <c r="C42" s="438"/>
      <c r="D42" s="438"/>
      <c r="E42" s="438"/>
      <c r="F42" s="438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1" t="str">
        <f>+VLOOKUP($A43,Master!$D$25:$G$223,4,FALSE)</f>
        <v>Prava iz oblasti socijalne zaštite</v>
      </c>
      <c r="C43" s="422"/>
      <c r="D43" s="422"/>
      <c r="E43" s="422"/>
      <c r="F43" s="422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1" t="str">
        <f>+VLOOKUP($A44,Master!$D$25:$G$223,4,FALSE)</f>
        <v>Sredstva za tehnološke viškove</v>
      </c>
      <c r="C44" s="422"/>
      <c r="D44" s="422"/>
      <c r="E44" s="422"/>
      <c r="F44" s="422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1" t="str">
        <f>+VLOOKUP($A45,Master!$D$25:$G$223,4,FALSE)</f>
        <v>Prava iz oblasti penzijskog i invalidskog osiguranja</v>
      </c>
      <c r="C45" s="422"/>
      <c r="D45" s="422"/>
      <c r="E45" s="422"/>
      <c r="F45" s="422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1" t="str">
        <f>+VLOOKUP($A46,Master!$D$25:$G$223,4,FALSE)</f>
        <v>Ostala prava iz oblasti zdravstvene zaštite</v>
      </c>
      <c r="C46" s="422"/>
      <c r="D46" s="422"/>
      <c r="E46" s="422"/>
      <c r="F46" s="422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1" t="str">
        <f>+VLOOKUP($A47,Master!$D$25:$G$223,4,FALSE)</f>
        <v>Ostala prava iz zdravstvenog osiguranja</v>
      </c>
      <c r="C47" s="422"/>
      <c r="D47" s="422"/>
      <c r="E47" s="422"/>
      <c r="F47" s="422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5" t="str">
        <f>+VLOOKUP($A48,Master!$D$25:$G$223,4,FALSE)</f>
        <v xml:space="preserve">Transferi institucijama, pojedincima, nevladinom i javnom sektoru </v>
      </c>
      <c r="C48" s="436"/>
      <c r="D48" s="436"/>
      <c r="E48" s="436"/>
      <c r="F48" s="436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5" t="str">
        <f>+VLOOKUP($A49,Master!$D$25:$G$223,4,FALSE)</f>
        <v>Kapitalni budžet</v>
      </c>
      <c r="C49" s="436"/>
      <c r="D49" s="436"/>
      <c r="E49" s="436"/>
      <c r="F49" s="436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39" t="str">
        <f>+VLOOKUP($A50,Master!$D$25:$G$223,4,FALSE)</f>
        <v>Pozajmice i krediti</v>
      </c>
      <c r="C50" s="440"/>
      <c r="D50" s="440"/>
      <c r="E50" s="440"/>
      <c r="F50" s="440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39" t="str">
        <f>+VLOOKUP($A51,Master!$D$25:$G$223,4,FALSE)</f>
        <v>Rezerve</v>
      </c>
      <c r="C51" s="440"/>
      <c r="D51" s="440"/>
      <c r="E51" s="440"/>
      <c r="F51" s="440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1" t="str">
        <f>+VLOOKUP($A52,Master!$D$25:$G$223,4,FALSE)</f>
        <v>Otplata garancija</v>
      </c>
      <c r="C52" s="442"/>
      <c r="D52" s="442"/>
      <c r="E52" s="442"/>
      <c r="F52" s="442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1" t="str">
        <f>+VLOOKUP($A53,Master!$D$25:$G$223,4,TRUE)</f>
        <v>Otplata obaveza iz prethodnih godina</v>
      </c>
      <c r="C53" s="442"/>
      <c r="D53" s="442"/>
      <c r="E53" s="442"/>
      <c r="F53" s="442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3" t="str">
        <f>+VLOOKUP($A55,Master!$D$25:$G$223,4,FALSE)</f>
        <v>Suficit / deficit</v>
      </c>
      <c r="C55" s="444"/>
      <c r="D55" s="444"/>
      <c r="E55" s="444"/>
      <c r="F55" s="444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45" t="str">
        <f>+VLOOKUP($A56,Master!$D$25:$G$223,4,FALSE)</f>
        <v>Primarni bilans</v>
      </c>
      <c r="C56" s="446"/>
      <c r="D56" s="446"/>
      <c r="E56" s="446"/>
      <c r="F56" s="446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7" t="str">
        <f>+VLOOKUP($A57,Master!$D$25:$G$223,4,FALSE)</f>
        <v>Otplata dugova</v>
      </c>
      <c r="C57" s="438"/>
      <c r="D57" s="438"/>
      <c r="E57" s="438"/>
      <c r="F57" s="438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3" t="str">
        <f>+VLOOKUP($A58,Master!$D$25:$G$223,4,FALSE)</f>
        <v>Otplata hartija od vrijednosti i kredita rezidentima</v>
      </c>
      <c r="C58" s="464"/>
      <c r="D58" s="464"/>
      <c r="E58" s="464"/>
      <c r="F58" s="464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39" t="str">
        <f>+VLOOKUP($A59,Master!$D$25:$G$223,4,FALSE)</f>
        <v>Otplata hartija od vrijednosti i kredita nerezidentima</v>
      </c>
      <c r="C59" s="440"/>
      <c r="D59" s="440"/>
      <c r="E59" s="440"/>
      <c r="F59" s="440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5" t="str">
        <f>+VLOOKUP($A60,Master!$D$25:$G$223,4,FALSE)</f>
        <v>Nedostajuća sredstva</v>
      </c>
      <c r="C60" s="466"/>
      <c r="D60" s="466"/>
      <c r="E60" s="466"/>
      <c r="F60" s="466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29" t="str">
        <f>+VLOOKUP($A61,Master!$D$25:$G$223,4,FALSE)</f>
        <v>Finansiranje</v>
      </c>
      <c r="C61" s="430"/>
      <c r="D61" s="430"/>
      <c r="E61" s="430"/>
      <c r="F61" s="430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3" t="str">
        <f>+VLOOKUP($A62,Master!$D$25:$G$223,4,FALSE)</f>
        <v>Pozajmice i krediti od domaćih izvora</v>
      </c>
      <c r="C62" s="464"/>
      <c r="D62" s="464"/>
      <c r="E62" s="464"/>
      <c r="F62" s="464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39" t="str">
        <f>+VLOOKUP($A63,Master!$D$25:$G$223,4,FALSE)</f>
        <v>Pozajmice i krediti od inostranih izvora</v>
      </c>
      <c r="C63" s="440"/>
      <c r="D63" s="440"/>
      <c r="E63" s="440"/>
      <c r="F63" s="440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39" t="str">
        <f>+VLOOKUP($A64,Master!$D$25:$G$223,4,FALSE)</f>
        <v>Primici od prodaje imovine</v>
      </c>
      <c r="C64" s="440"/>
      <c r="D64" s="440"/>
      <c r="E64" s="440"/>
      <c r="F64" s="440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80" t="str">
        <f>+Master!G250</f>
        <v>Plan ostvarenja budžeta</v>
      </c>
      <c r="C101" s="481"/>
      <c r="D101" s="481"/>
      <c r="E101" s="481"/>
      <c r="F101" s="481"/>
      <c r="G101" s="472">
        <v>2015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73"/>
      <c r="S101" s="116" t="str">
        <f>+S7</f>
        <v>BDP</v>
      </c>
      <c r="T101" s="117">
        <f>+T7</f>
        <v>3625000000</v>
      </c>
    </row>
    <row r="102" spans="1:21" ht="15.75" customHeight="1">
      <c r="B102" s="482"/>
      <c r="C102" s="483"/>
      <c r="D102" s="483"/>
      <c r="E102" s="483"/>
      <c r="F102" s="484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2" t="str">
        <f>+Master!G244</f>
        <v>Jan - Dec</v>
      </c>
      <c r="T102" s="473">
        <f>+T8</f>
        <v>0</v>
      </c>
    </row>
    <row r="103" spans="1:21" ht="13.5" thickBot="1">
      <c r="B103" s="485"/>
      <c r="C103" s="486"/>
      <c r="D103" s="486"/>
      <c r="E103" s="486"/>
      <c r="F103" s="48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4" t="str">
        <f>+VLOOKUP(LEFT($A104,LEN(A104)-1)*1,Master!$D$25:$G$223,4,FALSE)</f>
        <v>Prihodi budžeta</v>
      </c>
      <c r="C104" s="475"/>
      <c r="D104" s="475"/>
      <c r="E104" s="475"/>
      <c r="F104" s="475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76" t="str">
        <f>+VLOOKUP(LEFT($A105,LEN(A105)-1)*1,Master!$D$25:$G$223,4,FALSE)</f>
        <v>Porezi</v>
      </c>
      <c r="C105" s="477"/>
      <c r="D105" s="477"/>
      <c r="E105" s="477"/>
      <c r="F105" s="477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78" t="str">
        <f>+VLOOKUP(LEFT($A106,LEN(A106)-1)*1,Master!$D$25:$G$223,4,FALSE)</f>
        <v>Porez na dohodak fizičkih lica</v>
      </c>
      <c r="C106" s="479"/>
      <c r="D106" s="479"/>
      <c r="E106" s="479"/>
      <c r="F106" s="479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78" t="str">
        <f>+VLOOKUP(LEFT($A107,LEN(A107)-1)*1,Master!$D$25:$G$223,4,FALSE)</f>
        <v>Porez na dobit pravnih lica</v>
      </c>
      <c r="C107" s="479"/>
      <c r="D107" s="479"/>
      <c r="E107" s="479"/>
      <c r="F107" s="479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78" t="str">
        <f>+VLOOKUP(LEFT($A108,LEN(A108)-1)*1,Master!$D$25:$G$223,4,FALSE)</f>
        <v>Porez na promet nepokretnosti</v>
      </c>
      <c r="C108" s="479"/>
      <c r="D108" s="479"/>
      <c r="E108" s="479"/>
      <c r="F108" s="479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78" t="str">
        <f>+VLOOKUP(LEFT($A109,LEN(A109)-1)*1,Master!$D$25:$G$223,4,FALSE)</f>
        <v>Porez na dodatu vrijednost</v>
      </c>
      <c r="C109" s="479"/>
      <c r="D109" s="479"/>
      <c r="E109" s="479"/>
      <c r="F109" s="479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78" t="str">
        <f>+VLOOKUP(LEFT($A110,LEN(A110)-1)*1,Master!$D$25:$G$223,4,FALSE)</f>
        <v>Akcize</v>
      </c>
      <c r="C110" s="479"/>
      <c r="D110" s="479"/>
      <c r="E110" s="479"/>
      <c r="F110" s="479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78" t="str">
        <f>+VLOOKUP(LEFT($A111,LEN(A111)-1)*1,Master!$D$25:$G$223,4,FALSE)</f>
        <v>Porez na međunarodnu trgovinu i transakcije</v>
      </c>
      <c r="C111" s="479"/>
      <c r="D111" s="479"/>
      <c r="E111" s="479"/>
      <c r="F111" s="479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78" t="str">
        <f>+VLOOKUP(LEFT($A112,LEN(A112)-1)*1,Master!$D$25:$G$223,4,FALSE)</f>
        <v>Ostali državni porezi</v>
      </c>
      <c r="C112" s="479"/>
      <c r="D112" s="479"/>
      <c r="E112" s="479"/>
      <c r="F112" s="479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1" t="str">
        <f>+VLOOKUP(LEFT($A113,LEN(A113)-1)*1,Master!$D$25:$G$223,4,FALSE)</f>
        <v>Doprinosi</v>
      </c>
      <c r="C113" s="492"/>
      <c r="D113" s="492"/>
      <c r="E113" s="492"/>
      <c r="F113" s="492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78" t="str">
        <f>+VLOOKUP(LEFT($A114,LEN(A114)-1)*1,Master!$D$25:$G$223,4,FALSE)</f>
        <v>Doprinosi za penzijsko i invalidsko osiguranje</v>
      </c>
      <c r="C114" s="479"/>
      <c r="D114" s="479"/>
      <c r="E114" s="479"/>
      <c r="F114" s="479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78" t="str">
        <f>+VLOOKUP(LEFT($A115,LEN(A115)-1)*1,Master!$D$25:$G$223,4,FALSE)</f>
        <v>Doprinosi za zdravstveno osiguranje</v>
      </c>
      <c r="C115" s="479"/>
      <c r="D115" s="479"/>
      <c r="E115" s="479"/>
      <c r="F115" s="479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78" t="str">
        <f>+VLOOKUP(LEFT($A116,LEN(A116)-1)*1,Master!$D$25:$G$223,4,FALSE)</f>
        <v>Doprinosi za osiguranje od nezaposlenosti</v>
      </c>
      <c r="C116" s="479"/>
      <c r="D116" s="479"/>
      <c r="E116" s="479"/>
      <c r="F116" s="479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78" t="str">
        <f>+VLOOKUP(LEFT($A117,LEN(A117)-1)*1,Master!$D$25:$G$223,4,FALSE)</f>
        <v>Ostali doprinosi</v>
      </c>
      <c r="C117" s="479"/>
      <c r="D117" s="479"/>
      <c r="E117" s="479"/>
      <c r="F117" s="479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89" t="str">
        <f>+VLOOKUP(LEFT($A118,LEN(A118)-1)*1,Master!$D$25:$G$223,4,FALSE)</f>
        <v>Takse</v>
      </c>
      <c r="C118" s="490"/>
      <c r="D118" s="490"/>
      <c r="E118" s="490"/>
      <c r="F118" s="490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89" t="str">
        <f>+VLOOKUP(LEFT($A119,LEN(A119)-1)*1,Master!$D$25:$G$223,4,FALSE)</f>
        <v>Naknade</v>
      </c>
      <c r="C119" s="490"/>
      <c r="D119" s="490"/>
      <c r="E119" s="490"/>
      <c r="F119" s="490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89" t="str">
        <f>+VLOOKUP(LEFT($A120,LEN(A120)-1)*1,Master!$D$25:$G$223,4,FALSE)</f>
        <v>Ostali prihodi</v>
      </c>
      <c r="C120" s="490"/>
      <c r="D120" s="490"/>
      <c r="E120" s="490"/>
      <c r="F120" s="490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89" t="str">
        <f>+VLOOKUP(LEFT($A121,LEN(A121)-1)*1,Master!$D$25:$G$223,4,FALSE)</f>
        <v>Primici od otplate kredita i sredstva prenesena iz prethodne godine</v>
      </c>
      <c r="C121" s="490"/>
      <c r="D121" s="490"/>
      <c r="E121" s="490"/>
      <c r="F121" s="490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93" t="str">
        <f>+VLOOKUP(LEFT($A122,LEN(A122)-1)*1,Master!$D$25:$G$223,4,FALSE)</f>
        <v>Donacije i transferi</v>
      </c>
      <c r="C122" s="494"/>
      <c r="D122" s="494"/>
      <c r="E122" s="494"/>
      <c r="F122" s="494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5" t="str">
        <f>+VLOOKUP(LEFT($A123,LEN(A123)-1)*1,Master!$D$25:$G$223,4,FALSE)</f>
        <v>Budžetki izdaci</v>
      </c>
      <c r="C123" s="496"/>
      <c r="D123" s="496"/>
      <c r="E123" s="496"/>
      <c r="F123" s="496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97" t="str">
        <f>+VLOOKUP(LEFT($A124,LEN(A124)-1)*1,Master!$D$25:$G$223,4,FALSE)</f>
        <v>Tekući izdaci</v>
      </c>
      <c r="C124" s="498"/>
      <c r="D124" s="498"/>
      <c r="E124" s="498"/>
      <c r="F124" s="498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499" t="str">
        <f>+VLOOKUP(LEFT($A125,LEN(A125)-1)*1,Master!$D$25:$G$223,4,FALSE)</f>
        <v>Tekući budžetski izdaci</v>
      </c>
      <c r="C125" s="500"/>
      <c r="D125" s="500"/>
      <c r="E125" s="500"/>
      <c r="F125" s="500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78" t="str">
        <f>+VLOOKUP(LEFT($A126,LEN(A126)-1)*1,Master!$D$25:$G$223,4,FALSE)</f>
        <v>Bruto zarade i doprinosi na teret poslodavca</v>
      </c>
      <c r="C126" s="479"/>
      <c r="D126" s="479"/>
      <c r="E126" s="479"/>
      <c r="F126" s="479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78" t="str">
        <f>+VLOOKUP(LEFT($A127,LEN(A127)-1)*1,Master!$D$25:$G$223,4,FALSE)</f>
        <v>Ostala lična primanja</v>
      </c>
      <c r="C127" s="479"/>
      <c r="D127" s="479"/>
      <c r="E127" s="479"/>
      <c r="F127" s="479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78" t="str">
        <f>+VLOOKUP(LEFT($A128,LEN(A128)-1)*1,Master!$D$25:$G$223,4,FALSE)</f>
        <v>Rashodi za materijal</v>
      </c>
      <c r="C128" s="479"/>
      <c r="D128" s="479"/>
      <c r="E128" s="479"/>
      <c r="F128" s="479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78" t="str">
        <f>+VLOOKUP(LEFT($A129,LEN(A129)-1)*1,Master!$D$25:$G$223,4,FALSE)</f>
        <v>Rashodi za usluge</v>
      </c>
      <c r="C129" s="479"/>
      <c r="D129" s="479"/>
      <c r="E129" s="479"/>
      <c r="F129" s="479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78" t="str">
        <f>+VLOOKUP(LEFT($A130,LEN(A130)-1)*1,Master!$D$25:$G$223,4,FALSE)</f>
        <v>Rashodi za tekuće održavanje</v>
      </c>
      <c r="C130" s="479"/>
      <c r="D130" s="479"/>
      <c r="E130" s="479"/>
      <c r="F130" s="479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78" t="str">
        <f>+VLOOKUP(LEFT($A131,LEN(A131)-1)*1,Master!$D$25:$G$223,4,FALSE)</f>
        <v>Kamate</v>
      </c>
      <c r="C131" s="479"/>
      <c r="D131" s="479"/>
      <c r="E131" s="479"/>
      <c r="F131" s="479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78" t="str">
        <f>+VLOOKUP(LEFT($A132,LEN(A132)-1)*1,Master!$D$25:$G$223,4,FALSE)</f>
        <v>Renta</v>
      </c>
      <c r="C132" s="479"/>
      <c r="D132" s="479"/>
      <c r="E132" s="479"/>
      <c r="F132" s="479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78" t="str">
        <f>+VLOOKUP(LEFT($A133,LEN(A133)-1)*1,Master!$D$25:$G$223,4,FALSE)</f>
        <v>Subvencije</v>
      </c>
      <c r="C133" s="479"/>
      <c r="D133" s="479"/>
      <c r="E133" s="479"/>
      <c r="F133" s="479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78" t="str">
        <f>+VLOOKUP(LEFT($A134,LEN(A134)-1)*1,Master!$D$25:$G$223,4,FALSE)</f>
        <v>Ostali izdaci</v>
      </c>
      <c r="C134" s="479"/>
      <c r="D134" s="479"/>
      <c r="E134" s="479"/>
      <c r="F134" s="479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78" t="str">
        <f>+VLOOKUP(LEFT($A135,LEN(A135)-1)*1,Master!$D$25:$G$223,4,FALSE)</f>
        <v>Kapitalni izdaci u tekućem budžetu</v>
      </c>
      <c r="C135" s="479"/>
      <c r="D135" s="479"/>
      <c r="E135" s="479"/>
      <c r="F135" s="479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5" t="str">
        <f>+VLOOKUP(LEFT($A136,LEN(A136)-1)*1,Master!$D$25:$G$223,4,FALSE)</f>
        <v>Transferi za socijalnu zaštitu</v>
      </c>
      <c r="C136" s="506"/>
      <c r="D136" s="506"/>
      <c r="E136" s="506"/>
      <c r="F136" s="506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78" t="str">
        <f>+VLOOKUP(LEFT($A137,LEN(A137)-1)*1,Master!$D$25:$G$223,4,FALSE)</f>
        <v>Prava iz oblasti socijalne zaštite</v>
      </c>
      <c r="C137" s="479"/>
      <c r="D137" s="479"/>
      <c r="E137" s="479"/>
      <c r="F137" s="479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78" t="str">
        <f>+VLOOKUP(LEFT($A138,LEN(A138)-1)*1,Master!$D$25:$G$223,4,FALSE)</f>
        <v>Sredstva za tehnološke viškove</v>
      </c>
      <c r="C138" s="479"/>
      <c r="D138" s="479"/>
      <c r="E138" s="479"/>
      <c r="F138" s="479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78" t="str">
        <f>+VLOOKUP(LEFT($A139,LEN(A139)-1)*1,Master!$D$25:$G$223,4,FALSE)</f>
        <v>Prava iz oblasti penzijskog i invalidskog osiguranja</v>
      </c>
      <c r="C139" s="479"/>
      <c r="D139" s="479"/>
      <c r="E139" s="479"/>
      <c r="F139" s="479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78" t="str">
        <f>+VLOOKUP(LEFT($A140,LEN(A140)-1)*1,Master!$D$25:$G$223,4,FALSE)</f>
        <v>Ostala prava iz oblasti zdravstvene zaštite</v>
      </c>
      <c r="C140" s="479"/>
      <c r="D140" s="479"/>
      <c r="E140" s="479"/>
      <c r="F140" s="479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78" t="str">
        <f>+VLOOKUP(LEFT($A141,LEN(A141)-1)*1,Master!$D$25:$G$223,4,FALSE)</f>
        <v>Ostala prava iz zdravstvenog osiguranja</v>
      </c>
      <c r="C141" s="479"/>
      <c r="D141" s="479"/>
      <c r="E141" s="479"/>
      <c r="F141" s="479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1" t="str">
        <f>+VLOOKUP(LEFT($A142,LEN(A142)-1)*1,Master!$D$25:$G$223,4,FALSE)</f>
        <v xml:space="preserve">Transferi institucijama, pojedincima, nevladinom i javnom sektoru </v>
      </c>
      <c r="C142" s="502"/>
      <c r="D142" s="502"/>
      <c r="E142" s="502"/>
      <c r="F142" s="502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1" t="str">
        <f>+VLOOKUP(LEFT($A143,LEN(A143)-1)*1,Master!$D$25:$G$223,4,FALSE)</f>
        <v>Kapitalni budžet</v>
      </c>
      <c r="C143" s="502"/>
      <c r="D143" s="502"/>
      <c r="E143" s="502"/>
      <c r="F143" s="502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3" t="str">
        <f>+VLOOKUP(LEFT($A144,LEN(A144)-1)*1,Master!$D$25:$G$223,4,FALSE)</f>
        <v>Pozajmice i krediti</v>
      </c>
      <c r="C144" s="504"/>
      <c r="D144" s="504"/>
      <c r="E144" s="504"/>
      <c r="F144" s="504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3" t="str">
        <f>+VLOOKUP(LEFT($A145,LEN(A145)-1)*1,Master!$D$25:$G$223,4,FALSE)</f>
        <v>Rezerve</v>
      </c>
      <c r="C145" s="504"/>
      <c r="D145" s="504"/>
      <c r="E145" s="504"/>
      <c r="F145" s="504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70" t="str">
        <f>+VLOOKUP(LEFT($A146,LEN(A146)-1)*1,Master!$D$25:$G$223,4,FALSE)</f>
        <v>Otplata garancija</v>
      </c>
      <c r="C146" s="471"/>
      <c r="D146" s="471"/>
      <c r="E146" s="471"/>
      <c r="F146" s="471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11" t="str">
        <f>+VLOOKUP(LEFT($A147,LEN(A147)-1)*1,Master!$D$25:$G$223,4,FALSE)</f>
        <v>Suficit / deficit</v>
      </c>
      <c r="C147" s="512"/>
      <c r="D147" s="512"/>
      <c r="E147" s="512"/>
      <c r="F147" s="512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13" t="str">
        <f>+VLOOKUP(LEFT($A148,LEN(A148)-1)*1,Master!$D$25:$G$223,4,FALSE)</f>
        <v>Primarni bilans</v>
      </c>
      <c r="C148" s="514"/>
      <c r="D148" s="514"/>
      <c r="E148" s="514"/>
      <c r="F148" s="514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5" t="str">
        <f>+VLOOKUP(LEFT($A149,LEN(A149)-1)*1,Master!$D$25:$G$223,4,FALSE)</f>
        <v>Otplata dugova</v>
      </c>
      <c r="C149" s="506"/>
      <c r="D149" s="506"/>
      <c r="E149" s="506"/>
      <c r="F149" s="506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09" t="str">
        <f>+VLOOKUP(LEFT($A150,LEN(A150)-1)*1,Master!$D$25:$G$223,4,FALSE)</f>
        <v>Otplata hartija od vrijednosti i kredita rezidentima</v>
      </c>
      <c r="C150" s="510"/>
      <c r="D150" s="510"/>
      <c r="E150" s="510"/>
      <c r="F150" s="510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3" t="str">
        <f>+VLOOKUP(LEFT($A151,LEN(A151)-1)*1,Master!$D$25:$G$223,4,FALSE)</f>
        <v>Otplata hartija od vrijednosti i kredita nerezidentima</v>
      </c>
      <c r="C151" s="504"/>
      <c r="D151" s="504"/>
      <c r="E151" s="504"/>
      <c r="F151" s="504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70" t="str">
        <f>+VLOOKUP(LEFT($A152,LEN(A152)-1)*1,Master!$D$25:$G$223,4,FALSE)</f>
        <v>Otplata obaveza iz prethodnih godina</v>
      </c>
      <c r="C152" s="471"/>
      <c r="D152" s="471"/>
      <c r="E152" s="471"/>
      <c r="F152" s="471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07" t="str">
        <f>+VLOOKUP(LEFT($A153,LEN(A153)-1)*1,Master!$D$25:$G$223,4,FALSE)</f>
        <v>Nedostajuća sredstva</v>
      </c>
      <c r="C153" s="508"/>
      <c r="D153" s="508"/>
      <c r="E153" s="508"/>
      <c r="F153" s="508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5" t="str">
        <f>+VLOOKUP(LEFT($A154,LEN(A154)-1)*1,Master!$D$25:$G$223,4,FALSE)</f>
        <v>Finansiranje</v>
      </c>
      <c r="C154" s="496"/>
      <c r="D154" s="496"/>
      <c r="E154" s="496"/>
      <c r="F154" s="496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09" t="str">
        <f>+VLOOKUP(LEFT($A155,LEN(A155)-1)*1,Master!$D$25:$G$223,4,FALSE)</f>
        <v>Pozajmice i krediti od domaćih izvora</v>
      </c>
      <c r="C155" s="510"/>
      <c r="D155" s="510"/>
      <c r="E155" s="510"/>
      <c r="F155" s="510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3" t="str">
        <f>+VLOOKUP(LEFT($A156,LEN(A156)-1)*1,Master!$D$25:$G$223,4,FALSE)</f>
        <v>Pozajmice i krediti od inostranih izvora</v>
      </c>
      <c r="C156" s="504"/>
      <c r="D156" s="504"/>
      <c r="E156" s="504"/>
      <c r="F156" s="504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3" t="str">
        <f>+VLOOKUP(LEFT($A157,LEN(A157)-1)*1,Master!$D$25:$G$223,4,FALSE)</f>
        <v>Primici od prodaje imovine</v>
      </c>
      <c r="C157" s="504"/>
      <c r="D157" s="504"/>
      <c r="E157" s="504"/>
      <c r="F157" s="504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69" t="str">
        <f>+Master!G249</f>
        <v>Ostvarenje budžeta</v>
      </c>
      <c r="C7" s="450"/>
      <c r="D7" s="450"/>
      <c r="E7" s="450"/>
      <c r="F7" s="450"/>
      <c r="G7" s="458">
        <v>2014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62"/>
      <c r="S7" s="261" t="str">
        <f>+Master!G246</f>
        <v>BDP</v>
      </c>
      <c r="T7" s="262">
        <v>3457880000</v>
      </c>
    </row>
    <row r="8" spans="1:20" ht="16.5" customHeight="1">
      <c r="A8" s="170"/>
      <c r="B8" s="451"/>
      <c r="C8" s="452"/>
      <c r="D8" s="452"/>
      <c r="E8" s="452"/>
      <c r="F8" s="453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8" t="s">
        <v>707</v>
      </c>
      <c r="T8" s="462"/>
    </row>
    <row r="9" spans="1:20" ht="13.5" thickBot="1">
      <c r="A9" s="170"/>
      <c r="B9" s="454"/>
      <c r="C9" s="455"/>
      <c r="D9" s="455"/>
      <c r="E9" s="455"/>
      <c r="F9" s="45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7" t="str">
        <f>+VLOOKUP($A10,Master!$D$25:$G$223,4,FALSE)</f>
        <v>Prihodi budžeta</v>
      </c>
      <c r="C10" s="418"/>
      <c r="D10" s="418"/>
      <c r="E10" s="418"/>
      <c r="F10" s="418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19" t="str">
        <f>+VLOOKUP($A11,Master!$D$25:$G$223,4,FALSE)</f>
        <v>Porezi</v>
      </c>
      <c r="C11" s="420"/>
      <c r="D11" s="420"/>
      <c r="E11" s="420"/>
      <c r="F11" s="420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1" t="str">
        <f>+VLOOKUP($A12,Master!$D$25:$G$223,4,FALSE)</f>
        <v>Porez na dohodak fizičkih lica</v>
      </c>
      <c r="C12" s="422"/>
      <c r="D12" s="422"/>
      <c r="E12" s="422"/>
      <c r="F12" s="42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1" t="str">
        <f>+VLOOKUP($A13,Master!$D$25:$G$223,4,FALSE)</f>
        <v>Porez na dobit pravnih lica</v>
      </c>
      <c r="C13" s="422"/>
      <c r="D13" s="422"/>
      <c r="E13" s="422"/>
      <c r="F13" s="42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1" t="str">
        <f>+VLOOKUP($A14,Master!$D$25:$G$223,4,FALSE)</f>
        <v>Porez na promet nepokretnosti</v>
      </c>
      <c r="C14" s="422"/>
      <c r="D14" s="422"/>
      <c r="E14" s="422"/>
      <c r="F14" s="42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1" t="str">
        <f>+VLOOKUP($A15,Master!$D$25:$G$223,4,FALSE)</f>
        <v>Porez na dodatu vrijednost</v>
      </c>
      <c r="C15" s="422"/>
      <c r="D15" s="422"/>
      <c r="E15" s="422"/>
      <c r="F15" s="42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1" t="str">
        <f>+VLOOKUP($A16,Master!$D$25:$G$223,4,FALSE)</f>
        <v>Akcize</v>
      </c>
      <c r="C16" s="422"/>
      <c r="D16" s="422"/>
      <c r="E16" s="422"/>
      <c r="F16" s="42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1" t="str">
        <f>+VLOOKUP($A17,Master!$D$25:$G$223,4,FALSE)</f>
        <v>Porez na međunarodnu trgovinu i transakcije</v>
      </c>
      <c r="C17" s="422"/>
      <c r="D17" s="422"/>
      <c r="E17" s="422"/>
      <c r="F17" s="42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1" t="str">
        <f>+VLOOKUP($A18,Master!$D$25:$G$223,4,FALSE)</f>
        <v>Ostali državni porezi</v>
      </c>
      <c r="C18" s="422"/>
      <c r="D18" s="422"/>
      <c r="E18" s="422"/>
      <c r="F18" s="422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5" t="str">
        <f>+VLOOKUP($A19,Master!$D$25:$G$223,4,FALSE)</f>
        <v>Doprinosi</v>
      </c>
      <c r="C19" s="426"/>
      <c r="D19" s="426"/>
      <c r="E19" s="426"/>
      <c r="F19" s="426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1" t="str">
        <f>+VLOOKUP($A20,Master!$D$25:$G$223,4,FALSE)</f>
        <v>Doprinosi za penzijsko i invalidsko osiguranje</v>
      </c>
      <c r="C20" s="422"/>
      <c r="D20" s="422"/>
      <c r="E20" s="422"/>
      <c r="F20" s="422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1" t="str">
        <f>+VLOOKUP($A21,Master!$D$25:$G$223,4,FALSE)</f>
        <v>Doprinosi za zdravstveno osiguranje</v>
      </c>
      <c r="C21" s="422"/>
      <c r="D21" s="422"/>
      <c r="E21" s="422"/>
      <c r="F21" s="422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1" t="str">
        <f>+VLOOKUP($A22,Master!$D$25:$G$223,4,FALSE)</f>
        <v>Doprinosi za osiguranje od nezaposlenosti</v>
      </c>
      <c r="C22" s="422"/>
      <c r="D22" s="422"/>
      <c r="E22" s="422"/>
      <c r="F22" s="422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1" t="str">
        <f>+VLOOKUP($A23,Master!$D$25:$G$223,4,FALSE)</f>
        <v>Ostali doprinosi</v>
      </c>
      <c r="C23" s="422"/>
      <c r="D23" s="422"/>
      <c r="E23" s="422"/>
      <c r="F23" s="422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3" t="str">
        <f>+VLOOKUP($A24,Master!$D$25:$G$223,4,FALSE)</f>
        <v>Takse</v>
      </c>
      <c r="C24" s="424"/>
      <c r="D24" s="424"/>
      <c r="E24" s="424"/>
      <c r="F24" s="424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3" t="str">
        <f>+VLOOKUP($A25,Master!$D$25:$G$223,4,FALSE)</f>
        <v>Naknade</v>
      </c>
      <c r="C25" s="424"/>
      <c r="D25" s="424"/>
      <c r="E25" s="424"/>
      <c r="F25" s="424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3" t="str">
        <f>+VLOOKUP($A26,Master!$D$25:$G$223,4,FALSE)</f>
        <v>Ostali prihodi</v>
      </c>
      <c r="C26" s="424"/>
      <c r="D26" s="424"/>
      <c r="E26" s="424"/>
      <c r="F26" s="424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3" t="str">
        <f>+VLOOKUP($A27,Master!$D$25:$G$223,4,FALSE)</f>
        <v>Primici od otplate kredita i sredstva prenesena iz prethodne godine</v>
      </c>
      <c r="C27" s="424"/>
      <c r="D27" s="424"/>
      <c r="E27" s="424"/>
      <c r="F27" s="424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27" t="str">
        <f>+VLOOKUP($A28,Master!$D$25:$G$223,4,FALSE)</f>
        <v>Donacije i transferi</v>
      </c>
      <c r="C28" s="428"/>
      <c r="D28" s="428"/>
      <c r="E28" s="428"/>
      <c r="F28" s="428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29" t="str">
        <f>+VLOOKUP($A29,Master!$D$25:$G$223,4,FALSE)</f>
        <v>Budžetki izdaci</v>
      </c>
      <c r="C29" s="430"/>
      <c r="D29" s="430"/>
      <c r="E29" s="430"/>
      <c r="F29" s="430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1" t="str">
        <f>+VLOOKUP($A30,Master!$D$25:$G$223,4,FALSE)</f>
        <v>Tekući izdaci</v>
      </c>
      <c r="C30" s="432"/>
      <c r="D30" s="432"/>
      <c r="E30" s="432"/>
      <c r="F30" s="432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3" t="str">
        <f>+VLOOKUP($A31,Master!$D$25:$G$223,4,FALSE)</f>
        <v>Tekući budžetski izdaci</v>
      </c>
      <c r="C31" s="434"/>
      <c r="D31" s="434"/>
      <c r="E31" s="434"/>
      <c r="F31" s="434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1" t="str">
        <f>+VLOOKUP($A32,Master!$D$25:$G$223,4,FALSE)</f>
        <v>Bruto zarade i doprinosi na teret poslodavca</v>
      </c>
      <c r="C32" s="422"/>
      <c r="D32" s="422"/>
      <c r="E32" s="422"/>
      <c r="F32" s="422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1" t="str">
        <f>+VLOOKUP($A33,Master!$D$25:$G$223,4,FALSE)</f>
        <v>Ostala lična primanja</v>
      </c>
      <c r="C33" s="422"/>
      <c r="D33" s="422"/>
      <c r="E33" s="422"/>
      <c r="F33" s="422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1" t="str">
        <f>+VLOOKUP($A34,Master!$D$25:$G$223,4,FALSE)</f>
        <v>Rashodi za materijal</v>
      </c>
      <c r="C34" s="422"/>
      <c r="D34" s="422"/>
      <c r="E34" s="422"/>
      <c r="F34" s="422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1" t="str">
        <f>+VLOOKUP($A35,Master!$D$25:$G$223,4,FALSE)</f>
        <v>Rashodi za usluge</v>
      </c>
      <c r="C35" s="422"/>
      <c r="D35" s="422"/>
      <c r="E35" s="422"/>
      <c r="F35" s="422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1" t="str">
        <f>+VLOOKUP($A36,Master!$D$25:$G$223,4,FALSE)</f>
        <v>Rashodi za tekuće održavanje</v>
      </c>
      <c r="C36" s="422"/>
      <c r="D36" s="422"/>
      <c r="E36" s="422"/>
      <c r="F36" s="422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1" t="str">
        <f>+VLOOKUP($A37,Master!$D$25:$G$223,4,FALSE)</f>
        <v>Kamate</v>
      </c>
      <c r="C37" s="422"/>
      <c r="D37" s="422"/>
      <c r="E37" s="422"/>
      <c r="F37" s="422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1" t="str">
        <f>+VLOOKUP($A38,Master!$D$25:$G$223,4,FALSE)</f>
        <v>Renta</v>
      </c>
      <c r="C38" s="422"/>
      <c r="D38" s="422"/>
      <c r="E38" s="422"/>
      <c r="F38" s="422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1" t="str">
        <f>+VLOOKUP($A39,Master!$D$25:$G$223,4,FALSE)</f>
        <v>Subvencije</v>
      </c>
      <c r="C39" s="422"/>
      <c r="D39" s="422"/>
      <c r="E39" s="422"/>
      <c r="F39" s="422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1" t="str">
        <f>+VLOOKUP($A40,Master!$D$25:$G$223,4,FALSE)</f>
        <v>Ostali izdaci</v>
      </c>
      <c r="C40" s="422"/>
      <c r="D40" s="422"/>
      <c r="E40" s="422"/>
      <c r="F40" s="422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1" t="str">
        <f>+VLOOKUP($A41,Master!$D$25:$G$223,4,FALSE)</f>
        <v>Kapitalni izdaci u tekućem budžetu</v>
      </c>
      <c r="C41" s="422"/>
      <c r="D41" s="422"/>
      <c r="E41" s="422"/>
      <c r="F41" s="422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7" t="str">
        <f>+VLOOKUP($A42,Master!$D$25:$G$223,4,FALSE)</f>
        <v>Transferi za socijalnu zaštitu</v>
      </c>
      <c r="C42" s="438"/>
      <c r="D42" s="438"/>
      <c r="E42" s="438"/>
      <c r="F42" s="438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1" t="str">
        <f>+VLOOKUP($A43,Master!$D$25:$G$223,4,FALSE)</f>
        <v>Prava iz oblasti socijalne zaštite</v>
      </c>
      <c r="C43" s="422"/>
      <c r="D43" s="422"/>
      <c r="E43" s="422"/>
      <c r="F43" s="422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1" t="str">
        <f>+VLOOKUP($A44,Master!$D$25:$G$223,4,FALSE)</f>
        <v>Sredstva za tehnološke viškove</v>
      </c>
      <c r="C44" s="422"/>
      <c r="D44" s="422"/>
      <c r="E44" s="422"/>
      <c r="F44" s="422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1" t="str">
        <f>+VLOOKUP($A45,Master!$D$25:$G$223,4,FALSE)</f>
        <v>Prava iz oblasti penzijskog i invalidskog osiguranja</v>
      </c>
      <c r="C45" s="422"/>
      <c r="D45" s="422"/>
      <c r="E45" s="422"/>
      <c r="F45" s="422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1" t="str">
        <f>+VLOOKUP($A46,Master!$D$25:$G$223,4,FALSE)</f>
        <v>Ostala prava iz oblasti zdravstvene zaštite</v>
      </c>
      <c r="C46" s="422"/>
      <c r="D46" s="422"/>
      <c r="E46" s="422"/>
      <c r="F46" s="422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1" t="str">
        <f>+VLOOKUP($A47,Master!$D$25:$G$223,4,FALSE)</f>
        <v>Ostala prava iz zdravstvenog osiguranja</v>
      </c>
      <c r="C47" s="422"/>
      <c r="D47" s="422"/>
      <c r="E47" s="422"/>
      <c r="F47" s="422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5" t="str">
        <f>+VLOOKUP($A48,Master!$D$25:$G$223,4,FALSE)</f>
        <v xml:space="preserve">Transferi institucijama, pojedincima, nevladinom i javnom sektoru </v>
      </c>
      <c r="C48" s="436"/>
      <c r="D48" s="436"/>
      <c r="E48" s="436"/>
      <c r="F48" s="436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5" t="str">
        <f>+VLOOKUP($A49,Master!$D$25:$G$223,4,FALSE)</f>
        <v>Kapitalni budžet</v>
      </c>
      <c r="C49" s="436"/>
      <c r="D49" s="436"/>
      <c r="E49" s="436"/>
      <c r="F49" s="436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39" t="str">
        <f>+VLOOKUP($A50,Master!$D$25:$G$223,4,FALSE)</f>
        <v>Pozajmice i krediti</v>
      </c>
      <c r="C50" s="440"/>
      <c r="D50" s="440"/>
      <c r="E50" s="440"/>
      <c r="F50" s="440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39" t="str">
        <f>+VLOOKUP($A51,Master!$D$25:$G$223,4,FALSE)</f>
        <v>Rezerve</v>
      </c>
      <c r="C51" s="440"/>
      <c r="D51" s="440"/>
      <c r="E51" s="440"/>
      <c r="F51" s="440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1" t="str">
        <f>+VLOOKUP($A52,Master!$D$25:$G$223,4,FALSE)</f>
        <v>Otplata garancija</v>
      </c>
      <c r="C52" s="442"/>
      <c r="D52" s="442"/>
      <c r="E52" s="442"/>
      <c r="F52" s="442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1" t="str">
        <f>+VLOOKUP($A53,Master!$D$25:$G$223,4,TRUE)</f>
        <v>Otplata obaveza iz prethodnih godina</v>
      </c>
      <c r="C53" s="442"/>
      <c r="D53" s="442"/>
      <c r="E53" s="442"/>
      <c r="F53" s="442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15" t="str">
        <f>+VLOOKUP($A55,Master!$D$25:$G$223,4,FALSE)</f>
        <v>Suficit / deficit</v>
      </c>
      <c r="C55" s="516"/>
      <c r="D55" s="516"/>
      <c r="E55" s="516"/>
      <c r="F55" s="516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45" t="str">
        <f>+VLOOKUP($A56,Master!$D$25:$G$223,4,FALSE)</f>
        <v>Primarni bilans</v>
      </c>
      <c r="C56" s="446"/>
      <c r="D56" s="446"/>
      <c r="E56" s="446"/>
      <c r="F56" s="446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7" t="str">
        <f>+VLOOKUP($A57,Master!$D$25:$G$223,4,FALSE)</f>
        <v>Otplata dugova</v>
      </c>
      <c r="C57" s="438"/>
      <c r="D57" s="438"/>
      <c r="E57" s="438"/>
      <c r="F57" s="438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3" t="str">
        <f>+VLOOKUP($A58,Master!$D$25:$G$223,4,FALSE)</f>
        <v>Otplata hartija od vrijednosti i kredita rezidentima</v>
      </c>
      <c r="C58" s="464"/>
      <c r="D58" s="464"/>
      <c r="E58" s="464"/>
      <c r="F58" s="464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39" t="str">
        <f>+VLOOKUP($A59,Master!$D$25:$G$223,4,FALSE)</f>
        <v>Otplata hartija od vrijednosti i kredita nerezidentima</v>
      </c>
      <c r="C59" s="440"/>
      <c r="D59" s="440"/>
      <c r="E59" s="440"/>
      <c r="F59" s="440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5" t="str">
        <f>+VLOOKUP($A60,Master!$D$25:$G$223,4,FALSE)</f>
        <v>Nedostajuća sredstva</v>
      </c>
      <c r="C60" s="466"/>
      <c r="D60" s="466"/>
      <c r="E60" s="466"/>
      <c r="F60" s="466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29" t="str">
        <f>+VLOOKUP($A61,Master!$D$25:$G$223,4,FALSE)</f>
        <v>Finansiranje</v>
      </c>
      <c r="C61" s="430"/>
      <c r="D61" s="430"/>
      <c r="E61" s="430"/>
      <c r="F61" s="430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3" t="str">
        <f>+VLOOKUP($A62,Master!$D$25:$G$223,4,FALSE)</f>
        <v>Pozajmice i krediti od domaćih izvora</v>
      </c>
      <c r="C62" s="464"/>
      <c r="D62" s="464"/>
      <c r="E62" s="464"/>
      <c r="F62" s="464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39" t="str">
        <f>+VLOOKUP($A63,Master!$D$25:$G$223,4,FALSE)</f>
        <v>Pozajmice i krediti od inostranih izvora</v>
      </c>
      <c r="C63" s="440"/>
      <c r="D63" s="440"/>
      <c r="E63" s="440"/>
      <c r="F63" s="440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39" t="str">
        <f>+VLOOKUP($A64,Master!$D$25:$G$223,4,FALSE)</f>
        <v>Primici od prodaje imovine</v>
      </c>
      <c r="C64" s="440"/>
      <c r="D64" s="440"/>
      <c r="E64" s="440"/>
      <c r="F64" s="440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80" t="str">
        <f>+Master!G250</f>
        <v>Plan ostvarenja budžeta</v>
      </c>
      <c r="C101" s="481"/>
      <c r="D101" s="481"/>
      <c r="E101" s="481"/>
      <c r="F101" s="481"/>
      <c r="G101" s="472">
        <v>2014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73"/>
      <c r="S101" s="116" t="str">
        <f>+S7</f>
        <v>BDP</v>
      </c>
      <c r="T101" s="117">
        <v>3393200615</v>
      </c>
    </row>
    <row r="102" spans="1:21" ht="15.75" customHeight="1">
      <c r="B102" s="482"/>
      <c r="C102" s="483"/>
      <c r="D102" s="483"/>
      <c r="E102" s="483"/>
      <c r="F102" s="484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2" t="str">
        <f>+Master!G244</f>
        <v>Jan - Dec</v>
      </c>
      <c r="T102" s="473">
        <f>+T8</f>
        <v>0</v>
      </c>
    </row>
    <row r="103" spans="1:21" ht="13.5" thickBot="1">
      <c r="B103" s="485"/>
      <c r="C103" s="486"/>
      <c r="D103" s="486"/>
      <c r="E103" s="486"/>
      <c r="F103" s="48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4" t="str">
        <f>+VLOOKUP(LEFT($A104,LEN(A104)-1)*1,Master!$D$25:$G$223,4,FALSE)</f>
        <v>Prihodi budžeta</v>
      </c>
      <c r="C104" s="475"/>
      <c r="D104" s="475"/>
      <c r="E104" s="475"/>
      <c r="F104" s="475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6" t="str">
        <f>+VLOOKUP(LEFT($A105,LEN(A105)-1)*1,Master!$D$25:$G$223,4,FALSE)</f>
        <v>Porezi</v>
      </c>
      <c r="C105" s="477"/>
      <c r="D105" s="477"/>
      <c r="E105" s="477"/>
      <c r="F105" s="477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78" t="str">
        <f>+VLOOKUP(LEFT($A106,LEN(A106)-1)*1,Master!$D$25:$G$223,4,FALSE)</f>
        <v>Porez na dohodak fizičkih lica</v>
      </c>
      <c r="C106" s="479"/>
      <c r="D106" s="479"/>
      <c r="E106" s="479"/>
      <c r="F106" s="479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78" t="str">
        <f>+VLOOKUP(LEFT($A107,LEN(A107)-1)*1,Master!$D$25:$G$223,4,FALSE)</f>
        <v>Porez na dobit pravnih lica</v>
      </c>
      <c r="C107" s="479"/>
      <c r="D107" s="479"/>
      <c r="E107" s="479"/>
      <c r="F107" s="479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78" t="str">
        <f>+VLOOKUP(LEFT($A108,LEN(A108)-1)*1,Master!$D$25:$G$223,4,FALSE)</f>
        <v>Porez na promet nepokretnosti</v>
      </c>
      <c r="C108" s="479"/>
      <c r="D108" s="479"/>
      <c r="E108" s="479"/>
      <c r="F108" s="479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78" t="str">
        <f>+VLOOKUP(LEFT($A109,LEN(A109)-1)*1,Master!$D$25:$G$223,4,FALSE)</f>
        <v>Porez na dodatu vrijednost</v>
      </c>
      <c r="C109" s="479"/>
      <c r="D109" s="479"/>
      <c r="E109" s="479"/>
      <c r="F109" s="479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78" t="str">
        <f>+VLOOKUP(LEFT($A110,LEN(A110)-1)*1,Master!$D$25:$G$223,4,FALSE)</f>
        <v>Akcize</v>
      </c>
      <c r="C110" s="479"/>
      <c r="D110" s="479"/>
      <c r="E110" s="479"/>
      <c r="F110" s="479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78" t="str">
        <f>+VLOOKUP(LEFT($A111,LEN(A111)-1)*1,Master!$D$25:$G$223,4,FALSE)</f>
        <v>Porez na međunarodnu trgovinu i transakcije</v>
      </c>
      <c r="C111" s="479"/>
      <c r="D111" s="479"/>
      <c r="E111" s="479"/>
      <c r="F111" s="479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78" t="e">
        <f>+VLOOKUP(LEFT($A112,LEN(A112)-1)*1,Master!$D$25:$G$223,4,FALSE)</f>
        <v>#REF!</v>
      </c>
      <c r="C112" s="479"/>
      <c r="D112" s="479"/>
      <c r="E112" s="479"/>
      <c r="F112" s="479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78" t="str">
        <f>+VLOOKUP(LEFT($A113,LEN(A113)-1)*1,Master!$D$25:$G$223,4,FALSE)</f>
        <v>Ostali državni porezi</v>
      </c>
      <c r="C113" s="479"/>
      <c r="D113" s="479"/>
      <c r="E113" s="479"/>
      <c r="F113" s="479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1" t="str">
        <f>+VLOOKUP(LEFT($A114,LEN(A114)-1)*1,Master!$D$25:$G$223,4,FALSE)</f>
        <v>Doprinosi</v>
      </c>
      <c r="C114" s="492"/>
      <c r="D114" s="492"/>
      <c r="E114" s="492"/>
      <c r="F114" s="492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78" t="str">
        <f>+VLOOKUP(LEFT($A115,LEN(A115)-1)*1,Master!$D$25:$G$223,4,FALSE)</f>
        <v>Doprinosi za penzijsko i invalidsko osiguranje</v>
      </c>
      <c r="C115" s="479"/>
      <c r="D115" s="479"/>
      <c r="E115" s="479"/>
      <c r="F115" s="479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78" t="str">
        <f>+VLOOKUP(LEFT($A116,LEN(A116)-1)*1,Master!$D$25:$G$223,4,FALSE)</f>
        <v>Doprinosi za zdravstveno osiguranje</v>
      </c>
      <c r="C116" s="479"/>
      <c r="D116" s="479"/>
      <c r="E116" s="479"/>
      <c r="F116" s="479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78" t="str">
        <f>+VLOOKUP(LEFT($A117,LEN(A117)-1)*1,Master!$D$25:$G$223,4,FALSE)</f>
        <v>Doprinosi za osiguranje od nezaposlenosti</v>
      </c>
      <c r="C117" s="479"/>
      <c r="D117" s="479"/>
      <c r="E117" s="479"/>
      <c r="F117" s="479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78" t="str">
        <f>+VLOOKUP(LEFT($A118,LEN(A118)-1)*1,Master!$D$25:$G$223,4,FALSE)</f>
        <v>Ostali doprinosi</v>
      </c>
      <c r="C118" s="479"/>
      <c r="D118" s="479"/>
      <c r="E118" s="479"/>
      <c r="F118" s="479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89" t="str">
        <f>+VLOOKUP(LEFT($A119,LEN(A119)-1)*1,Master!$D$25:$G$223,4,FALSE)</f>
        <v>Takse</v>
      </c>
      <c r="C119" s="490"/>
      <c r="D119" s="490"/>
      <c r="E119" s="490"/>
      <c r="F119" s="490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89" t="str">
        <f>+VLOOKUP(LEFT($A120,LEN(A120)-1)*1,Master!$D$25:$G$223,4,FALSE)</f>
        <v>Naknade</v>
      </c>
      <c r="C120" s="490"/>
      <c r="D120" s="490"/>
      <c r="E120" s="490"/>
      <c r="F120" s="490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89" t="str">
        <f>+VLOOKUP(LEFT($A121,LEN(A121)-1)*1,Master!$D$25:$G$223,4,FALSE)</f>
        <v>Ostali prihodi</v>
      </c>
      <c r="C121" s="490"/>
      <c r="D121" s="490"/>
      <c r="E121" s="490"/>
      <c r="F121" s="490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89" t="str">
        <f>+VLOOKUP(LEFT($A122,LEN(A122)-1)*1,Master!$D$25:$G$223,4,FALSE)</f>
        <v>Primici od otplate kredita i sredstva prenesena iz prethodne godine</v>
      </c>
      <c r="C122" s="490"/>
      <c r="D122" s="490"/>
      <c r="E122" s="490"/>
      <c r="F122" s="490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93" t="str">
        <f>+VLOOKUP(LEFT($A123,LEN(A123)-1)*1,Master!$D$25:$G$223,4,FALSE)</f>
        <v>Donacije i transferi</v>
      </c>
      <c r="C123" s="494"/>
      <c r="D123" s="494"/>
      <c r="E123" s="494"/>
      <c r="F123" s="494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5" t="str">
        <f>+VLOOKUP(LEFT($A124,LEN(A124)-1)*1,Master!$D$25:$G$223,4,FALSE)</f>
        <v>Budžetki izdaci</v>
      </c>
      <c r="C124" s="496"/>
      <c r="D124" s="496"/>
      <c r="E124" s="496"/>
      <c r="F124" s="496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97" t="str">
        <f>+VLOOKUP(LEFT($A125,LEN(A125)-1)*1,Master!$D$25:$G$223,4,FALSE)</f>
        <v>Tekući izdaci</v>
      </c>
      <c r="C125" s="498"/>
      <c r="D125" s="498"/>
      <c r="E125" s="498"/>
      <c r="F125" s="49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99" t="str">
        <f>+VLOOKUP(LEFT($A126,LEN(A126)-1)*1,Master!$D$25:$G$223,4,FALSE)</f>
        <v>Tekući budžetski izdaci</v>
      </c>
      <c r="C126" s="500"/>
      <c r="D126" s="500"/>
      <c r="E126" s="500"/>
      <c r="F126" s="500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78" t="str">
        <f>+VLOOKUP(LEFT($A127,LEN(A127)-1)*1,Master!$D$25:$G$223,4,FALSE)</f>
        <v>Bruto zarade i doprinosi na teret poslodavca</v>
      </c>
      <c r="C127" s="479"/>
      <c r="D127" s="479"/>
      <c r="E127" s="479"/>
      <c r="F127" s="479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78" t="str">
        <f>+VLOOKUP(LEFT($A128,LEN(A128)-1)*1,Master!$D$25:$G$223,4,FALSE)</f>
        <v>Ostala lična primanja</v>
      </c>
      <c r="C128" s="479"/>
      <c r="D128" s="479"/>
      <c r="E128" s="479"/>
      <c r="F128" s="479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78" t="str">
        <f>+VLOOKUP(LEFT($A129,LEN(A129)-1)*1,Master!$D$25:$G$223,4,FALSE)</f>
        <v>Rashodi za materijal</v>
      </c>
      <c r="C129" s="479"/>
      <c r="D129" s="479"/>
      <c r="E129" s="479"/>
      <c r="F129" s="479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78" t="str">
        <f>+VLOOKUP(LEFT($A130,LEN(A130)-1)*1,Master!$D$25:$G$223,4,FALSE)</f>
        <v>Rashodi za usluge</v>
      </c>
      <c r="C130" s="479"/>
      <c r="D130" s="479"/>
      <c r="E130" s="479"/>
      <c r="F130" s="479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78" t="str">
        <f>+VLOOKUP(LEFT($A131,LEN(A131)-1)*1,Master!$D$25:$G$223,4,FALSE)</f>
        <v>Rashodi za tekuće održavanje</v>
      </c>
      <c r="C131" s="479"/>
      <c r="D131" s="479"/>
      <c r="E131" s="479"/>
      <c r="F131" s="479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78" t="str">
        <f>+VLOOKUP(LEFT($A132,LEN(A132)-1)*1,Master!$D$25:$G$223,4,FALSE)</f>
        <v>Kamate</v>
      </c>
      <c r="C132" s="479"/>
      <c r="D132" s="479"/>
      <c r="E132" s="479"/>
      <c r="F132" s="479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78" t="str">
        <f>+VLOOKUP(LEFT($A133,LEN(A133)-1)*1,Master!$D$25:$G$223,4,FALSE)</f>
        <v>Renta</v>
      </c>
      <c r="C133" s="479"/>
      <c r="D133" s="479"/>
      <c r="E133" s="479"/>
      <c r="F133" s="479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78" t="str">
        <f>+VLOOKUP(LEFT($A134,LEN(A134)-1)*1,Master!$D$25:$G$223,4,FALSE)</f>
        <v>Subvencije</v>
      </c>
      <c r="C134" s="479"/>
      <c r="D134" s="479"/>
      <c r="E134" s="479"/>
      <c r="F134" s="479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78" t="str">
        <f>+VLOOKUP(LEFT($A135,LEN(A135)-1)*1,Master!$D$25:$G$223,4,FALSE)</f>
        <v>Ostali izdaci</v>
      </c>
      <c r="C135" s="479"/>
      <c r="D135" s="479"/>
      <c r="E135" s="479"/>
      <c r="F135" s="479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78" t="str">
        <f>+VLOOKUP(LEFT($A136,LEN(A136)-1)*1,Master!$D$25:$G$223,4,FALSE)</f>
        <v>Kapitalni izdaci u tekućem budžetu</v>
      </c>
      <c r="C136" s="479"/>
      <c r="D136" s="479"/>
      <c r="E136" s="479"/>
      <c r="F136" s="479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5" t="str">
        <f>+VLOOKUP(LEFT($A137,LEN(A137)-1)*1,Master!$D$25:$G$223,4,FALSE)</f>
        <v>Transferi za socijalnu zaštitu</v>
      </c>
      <c r="C137" s="506"/>
      <c r="D137" s="506"/>
      <c r="E137" s="506"/>
      <c r="F137" s="506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78" t="str">
        <f>+VLOOKUP(LEFT($A138,LEN(A138)-1)*1,Master!$D$25:$G$223,4,FALSE)</f>
        <v>Prava iz oblasti socijalne zaštite</v>
      </c>
      <c r="C138" s="479"/>
      <c r="D138" s="479"/>
      <c r="E138" s="479"/>
      <c r="F138" s="479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78" t="str">
        <f>+VLOOKUP(LEFT($A139,LEN(A139)-1)*1,Master!$D$25:$G$223,4,FALSE)</f>
        <v>Sredstva za tehnološke viškove</v>
      </c>
      <c r="C139" s="479"/>
      <c r="D139" s="479"/>
      <c r="E139" s="479"/>
      <c r="F139" s="479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78" t="str">
        <f>+VLOOKUP(LEFT($A140,LEN(A140)-1)*1,Master!$D$25:$G$223,4,FALSE)</f>
        <v>Prava iz oblasti penzijskog i invalidskog osiguranja</v>
      </c>
      <c r="C140" s="479"/>
      <c r="D140" s="479"/>
      <c r="E140" s="479"/>
      <c r="F140" s="479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78" t="str">
        <f>+VLOOKUP(LEFT($A141,LEN(A141)-1)*1,Master!$D$25:$G$223,4,FALSE)</f>
        <v>Ostala prava iz oblasti zdravstvene zaštite</v>
      </c>
      <c r="C141" s="479"/>
      <c r="D141" s="479"/>
      <c r="E141" s="479"/>
      <c r="F141" s="479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78" t="str">
        <f>+VLOOKUP(LEFT($A142,LEN(A142)-1)*1,Master!$D$25:$G$223,4,FALSE)</f>
        <v>Ostala prava iz zdravstvenog osiguranja</v>
      </c>
      <c r="C142" s="479"/>
      <c r="D142" s="479"/>
      <c r="E142" s="479"/>
      <c r="F142" s="479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1" t="str">
        <f>+VLOOKUP(LEFT($A143,LEN(A143)-1)*1,Master!$D$25:$G$223,4,FALSE)</f>
        <v xml:space="preserve">Transferi institucijama, pojedincima, nevladinom i javnom sektoru </v>
      </c>
      <c r="C143" s="502"/>
      <c r="D143" s="502"/>
      <c r="E143" s="502"/>
      <c r="F143" s="502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1" t="str">
        <f>+VLOOKUP(LEFT($A144,LEN(A144)-1)*1,Master!$D$25:$G$223,4,FALSE)</f>
        <v>Kapitalni budžet</v>
      </c>
      <c r="C144" s="502"/>
      <c r="D144" s="502"/>
      <c r="E144" s="502"/>
      <c r="F144" s="502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3" t="str">
        <f>+VLOOKUP(LEFT($A145,LEN(A145)-1)*1,Master!$D$25:$G$223,4,FALSE)</f>
        <v>Pozajmice i krediti</v>
      </c>
      <c r="C145" s="504"/>
      <c r="D145" s="504"/>
      <c r="E145" s="504"/>
      <c r="F145" s="504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3" t="str">
        <f>+VLOOKUP(LEFT($A146,LEN(A146)-1)*1,Master!$D$25:$G$223,4,FALSE)</f>
        <v>Rezerve</v>
      </c>
      <c r="C146" s="504"/>
      <c r="D146" s="504"/>
      <c r="E146" s="504"/>
      <c r="F146" s="504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70" t="str">
        <f>+VLOOKUP(LEFT($A147,LEN(A147)-1)*1,Master!$D$25:$G$223,4,FALSE)</f>
        <v>Otplata garancija</v>
      </c>
      <c r="C147" s="471"/>
      <c r="D147" s="471"/>
      <c r="E147" s="471"/>
      <c r="F147" s="471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11" t="str">
        <f>+VLOOKUP(LEFT($A148,LEN(A148)-1)*1,Master!$D$25:$G$223,4,FALSE)</f>
        <v>Suficit / deficit</v>
      </c>
      <c r="C148" s="512"/>
      <c r="D148" s="512"/>
      <c r="E148" s="512"/>
      <c r="F148" s="512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13" t="str">
        <f>+VLOOKUP(LEFT($A149,LEN(A149)-1)*1,Master!$D$25:$G$223,4,FALSE)</f>
        <v>Primarni bilans</v>
      </c>
      <c r="C149" s="514"/>
      <c r="D149" s="514"/>
      <c r="E149" s="514"/>
      <c r="F149" s="514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5" t="str">
        <f>+VLOOKUP(LEFT($A150,LEN(A150)-1)*1,Master!$D$25:$G$223,4,FALSE)</f>
        <v>Otplata dugova</v>
      </c>
      <c r="C150" s="506"/>
      <c r="D150" s="506"/>
      <c r="E150" s="506"/>
      <c r="F150" s="506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09" t="str">
        <f>+VLOOKUP(LEFT($A151,LEN(A151)-1)*1,Master!$D$25:$G$223,4,FALSE)</f>
        <v>Otplata hartija od vrijednosti i kredita rezidentima</v>
      </c>
      <c r="C151" s="510"/>
      <c r="D151" s="510"/>
      <c r="E151" s="510"/>
      <c r="F151" s="51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3" t="str">
        <f>+VLOOKUP(LEFT($A152,LEN(A152)-1)*1,Master!$D$25:$G$223,4,FALSE)</f>
        <v>Otplata hartija od vrijednosti i kredita nerezidentima</v>
      </c>
      <c r="C152" s="504"/>
      <c r="D152" s="504"/>
      <c r="E152" s="504"/>
      <c r="F152" s="50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7" t="str">
        <f>+VLOOKUP(LEFT($A154,LEN(A154)-1)*1,Master!$D$25:$G$223,4,FALSE)</f>
        <v>Nedostajuća sredstva</v>
      </c>
      <c r="C154" s="508"/>
      <c r="D154" s="508"/>
      <c r="E154" s="508"/>
      <c r="F154" s="508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5" t="str">
        <f>+VLOOKUP(LEFT($A155,LEN(A155)-1)*1,Master!$D$25:$G$223,4,FALSE)</f>
        <v>Finansiranje</v>
      </c>
      <c r="C155" s="496"/>
      <c r="D155" s="496"/>
      <c r="E155" s="496"/>
      <c r="F155" s="496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09" t="str">
        <f>+VLOOKUP(LEFT($A156,LEN(A156)-1)*1,Master!$D$25:$G$223,4,FALSE)</f>
        <v>Pozajmice i krediti od domaćih izvora</v>
      </c>
      <c r="C156" s="510"/>
      <c r="D156" s="510"/>
      <c r="E156" s="510"/>
      <c r="F156" s="51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3" t="str">
        <f>+VLOOKUP(LEFT($A157,LEN(A157)-1)*1,Master!$D$25:$G$223,4,FALSE)</f>
        <v>Pozajmice i krediti od inostranih izvora</v>
      </c>
      <c r="C157" s="504"/>
      <c r="D157" s="504"/>
      <c r="E157" s="504"/>
      <c r="F157" s="50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3" t="str">
        <f>+VLOOKUP(LEFT($A158,LEN(A158)-1)*1,Master!$D$25:$G$223,4,FALSE)</f>
        <v>Primici od prodaje imovine</v>
      </c>
      <c r="C158" s="504"/>
      <c r="D158" s="504"/>
      <c r="E158" s="504"/>
      <c r="F158" s="50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80" t="str">
        <f>+Master!G249</f>
        <v>Ostvarenje budžeta</v>
      </c>
      <c r="C7" s="481"/>
      <c r="D7" s="481"/>
      <c r="E7" s="481"/>
      <c r="F7" s="481"/>
      <c r="G7" s="472">
        <v>2013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73"/>
      <c r="V7" s="361"/>
      <c r="W7" s="116" t="str">
        <f>+Master!G246</f>
        <v>BDP</v>
      </c>
      <c r="X7" s="117">
        <v>3327000000</v>
      </c>
    </row>
    <row r="8" spans="1:24" ht="16.5" customHeight="1">
      <c r="B8" s="482"/>
      <c r="C8" s="483"/>
      <c r="D8" s="483"/>
      <c r="E8" s="483"/>
      <c r="F8" s="484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2" t="s">
        <v>708</v>
      </c>
      <c r="X8" s="473"/>
    </row>
    <row r="9" spans="1:24" ht="13.5" thickBot="1">
      <c r="B9" s="485"/>
      <c r="C9" s="486"/>
      <c r="D9" s="486"/>
      <c r="E9" s="486"/>
      <c r="F9" s="487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74" t="str">
        <f>+VLOOKUP($A10,Master!$D$25:$G$223,4,FALSE)</f>
        <v>Prihodi budžeta</v>
      </c>
      <c r="C10" s="475"/>
      <c r="D10" s="475"/>
      <c r="E10" s="475"/>
      <c r="F10" s="475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6" t="str">
        <f>+VLOOKUP($A11,Master!$D$25:$G$223,4,FALSE)</f>
        <v>Porezi</v>
      </c>
      <c r="C11" s="477"/>
      <c r="D11" s="477"/>
      <c r="E11" s="477"/>
      <c r="F11" s="477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78" t="str">
        <f>+VLOOKUP($A12,Master!$D$25:$G$223,4,FALSE)</f>
        <v>Porez na dohodak fizičkih lica</v>
      </c>
      <c r="C12" s="479"/>
      <c r="D12" s="479"/>
      <c r="E12" s="479"/>
      <c r="F12" s="47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78" t="str">
        <f>+VLOOKUP($A13,Master!$D$25:$G$223,4,FALSE)</f>
        <v>Porez na dobit pravnih lica</v>
      </c>
      <c r="C13" s="479"/>
      <c r="D13" s="479"/>
      <c r="E13" s="479"/>
      <c r="F13" s="47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78" t="str">
        <f>+VLOOKUP($A14,Master!$D$25:$G$223,4,FALSE)</f>
        <v>Porez na promet nepokretnosti</v>
      </c>
      <c r="C14" s="479"/>
      <c r="D14" s="479"/>
      <c r="E14" s="479"/>
      <c r="F14" s="47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78" t="str">
        <f>+VLOOKUP($A15,Master!$D$25:$G$223,4,FALSE)</f>
        <v>Porez na dodatu vrijednost</v>
      </c>
      <c r="C15" s="479"/>
      <c r="D15" s="479"/>
      <c r="E15" s="479"/>
      <c r="F15" s="47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78" t="str">
        <f>+VLOOKUP($A16,Master!$D$25:$G$223,4,FALSE)</f>
        <v>Akcize</v>
      </c>
      <c r="C16" s="479"/>
      <c r="D16" s="479"/>
      <c r="E16" s="479"/>
      <c r="F16" s="47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78" t="str">
        <f>+VLOOKUP($A17,Master!$D$25:$G$223,4,FALSE)</f>
        <v>Porez na međunarodnu trgovinu i transakcije</v>
      </c>
      <c r="C17" s="479"/>
      <c r="D17" s="479"/>
      <c r="E17" s="479"/>
      <c r="F17" s="47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78" t="e">
        <f>+VLOOKUP($A18,Master!$D$25:$G$223,4,FALSE)</f>
        <v>#N/A</v>
      </c>
      <c r="C18" s="479"/>
      <c r="D18" s="479"/>
      <c r="E18" s="479"/>
      <c r="F18" s="479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78" t="str">
        <f>+VLOOKUP($A19,Master!$D$25:$G$223,4,FALSE)</f>
        <v>Ostali državni porezi</v>
      </c>
      <c r="C19" s="479"/>
      <c r="D19" s="479"/>
      <c r="E19" s="479"/>
      <c r="F19" s="47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1" t="str">
        <f>+VLOOKUP($A20,Master!$D$25:$G$223,4,FALSE)</f>
        <v>Doprinosi</v>
      </c>
      <c r="C20" s="492"/>
      <c r="D20" s="492"/>
      <c r="E20" s="492"/>
      <c r="F20" s="492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78" t="str">
        <f>+VLOOKUP($A21,Master!$D$25:$G$223,4,FALSE)</f>
        <v>Doprinosi za penzijsko i invalidsko osiguranje</v>
      </c>
      <c r="C21" s="479"/>
      <c r="D21" s="479"/>
      <c r="E21" s="479"/>
      <c r="F21" s="47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78" t="str">
        <f>+VLOOKUP($A22,Master!$D$25:$G$223,4,FALSE)</f>
        <v>Doprinosi za zdravstveno osiguranje</v>
      </c>
      <c r="C22" s="479"/>
      <c r="D22" s="479"/>
      <c r="E22" s="479"/>
      <c r="F22" s="47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78" t="str">
        <f>+VLOOKUP($A23,Master!$D$25:$G$223,4,FALSE)</f>
        <v>Doprinosi za osiguranje od nezaposlenosti</v>
      </c>
      <c r="C23" s="479"/>
      <c r="D23" s="479"/>
      <c r="E23" s="479"/>
      <c r="F23" s="47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78" t="str">
        <f>+VLOOKUP($A24,Master!$D$25:$G$223,4,FALSE)</f>
        <v>Ostali doprinosi</v>
      </c>
      <c r="C24" s="479"/>
      <c r="D24" s="479"/>
      <c r="E24" s="479"/>
      <c r="F24" s="47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89" t="str">
        <f>+VLOOKUP($A25,Master!$D$25:$G$223,4,FALSE)</f>
        <v>Takse</v>
      </c>
      <c r="C25" s="490"/>
      <c r="D25" s="490"/>
      <c r="E25" s="490"/>
      <c r="F25" s="490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89" t="str">
        <f>+VLOOKUP($A26,Master!$D$25:$G$223,4,FALSE)</f>
        <v>Naknade</v>
      </c>
      <c r="C26" s="490"/>
      <c r="D26" s="490"/>
      <c r="E26" s="490"/>
      <c r="F26" s="490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89" t="str">
        <f>+VLOOKUP($A27,Master!$D$25:$G$223,4,FALSE)</f>
        <v>Ostali prihodi</v>
      </c>
      <c r="C27" s="490"/>
      <c r="D27" s="490"/>
      <c r="E27" s="490"/>
      <c r="F27" s="490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89" t="str">
        <f>+VLOOKUP($A28,Master!$D$25:$G$223,4,FALSE)</f>
        <v>Primici od otplate kredita i sredstva prenesena iz prethodne godine</v>
      </c>
      <c r="C28" s="490"/>
      <c r="D28" s="490"/>
      <c r="E28" s="490"/>
      <c r="F28" s="490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93" t="str">
        <f>+VLOOKUP($A29,Master!$D$25:$G$223,4,FALSE)</f>
        <v>Donacije i transferi</v>
      </c>
      <c r="C29" s="494"/>
      <c r="D29" s="494"/>
      <c r="E29" s="494"/>
      <c r="F29" s="49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5" t="str">
        <f>+VLOOKUP($A30,Master!$D$25:$G$223,4,FALSE)</f>
        <v>Budžetki izdaci</v>
      </c>
      <c r="C30" s="496"/>
      <c r="D30" s="496"/>
      <c r="E30" s="496"/>
      <c r="F30" s="496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97" t="str">
        <f>+VLOOKUP($A31,Master!$D$25:$G$223,4,FALSE)</f>
        <v>Tekući izdaci</v>
      </c>
      <c r="C31" s="498"/>
      <c r="D31" s="498"/>
      <c r="E31" s="498"/>
      <c r="F31" s="49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99" t="str">
        <f>+VLOOKUP($A32,Master!$D$25:$G$223,4,FALSE)</f>
        <v>Tekući budžetski izdaci</v>
      </c>
      <c r="C32" s="500"/>
      <c r="D32" s="500"/>
      <c r="E32" s="500"/>
      <c r="F32" s="500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78" t="str">
        <f>+VLOOKUP($A33,Master!$D$25:$G$223,4,FALSE)</f>
        <v>Bruto zarade i doprinosi na teret poslodavca</v>
      </c>
      <c r="C33" s="479"/>
      <c r="D33" s="479"/>
      <c r="E33" s="479"/>
      <c r="F33" s="47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78" t="str">
        <f>+VLOOKUP($A34,Master!$D$25:$G$223,4,FALSE)</f>
        <v>Ostala lična primanja</v>
      </c>
      <c r="C34" s="479"/>
      <c r="D34" s="479"/>
      <c r="E34" s="479"/>
      <c r="F34" s="47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78" t="str">
        <f>+VLOOKUP($A35,Master!$D$25:$G$223,4,FALSE)</f>
        <v>Rashodi za materijal</v>
      </c>
      <c r="C35" s="479"/>
      <c r="D35" s="479"/>
      <c r="E35" s="479"/>
      <c r="F35" s="47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78" t="str">
        <f>+VLOOKUP($A36,Master!$D$25:$G$223,4,FALSE)</f>
        <v>Rashodi za usluge</v>
      </c>
      <c r="C36" s="479"/>
      <c r="D36" s="479"/>
      <c r="E36" s="479"/>
      <c r="F36" s="47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78" t="str">
        <f>+VLOOKUP($A37,Master!$D$25:$G$223,4,FALSE)</f>
        <v>Rashodi za tekuće održavanje</v>
      </c>
      <c r="C37" s="479"/>
      <c r="D37" s="479"/>
      <c r="E37" s="479"/>
      <c r="F37" s="47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78" t="str">
        <f>+VLOOKUP($A38,Master!$D$25:$G$223,4,FALSE)</f>
        <v>Kamate</v>
      </c>
      <c r="C38" s="479"/>
      <c r="D38" s="479"/>
      <c r="E38" s="479"/>
      <c r="F38" s="47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78" t="str">
        <f>+VLOOKUP($A39,Master!$D$25:$G$223,4,FALSE)</f>
        <v>Renta</v>
      </c>
      <c r="C39" s="479"/>
      <c r="D39" s="479"/>
      <c r="E39" s="479"/>
      <c r="F39" s="47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78" t="str">
        <f>+VLOOKUP($A40,Master!$D$25:$G$223,4,FALSE)</f>
        <v>Subvencije</v>
      </c>
      <c r="C40" s="479"/>
      <c r="D40" s="479"/>
      <c r="E40" s="479"/>
      <c r="F40" s="47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78" t="str">
        <f>+VLOOKUP($A41,Master!$D$25:$G$223,4,FALSE)</f>
        <v>Ostali izdaci</v>
      </c>
      <c r="C41" s="479"/>
      <c r="D41" s="479"/>
      <c r="E41" s="479"/>
      <c r="F41" s="47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78" t="str">
        <f>+VLOOKUP($A42,Master!$D$25:$G$223,4,FALSE)</f>
        <v>Kapitalni izdaci u tekućem budžetu</v>
      </c>
      <c r="C42" s="479"/>
      <c r="D42" s="479"/>
      <c r="E42" s="479"/>
      <c r="F42" s="47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5" t="str">
        <f>+VLOOKUP($A43,Master!$D$25:$G$223,4,FALSE)</f>
        <v>Transferi za socijalnu zaštitu</v>
      </c>
      <c r="C43" s="506"/>
      <c r="D43" s="506"/>
      <c r="E43" s="506"/>
      <c r="F43" s="50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78" t="str">
        <f>+VLOOKUP($A44,Master!$D$25:$G$223,4,FALSE)</f>
        <v>Prava iz oblasti socijalne zaštite</v>
      </c>
      <c r="C44" s="479"/>
      <c r="D44" s="479"/>
      <c r="E44" s="479"/>
      <c r="F44" s="47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78" t="str">
        <f>+VLOOKUP($A45,Master!$D$25:$G$223,4,FALSE)</f>
        <v>Sredstva za tehnološke viškove</v>
      </c>
      <c r="C45" s="479"/>
      <c r="D45" s="479"/>
      <c r="E45" s="479"/>
      <c r="F45" s="47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78" t="str">
        <f>+VLOOKUP($A46,Master!$D$25:$G$223,4,FALSE)</f>
        <v>Prava iz oblasti penzijskog i invalidskog osiguranja</v>
      </c>
      <c r="C46" s="479"/>
      <c r="D46" s="479"/>
      <c r="E46" s="479"/>
      <c r="F46" s="47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78" t="str">
        <f>+VLOOKUP($A47,Master!$D$25:$G$223,4,FALSE)</f>
        <v>Ostala prava iz oblasti zdravstvene zaštite</v>
      </c>
      <c r="C47" s="479"/>
      <c r="D47" s="479"/>
      <c r="E47" s="479"/>
      <c r="F47" s="47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78" t="str">
        <f>+VLOOKUP($A48,Master!$D$25:$G$223,4,FALSE)</f>
        <v>Ostala prava iz zdravstvenog osiguranja</v>
      </c>
      <c r="C48" s="479"/>
      <c r="D48" s="479"/>
      <c r="E48" s="479"/>
      <c r="F48" s="47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1" t="str">
        <f>+VLOOKUP($A49,Master!$D$25:$G$223,4,FALSE)</f>
        <v xml:space="preserve">Transferi institucijama, pojedincima, nevladinom i javnom sektoru </v>
      </c>
      <c r="C49" s="502"/>
      <c r="D49" s="502"/>
      <c r="E49" s="502"/>
      <c r="F49" s="50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1" t="str">
        <f>+VLOOKUP($A50,Master!$D$25:$G$223,4,FALSE)</f>
        <v>Kapitalni budžet</v>
      </c>
      <c r="C50" s="502"/>
      <c r="D50" s="502"/>
      <c r="E50" s="502"/>
      <c r="F50" s="50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3" t="str">
        <f>+VLOOKUP($A51,Master!$D$25:$G$223,4,FALSE)</f>
        <v>Pozajmice i krediti</v>
      </c>
      <c r="C51" s="504"/>
      <c r="D51" s="504"/>
      <c r="E51" s="504"/>
      <c r="F51" s="50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3" t="str">
        <f>+VLOOKUP($A52,Master!$D$25:$G$223,4,FALSE)</f>
        <v>Rezerve</v>
      </c>
      <c r="C52" s="504"/>
      <c r="D52" s="504"/>
      <c r="E52" s="504"/>
      <c r="F52" s="50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70" t="str">
        <f>+VLOOKUP($A53,Master!$D$25:$G$223,4,FALSE)</f>
        <v>Otplata garancija</v>
      </c>
      <c r="C53" s="471"/>
      <c r="D53" s="471"/>
      <c r="E53" s="471"/>
      <c r="F53" s="47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70" t="str">
        <f>+VLOOKUP($A54,Master!$D$25:$G$223,4,FALSE)</f>
        <v>Otplata obaveza iz prethodnih godina</v>
      </c>
      <c r="C54" s="471"/>
      <c r="D54" s="471"/>
      <c r="E54" s="471"/>
      <c r="F54" s="47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70" t="str">
        <f>+VLOOKUP($A55,Master!$D$25:$G$225,4,FALSE)</f>
        <v>Neto povećanje obaveza</v>
      </c>
      <c r="C55" s="471"/>
      <c r="D55" s="471"/>
      <c r="E55" s="471"/>
      <c r="F55" s="47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11" t="str">
        <f>+VLOOKUP($A56,Master!$D$25:$G$223,4,FALSE)</f>
        <v>Suficit / deficit</v>
      </c>
      <c r="C56" s="512"/>
      <c r="D56" s="512"/>
      <c r="E56" s="512"/>
      <c r="F56" s="512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13" t="str">
        <f>+VLOOKUP($A57,Master!$D$25:$G$223,4,FALSE)</f>
        <v>Primarni bilans</v>
      </c>
      <c r="C57" s="514"/>
      <c r="D57" s="514"/>
      <c r="E57" s="514"/>
      <c r="F57" s="514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5" t="str">
        <f>+VLOOKUP($A58,Master!$D$25:$G$223,4,FALSE)</f>
        <v>Otplata dugova</v>
      </c>
      <c r="C58" s="506"/>
      <c r="D58" s="506"/>
      <c r="E58" s="506"/>
      <c r="F58" s="50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09" t="str">
        <f>+VLOOKUP($A59,Master!$D$25:$G$223,4,FALSE)</f>
        <v>Otplata hartija od vrijednosti i kredita rezidentima</v>
      </c>
      <c r="C59" s="510"/>
      <c r="D59" s="510"/>
      <c r="E59" s="510"/>
      <c r="F59" s="51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03" t="str">
        <f>+VLOOKUP($A60,Master!$D$25:$G$223,4,FALSE)</f>
        <v>Otplata hartija od vrijednosti i kredita nerezidentima</v>
      </c>
      <c r="C60" s="504"/>
      <c r="D60" s="504"/>
      <c r="E60" s="504"/>
      <c r="F60" s="50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7" t="str">
        <f>+VLOOKUP($A61,Master!$D$25:$G$223,4,FALSE)</f>
        <v>Nedostajuća sredstva</v>
      </c>
      <c r="C61" s="508"/>
      <c r="D61" s="508"/>
      <c r="E61" s="508"/>
      <c r="F61" s="508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5" t="str">
        <f>+VLOOKUP($A62,Master!$D$25:$G$223,4,FALSE)</f>
        <v>Finansiranje</v>
      </c>
      <c r="C62" s="496"/>
      <c r="D62" s="496"/>
      <c r="E62" s="496"/>
      <c r="F62" s="496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09" t="str">
        <f>+VLOOKUP($A63,Master!$D$25:$G$223,4,FALSE)</f>
        <v>Pozajmice i krediti od domaćih izvora</v>
      </c>
      <c r="C63" s="510"/>
      <c r="D63" s="510"/>
      <c r="E63" s="510"/>
      <c r="F63" s="51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3" t="str">
        <f>+VLOOKUP($A64,Master!$D$25:$G$223,4,FALSE)</f>
        <v>Pozajmice i krediti od inostranih izvora</v>
      </c>
      <c r="C64" s="504"/>
      <c r="D64" s="504"/>
      <c r="E64" s="504"/>
      <c r="F64" s="50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3" t="str">
        <f>+VLOOKUP($A65,Master!$D$25:$G$223,4,FALSE)</f>
        <v>Primici od prodaje imovine</v>
      </c>
      <c r="C65" s="504"/>
      <c r="D65" s="504"/>
      <c r="E65" s="504"/>
      <c r="F65" s="50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69" t="str">
        <f>+Master!G250</f>
        <v>Plan ostvarenja budžeta</v>
      </c>
      <c r="C102" s="450"/>
      <c r="D102" s="450"/>
      <c r="E102" s="450"/>
      <c r="F102" s="450"/>
      <c r="G102" s="458">
        <v>2013</v>
      </c>
      <c r="H102" s="459"/>
      <c r="I102" s="459"/>
      <c r="J102" s="459"/>
      <c r="K102" s="459"/>
      <c r="L102" s="459"/>
      <c r="M102" s="459"/>
      <c r="N102" s="459"/>
      <c r="O102" s="459"/>
      <c r="P102" s="459"/>
      <c r="Q102" s="459"/>
      <c r="R102" s="459"/>
      <c r="S102" s="459"/>
      <c r="T102" s="459"/>
      <c r="U102" s="462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1"/>
      <c r="C103" s="452"/>
      <c r="D103" s="452"/>
      <c r="E103" s="452"/>
      <c r="F103" s="453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58" t="str">
        <f>+Master!G244</f>
        <v>Jan - Dec</v>
      </c>
      <c r="X103" s="462">
        <f>+X8</f>
        <v>0</v>
      </c>
    </row>
    <row r="104" spans="1:24" ht="13.5" thickBot="1">
      <c r="A104" s="170"/>
      <c r="B104" s="454"/>
      <c r="C104" s="455"/>
      <c r="D104" s="455"/>
      <c r="E104" s="455"/>
      <c r="F104" s="456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7" t="str">
        <f>+VLOOKUP(LEFT($A105,LEN(A105)-1)*1,Master!$D$25:$G$223,4,FALSE)</f>
        <v>Prihodi budžeta</v>
      </c>
      <c r="C105" s="418"/>
      <c r="D105" s="418"/>
      <c r="E105" s="418"/>
      <c r="F105" s="418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19" t="str">
        <f>+VLOOKUP(LEFT($A106,LEN(A106)-1)*1,Master!$D$25:$G$223,4,FALSE)</f>
        <v>Porezi</v>
      </c>
      <c r="C106" s="420"/>
      <c r="D106" s="420"/>
      <c r="E106" s="420"/>
      <c r="F106" s="420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1" t="str">
        <f>+VLOOKUP(LEFT($A107,LEN(A107)-1)*1,Master!$D$25:$G$223,4,FALSE)</f>
        <v>Porez na dohodak fizičkih lica</v>
      </c>
      <c r="C107" s="422"/>
      <c r="D107" s="422"/>
      <c r="E107" s="422"/>
      <c r="F107" s="422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1" t="str">
        <f>+VLOOKUP(LEFT($A108,LEN(A108)-1)*1,Master!$D$25:$G$223,4,FALSE)</f>
        <v>Porez na dobit pravnih lica</v>
      </c>
      <c r="C108" s="422"/>
      <c r="D108" s="422"/>
      <c r="E108" s="422"/>
      <c r="F108" s="422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1" t="str">
        <f>+VLOOKUP(LEFT($A109,LEN(A109)-1)*1,Master!$D$25:$G$223,4,FALSE)</f>
        <v>Porez na promet nepokretnosti</v>
      </c>
      <c r="C109" s="422"/>
      <c r="D109" s="422"/>
      <c r="E109" s="422"/>
      <c r="F109" s="422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1" t="str">
        <f>+VLOOKUP(LEFT($A110,LEN(A110)-1)*1,Master!$D$25:$G$223,4,FALSE)</f>
        <v>Porez na dodatu vrijednost</v>
      </c>
      <c r="C110" s="422"/>
      <c r="D110" s="422"/>
      <c r="E110" s="422"/>
      <c r="F110" s="422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1" t="str">
        <f>+VLOOKUP(LEFT($A111,LEN(A111)-1)*1,Master!$D$25:$G$223,4,FALSE)</f>
        <v>Akcize</v>
      </c>
      <c r="C111" s="422"/>
      <c r="D111" s="422"/>
      <c r="E111" s="422"/>
      <c r="F111" s="422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1" t="str">
        <f>+VLOOKUP(LEFT($A112,LEN(A112)-1)*1,Master!$D$25:$G$223,4,FALSE)</f>
        <v>Porez na međunarodnu trgovinu i transakcije</v>
      </c>
      <c r="C112" s="422"/>
      <c r="D112" s="422"/>
      <c r="E112" s="422"/>
      <c r="F112" s="422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1" t="e">
        <f>+VLOOKUP(LEFT($A113,LEN(A113)-1)*1,Master!$D$25:$G$223,4,FALSE)</f>
        <v>#N/A</v>
      </c>
      <c r="C113" s="422"/>
      <c r="D113" s="422"/>
      <c r="E113" s="422"/>
      <c r="F113" s="422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1" t="str">
        <f>+VLOOKUP(LEFT($A114,LEN(A114)-1)*1,Master!$D$25:$G$223,4,FALSE)</f>
        <v>Ostali državni porezi</v>
      </c>
      <c r="C114" s="422"/>
      <c r="D114" s="422"/>
      <c r="E114" s="422"/>
      <c r="F114" s="422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5" t="str">
        <f>+VLOOKUP(LEFT($A115,LEN(A115)-1)*1,Master!$D$25:$G$223,4,FALSE)</f>
        <v>Doprinosi</v>
      </c>
      <c r="C115" s="426"/>
      <c r="D115" s="426"/>
      <c r="E115" s="426"/>
      <c r="F115" s="426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1" t="str">
        <f>+VLOOKUP(LEFT($A116,LEN(A116)-1)*1,Master!$D$25:$G$223,4,FALSE)</f>
        <v>Doprinosi za penzijsko i invalidsko osiguranje</v>
      </c>
      <c r="C116" s="422"/>
      <c r="D116" s="422"/>
      <c r="E116" s="422"/>
      <c r="F116" s="422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1" t="str">
        <f>+VLOOKUP(LEFT($A117,LEN(A117)-1)*1,Master!$D$25:$G$223,4,FALSE)</f>
        <v>Doprinosi za zdravstveno osiguranje</v>
      </c>
      <c r="C117" s="422"/>
      <c r="D117" s="422"/>
      <c r="E117" s="422"/>
      <c r="F117" s="422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1" t="str">
        <f>+VLOOKUP(LEFT($A118,LEN(A118)-1)*1,Master!$D$25:$G$223,4,FALSE)</f>
        <v>Doprinosi za osiguranje od nezaposlenosti</v>
      </c>
      <c r="C118" s="422"/>
      <c r="D118" s="422"/>
      <c r="E118" s="422"/>
      <c r="F118" s="422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1" t="str">
        <f>+VLOOKUP(LEFT($A119,LEN(A119)-1)*1,Master!$D$25:$G$223,4,FALSE)</f>
        <v>Ostali doprinosi</v>
      </c>
      <c r="C119" s="422"/>
      <c r="D119" s="422"/>
      <c r="E119" s="422"/>
      <c r="F119" s="422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3" t="str">
        <f>+VLOOKUP(LEFT($A120,LEN(A120)-1)*1,Master!$D$25:$G$223,4,FALSE)</f>
        <v>Takse</v>
      </c>
      <c r="C120" s="424"/>
      <c r="D120" s="424"/>
      <c r="E120" s="424"/>
      <c r="F120" s="424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3" t="str">
        <f>+VLOOKUP(LEFT($A121,LEN(A121)-1)*1,Master!$D$25:$G$223,4,FALSE)</f>
        <v>Naknade</v>
      </c>
      <c r="C121" s="424"/>
      <c r="D121" s="424"/>
      <c r="E121" s="424"/>
      <c r="F121" s="424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3" t="str">
        <f>+VLOOKUP(LEFT($A122,LEN(A122)-1)*1,Master!$D$25:$G$223,4,FALSE)</f>
        <v>Ostali prihodi</v>
      </c>
      <c r="C122" s="424"/>
      <c r="D122" s="424"/>
      <c r="E122" s="424"/>
      <c r="F122" s="424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3" t="str">
        <f>+VLOOKUP(LEFT($A123,LEN(A123)-1)*1,Master!$D$25:$G$223,4,FALSE)</f>
        <v>Primici od otplate kredita i sredstva prenesena iz prethodne godine</v>
      </c>
      <c r="C123" s="424"/>
      <c r="D123" s="424"/>
      <c r="E123" s="424"/>
      <c r="F123" s="424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7" t="str">
        <f>+VLOOKUP(LEFT($A124,LEN(A124)-1)*1,Master!$D$25:$G$223,4,FALSE)</f>
        <v>Donacije i transferi</v>
      </c>
      <c r="C124" s="428"/>
      <c r="D124" s="428"/>
      <c r="E124" s="428"/>
      <c r="F124" s="428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29" t="str">
        <f>+VLOOKUP(LEFT($A125,LEN(A125)-1)*1,Master!$D$25:$G$223,4,FALSE)</f>
        <v>Budžetki izdaci</v>
      </c>
      <c r="C125" s="430"/>
      <c r="D125" s="430"/>
      <c r="E125" s="430"/>
      <c r="F125" s="430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1" t="str">
        <f>+VLOOKUP(LEFT($A126,LEN(A126)-1)*1,Master!$D$25:$G$223,4,FALSE)</f>
        <v>Tekući izdaci</v>
      </c>
      <c r="C126" s="432"/>
      <c r="D126" s="432"/>
      <c r="E126" s="432"/>
      <c r="F126" s="432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3" t="str">
        <f>+VLOOKUP(LEFT($A127,LEN(A127)-1)*1,Master!$D$25:$G$223,4,FALSE)</f>
        <v>Tekući budžetski izdaci</v>
      </c>
      <c r="C127" s="434"/>
      <c r="D127" s="434"/>
      <c r="E127" s="434"/>
      <c r="F127" s="434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1" t="str">
        <f>+VLOOKUP(LEFT($A128,LEN(A128)-1)*1,Master!$D$25:$G$223,4,FALSE)</f>
        <v>Bruto zarade i doprinosi na teret poslodavca</v>
      </c>
      <c r="C128" s="422"/>
      <c r="D128" s="422"/>
      <c r="E128" s="422"/>
      <c r="F128" s="422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1" t="str">
        <f>+VLOOKUP(LEFT($A129,LEN(A129)-1)*1,Master!$D$25:$G$223,4,FALSE)</f>
        <v>Ostala lična primanja</v>
      </c>
      <c r="C129" s="422"/>
      <c r="D129" s="422"/>
      <c r="E129" s="422"/>
      <c r="F129" s="422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1" t="str">
        <f>+VLOOKUP(LEFT($A130,LEN(A130)-1)*1,Master!$D$25:$G$223,4,FALSE)</f>
        <v>Rashodi za materijal</v>
      </c>
      <c r="C130" s="422"/>
      <c r="D130" s="422"/>
      <c r="E130" s="422"/>
      <c r="F130" s="422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1" t="str">
        <f>+VLOOKUP(LEFT($A131,LEN(A131)-1)*1,Master!$D$25:$G$223,4,FALSE)</f>
        <v>Rashodi za usluge</v>
      </c>
      <c r="C131" s="422"/>
      <c r="D131" s="422"/>
      <c r="E131" s="422"/>
      <c r="F131" s="422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1" t="str">
        <f>+VLOOKUP(LEFT($A132,LEN(A132)-1)*1,Master!$D$25:$G$223,4,FALSE)</f>
        <v>Rashodi za tekuće održavanje</v>
      </c>
      <c r="C132" s="422"/>
      <c r="D132" s="422"/>
      <c r="E132" s="422"/>
      <c r="F132" s="422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1" t="str">
        <f>+VLOOKUP(LEFT($A133,LEN(A133)-1)*1,Master!$D$25:$G$223,4,FALSE)</f>
        <v>Kamate</v>
      </c>
      <c r="C133" s="422"/>
      <c r="D133" s="422"/>
      <c r="E133" s="422"/>
      <c r="F133" s="422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1" t="str">
        <f>+VLOOKUP(LEFT($A134,LEN(A134)-1)*1,Master!$D$25:$G$223,4,FALSE)</f>
        <v>Renta</v>
      </c>
      <c r="C134" s="422"/>
      <c r="D134" s="422"/>
      <c r="E134" s="422"/>
      <c r="F134" s="422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1" t="str">
        <f>+VLOOKUP(LEFT($A135,LEN(A135)-1)*1,Master!$D$25:$G$223,4,FALSE)</f>
        <v>Subvencije</v>
      </c>
      <c r="C135" s="422"/>
      <c r="D135" s="422"/>
      <c r="E135" s="422"/>
      <c r="F135" s="422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1" t="str">
        <f>+VLOOKUP(LEFT($A136,LEN(A136)-1)*1,Master!$D$25:$G$223,4,FALSE)</f>
        <v>Ostali izdaci</v>
      </c>
      <c r="C136" s="422"/>
      <c r="D136" s="422"/>
      <c r="E136" s="422"/>
      <c r="F136" s="422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1" t="str">
        <f>+VLOOKUP(LEFT($A137,LEN(A137)-1)*1,Master!$D$25:$G$223,4,FALSE)</f>
        <v>Kapitalni izdaci u tekućem budžetu</v>
      </c>
      <c r="C137" s="422"/>
      <c r="D137" s="422"/>
      <c r="E137" s="422"/>
      <c r="F137" s="422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7" t="str">
        <f>+VLOOKUP(LEFT($A138,LEN(A138)-1)*1,Master!$D$25:$G$223,4,FALSE)</f>
        <v>Transferi za socijalnu zaštitu</v>
      </c>
      <c r="C138" s="438"/>
      <c r="D138" s="438"/>
      <c r="E138" s="438"/>
      <c r="F138" s="438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1" t="str">
        <f>+VLOOKUP(LEFT($A139,LEN(A139)-1)*1,Master!$D$25:$G$223,4,FALSE)</f>
        <v>Prava iz oblasti socijalne zaštite</v>
      </c>
      <c r="C139" s="422"/>
      <c r="D139" s="422"/>
      <c r="E139" s="422"/>
      <c r="F139" s="422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1" t="str">
        <f>+VLOOKUP(LEFT($A140,LEN(A140)-1)*1,Master!$D$25:$G$223,4,FALSE)</f>
        <v>Sredstva za tehnološke viškove</v>
      </c>
      <c r="C140" s="422"/>
      <c r="D140" s="422"/>
      <c r="E140" s="422"/>
      <c r="F140" s="422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1" t="str">
        <f>+VLOOKUP(LEFT($A141,LEN(A141)-1)*1,Master!$D$25:$G$223,4,FALSE)</f>
        <v>Prava iz oblasti penzijskog i invalidskog osiguranja</v>
      </c>
      <c r="C141" s="422"/>
      <c r="D141" s="422"/>
      <c r="E141" s="422"/>
      <c r="F141" s="422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1" t="str">
        <f>+VLOOKUP(LEFT($A142,LEN(A142)-1)*1,Master!$D$25:$G$223,4,FALSE)</f>
        <v>Ostala prava iz oblasti zdravstvene zaštite</v>
      </c>
      <c r="C142" s="422"/>
      <c r="D142" s="422"/>
      <c r="E142" s="422"/>
      <c r="F142" s="422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1" t="str">
        <f>+VLOOKUP(LEFT($A143,LEN(A143)-1)*1,Master!$D$25:$G$223,4,FALSE)</f>
        <v>Ostala prava iz zdravstvenog osiguranja</v>
      </c>
      <c r="C143" s="422"/>
      <c r="D143" s="422"/>
      <c r="E143" s="422"/>
      <c r="F143" s="422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5" t="str">
        <f>+VLOOKUP(LEFT($A144,LEN(A144)-1)*1,Master!$D$25:$G$223,4,FALSE)</f>
        <v xml:space="preserve">Transferi institucijama, pojedincima, nevladinom i javnom sektoru </v>
      </c>
      <c r="C144" s="436"/>
      <c r="D144" s="436"/>
      <c r="E144" s="436"/>
      <c r="F144" s="436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5" t="str">
        <f>+VLOOKUP(LEFT($A145,LEN(A145)-1)*1,Master!$D$25:$G$223,4,FALSE)</f>
        <v>Kapitalni budžet</v>
      </c>
      <c r="C145" s="436"/>
      <c r="D145" s="436"/>
      <c r="E145" s="436"/>
      <c r="F145" s="436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9" t="str">
        <f>+VLOOKUP(LEFT($A146,LEN(A146)-1)*1,Master!$D$25:$G$223,4,FALSE)</f>
        <v>Pozajmice i krediti</v>
      </c>
      <c r="C146" s="440"/>
      <c r="D146" s="440"/>
      <c r="E146" s="440"/>
      <c r="F146" s="440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9" t="str">
        <f>+VLOOKUP(LEFT($A147,LEN(A147)-1)*1,Master!$D$25:$G$223,4,FALSE)</f>
        <v>Rezerve</v>
      </c>
      <c r="C147" s="440"/>
      <c r="D147" s="440"/>
      <c r="E147" s="440"/>
      <c r="F147" s="440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1" t="str">
        <f>+VLOOKUP(LEFT($A148,LEN(A148)-1)*1,Master!$D$25:$G$223,4,FALSE)</f>
        <v>Otplata garancija</v>
      </c>
      <c r="C148" s="442"/>
      <c r="D148" s="442"/>
      <c r="E148" s="442"/>
      <c r="F148" s="442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3" t="str">
        <f>+VLOOKUP(LEFT($A149,LEN(A149)-1)*1,Master!$D$25:$G$223,4,FALSE)</f>
        <v>Suficit / deficit</v>
      </c>
      <c r="C149" s="444"/>
      <c r="D149" s="444"/>
      <c r="E149" s="444"/>
      <c r="F149" s="444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45" t="str">
        <f>+VLOOKUP(LEFT($A150,LEN(A150)-1)*1,Master!$D$25:$G$223,4,FALSE)</f>
        <v>Primarni bilans</v>
      </c>
      <c r="C150" s="446"/>
      <c r="D150" s="446"/>
      <c r="E150" s="446"/>
      <c r="F150" s="446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7" t="str">
        <f>+VLOOKUP(LEFT($A151,LEN(A151)-1)*1,Master!$D$25:$G$223,4,FALSE)</f>
        <v>Otplata dugova</v>
      </c>
      <c r="C151" s="438"/>
      <c r="D151" s="438"/>
      <c r="E151" s="438"/>
      <c r="F151" s="438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3" t="str">
        <f>+VLOOKUP(LEFT($A152,LEN(A152)-1)*1,Master!$D$25:$G$223,4,FALSE)</f>
        <v>Otplata hartija od vrijednosti i kredita rezidentima</v>
      </c>
      <c r="C152" s="464"/>
      <c r="D152" s="464"/>
      <c r="E152" s="464"/>
      <c r="F152" s="464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9" t="str">
        <f>+VLOOKUP(LEFT($A153,LEN(A153)-1)*1,Master!$D$25:$G$223,4,FALSE)</f>
        <v>Otplata hartija od vrijednosti i kredita nerezidentima</v>
      </c>
      <c r="C153" s="440"/>
      <c r="D153" s="440"/>
      <c r="E153" s="440"/>
      <c r="F153" s="44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1" t="str">
        <f>+VLOOKUP(LEFT($A154,LEN(A154)-1)*1,Master!$D$25:$G$223,4,FALSE)</f>
        <v>Otplata obaveza iz prethodnih godina</v>
      </c>
      <c r="C154" s="442"/>
      <c r="D154" s="442"/>
      <c r="E154" s="442"/>
      <c r="F154" s="442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5" t="str">
        <f>+VLOOKUP(LEFT($A155,LEN(A155)-1)*1,Master!$D$25:$G$223,4,FALSE)</f>
        <v>Nedostajuća sredstva</v>
      </c>
      <c r="C155" s="466"/>
      <c r="D155" s="466"/>
      <c r="E155" s="466"/>
      <c r="F155" s="466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29" t="str">
        <f>+VLOOKUP(LEFT($A156,LEN(A156)-1)*1,Master!$D$25:$G$223,4,FALSE)</f>
        <v>Finansiranje</v>
      </c>
      <c r="C156" s="430"/>
      <c r="D156" s="430"/>
      <c r="E156" s="430"/>
      <c r="F156" s="430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3" t="str">
        <f>+VLOOKUP(LEFT($A157,LEN(A157)-1)*1,Master!$D$25:$G$223,4,FALSE)</f>
        <v>Pozajmice i krediti od domaćih izvora</v>
      </c>
      <c r="C157" s="464"/>
      <c r="D157" s="464"/>
      <c r="E157" s="464"/>
      <c r="F157" s="464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9" t="str">
        <f>+VLOOKUP(LEFT($A158,LEN(A158)-1)*1,Master!$D$25:$G$223,4,FALSE)</f>
        <v>Pozajmice i krediti od inostranih izvora</v>
      </c>
      <c r="C158" s="440"/>
      <c r="D158" s="440"/>
      <c r="E158" s="440"/>
      <c r="F158" s="44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9" t="str">
        <f>+VLOOKUP(LEFT($A159,LEN(A159)-1)*1,Master!$D$25:$G$223,4,FALSE)</f>
        <v>Primici od prodaje imovine</v>
      </c>
      <c r="C159" s="440"/>
      <c r="D159" s="440"/>
      <c r="E159" s="440"/>
      <c r="F159" s="44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80" t="str">
        <f>+Master!G249</f>
        <v>Ostvarenje budžeta</v>
      </c>
      <c r="C7" s="481"/>
      <c r="D7" s="481"/>
      <c r="E7" s="481"/>
      <c r="F7" s="481"/>
      <c r="G7" s="472">
        <v>2013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73"/>
      <c r="S7" s="116" t="str">
        <f>+Master!G246</f>
        <v>BDP</v>
      </c>
      <c r="T7" s="117">
        <v>3393200615</v>
      </c>
    </row>
    <row r="8" spans="1:20" ht="16.5" customHeight="1">
      <c r="B8" s="482"/>
      <c r="C8" s="483"/>
      <c r="D8" s="483"/>
      <c r="E8" s="483"/>
      <c r="F8" s="484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2" t="str">
        <f>+Master!G243</f>
        <v>Jan - Maj</v>
      </c>
      <c r="T8" s="473"/>
    </row>
    <row r="9" spans="1:20" ht="13.5" thickBot="1">
      <c r="B9" s="485"/>
      <c r="C9" s="486"/>
      <c r="D9" s="486"/>
      <c r="E9" s="486"/>
      <c r="F9" s="487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74" t="str">
        <f>+VLOOKUP($A10,Master!$D$25:$G$223,4,FALSE)</f>
        <v>Prihodi budžeta</v>
      </c>
      <c r="C10" s="475"/>
      <c r="D10" s="475"/>
      <c r="E10" s="475"/>
      <c r="F10" s="475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6" t="str">
        <f>+VLOOKUP($A11,Master!$D$25:$G$223,4,FALSE)</f>
        <v>Porezi</v>
      </c>
      <c r="C11" s="477"/>
      <c r="D11" s="477"/>
      <c r="E11" s="477"/>
      <c r="F11" s="477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78" t="str">
        <f>+VLOOKUP($A12,Master!$D$25:$G$223,4,FALSE)</f>
        <v>Porez na dohodak fizičkih lica</v>
      </c>
      <c r="C12" s="479"/>
      <c r="D12" s="479"/>
      <c r="E12" s="479"/>
      <c r="F12" s="47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78" t="str">
        <f>+VLOOKUP($A13,Master!$D$25:$G$223,4,FALSE)</f>
        <v>Porez na dobit pravnih lica</v>
      </c>
      <c r="C13" s="479"/>
      <c r="D13" s="479"/>
      <c r="E13" s="479"/>
      <c r="F13" s="47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78" t="str">
        <f>+VLOOKUP($A14,Master!$D$25:$G$223,4,FALSE)</f>
        <v>Porez na promet nepokretnosti</v>
      </c>
      <c r="C14" s="479"/>
      <c r="D14" s="479"/>
      <c r="E14" s="479"/>
      <c r="F14" s="47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78" t="str">
        <f>+VLOOKUP($A15,Master!$D$25:$G$223,4,FALSE)</f>
        <v>Porez na dodatu vrijednost</v>
      </c>
      <c r="C15" s="479"/>
      <c r="D15" s="479"/>
      <c r="E15" s="479"/>
      <c r="F15" s="47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78" t="str">
        <f>+VLOOKUP($A16,Master!$D$25:$G$223,4,FALSE)</f>
        <v>Akcize</v>
      </c>
      <c r="C16" s="479"/>
      <c r="D16" s="479"/>
      <c r="E16" s="479"/>
      <c r="F16" s="47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78" t="str">
        <f>+VLOOKUP($A17,Master!$D$25:$G$223,4,FALSE)</f>
        <v>Porez na međunarodnu trgovinu i transakcije</v>
      </c>
      <c r="C17" s="479"/>
      <c r="D17" s="479"/>
      <c r="E17" s="479"/>
      <c r="F17" s="47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78" t="e">
        <f>+VLOOKUP($A18,Master!$D$25:$G$223,4,FALSE)</f>
        <v>#N/A</v>
      </c>
      <c r="C18" s="479"/>
      <c r="D18" s="479"/>
      <c r="E18" s="479"/>
      <c r="F18" s="479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78" t="str">
        <f>+VLOOKUP($A19,Master!$D$25:$G$223,4,FALSE)</f>
        <v>Ostali državni porezi</v>
      </c>
      <c r="C19" s="479"/>
      <c r="D19" s="479"/>
      <c r="E19" s="479"/>
      <c r="F19" s="47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1" t="str">
        <f>+VLOOKUP($A20,Master!$D$25:$G$223,4,FALSE)</f>
        <v>Doprinosi</v>
      </c>
      <c r="C20" s="492"/>
      <c r="D20" s="492"/>
      <c r="E20" s="492"/>
      <c r="F20" s="492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78" t="str">
        <f>+VLOOKUP($A21,Master!$D$25:$G$223,4,FALSE)</f>
        <v>Doprinosi za penzijsko i invalidsko osiguranje</v>
      </c>
      <c r="C21" s="479"/>
      <c r="D21" s="479"/>
      <c r="E21" s="479"/>
      <c r="F21" s="47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78" t="str">
        <f>+VLOOKUP($A22,Master!$D$25:$G$223,4,FALSE)</f>
        <v>Doprinosi za zdravstveno osiguranje</v>
      </c>
      <c r="C22" s="479"/>
      <c r="D22" s="479"/>
      <c r="E22" s="479"/>
      <c r="F22" s="47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78" t="str">
        <f>+VLOOKUP($A23,Master!$D$25:$G$223,4,FALSE)</f>
        <v>Doprinosi za osiguranje od nezaposlenosti</v>
      </c>
      <c r="C23" s="479"/>
      <c r="D23" s="479"/>
      <c r="E23" s="479"/>
      <c r="F23" s="47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78" t="str">
        <f>+VLOOKUP($A24,Master!$D$25:$G$223,4,FALSE)</f>
        <v>Ostali doprinosi</v>
      </c>
      <c r="C24" s="479"/>
      <c r="D24" s="479"/>
      <c r="E24" s="479"/>
      <c r="F24" s="47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89" t="str">
        <f>+VLOOKUP($A25,Master!$D$25:$G$223,4,FALSE)</f>
        <v>Takse</v>
      </c>
      <c r="C25" s="490"/>
      <c r="D25" s="490"/>
      <c r="E25" s="490"/>
      <c r="F25" s="490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89" t="str">
        <f>+VLOOKUP($A26,Master!$D$25:$G$223,4,FALSE)</f>
        <v>Naknade</v>
      </c>
      <c r="C26" s="490"/>
      <c r="D26" s="490"/>
      <c r="E26" s="490"/>
      <c r="F26" s="490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89" t="str">
        <f>+VLOOKUP($A27,Master!$D$25:$G$223,4,FALSE)</f>
        <v>Ostali prihodi</v>
      </c>
      <c r="C27" s="490"/>
      <c r="D27" s="490"/>
      <c r="E27" s="490"/>
      <c r="F27" s="490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89" t="str">
        <f>+VLOOKUP($A28,Master!$D$25:$G$223,4,FALSE)</f>
        <v>Primici od otplate kredita i sredstva prenesena iz prethodne godine</v>
      </c>
      <c r="C28" s="490"/>
      <c r="D28" s="490"/>
      <c r="E28" s="490"/>
      <c r="F28" s="490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93" t="str">
        <f>+VLOOKUP($A29,Master!$D$25:$G$223,4,FALSE)</f>
        <v>Donacije i transferi</v>
      </c>
      <c r="C29" s="494"/>
      <c r="D29" s="494"/>
      <c r="E29" s="494"/>
      <c r="F29" s="49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5" t="str">
        <f>+VLOOKUP($A30,Master!$D$25:$G$223,4,FALSE)</f>
        <v>Budžetki izdaci</v>
      </c>
      <c r="C30" s="496"/>
      <c r="D30" s="496"/>
      <c r="E30" s="496"/>
      <c r="F30" s="49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97" t="str">
        <f>+VLOOKUP($A31,Master!$D$25:$G$223,4,FALSE)</f>
        <v>Tekući izdaci</v>
      </c>
      <c r="C31" s="498"/>
      <c r="D31" s="498"/>
      <c r="E31" s="498"/>
      <c r="F31" s="49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99" t="str">
        <f>+VLOOKUP($A32,Master!$D$25:$G$223,4,FALSE)</f>
        <v>Tekući budžetski izdaci</v>
      </c>
      <c r="C32" s="500"/>
      <c r="D32" s="500"/>
      <c r="E32" s="500"/>
      <c r="F32" s="50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78" t="str">
        <f>+VLOOKUP($A33,Master!$D$25:$G$223,4,FALSE)</f>
        <v>Bruto zarade i doprinosi na teret poslodavca</v>
      </c>
      <c r="C33" s="479"/>
      <c r="D33" s="479"/>
      <c r="E33" s="479"/>
      <c r="F33" s="47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78" t="str">
        <f>+VLOOKUP($A34,Master!$D$25:$G$223,4,FALSE)</f>
        <v>Ostala lična primanja</v>
      </c>
      <c r="C34" s="479"/>
      <c r="D34" s="479"/>
      <c r="E34" s="479"/>
      <c r="F34" s="47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78" t="str">
        <f>+VLOOKUP($A35,Master!$D$25:$G$223,4,FALSE)</f>
        <v>Rashodi za materijal</v>
      </c>
      <c r="C35" s="479"/>
      <c r="D35" s="479"/>
      <c r="E35" s="479"/>
      <c r="F35" s="47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78" t="str">
        <f>+VLOOKUP($A36,Master!$D$25:$G$223,4,FALSE)</f>
        <v>Rashodi za usluge</v>
      </c>
      <c r="C36" s="479"/>
      <c r="D36" s="479"/>
      <c r="E36" s="479"/>
      <c r="F36" s="47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78" t="str">
        <f>+VLOOKUP($A37,Master!$D$25:$G$223,4,FALSE)</f>
        <v>Rashodi za tekuće održavanje</v>
      </c>
      <c r="C37" s="479"/>
      <c r="D37" s="479"/>
      <c r="E37" s="479"/>
      <c r="F37" s="47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78" t="str">
        <f>+VLOOKUP($A38,Master!$D$25:$G$223,4,FALSE)</f>
        <v>Kamate</v>
      </c>
      <c r="C38" s="479"/>
      <c r="D38" s="479"/>
      <c r="E38" s="479"/>
      <c r="F38" s="47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78" t="str">
        <f>+VLOOKUP($A39,Master!$D$25:$G$223,4,FALSE)</f>
        <v>Renta</v>
      </c>
      <c r="C39" s="479"/>
      <c r="D39" s="479"/>
      <c r="E39" s="479"/>
      <c r="F39" s="47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78" t="str">
        <f>+VLOOKUP($A40,Master!$D$25:$G$223,4,FALSE)</f>
        <v>Subvencije</v>
      </c>
      <c r="C40" s="479"/>
      <c r="D40" s="479"/>
      <c r="E40" s="479"/>
      <c r="F40" s="47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78" t="str">
        <f>+VLOOKUP($A41,Master!$D$25:$G$223,4,FALSE)</f>
        <v>Ostali izdaci</v>
      </c>
      <c r="C41" s="479"/>
      <c r="D41" s="479"/>
      <c r="E41" s="479"/>
      <c r="F41" s="47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78" t="str">
        <f>+VLOOKUP($A42,Master!$D$25:$G$223,4,FALSE)</f>
        <v>Kapitalni izdaci u tekućem budžetu</v>
      </c>
      <c r="C42" s="479"/>
      <c r="D42" s="479"/>
      <c r="E42" s="479"/>
      <c r="F42" s="47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5" t="str">
        <f>+VLOOKUP($A43,Master!$D$25:$G$223,4,FALSE)</f>
        <v>Transferi za socijalnu zaštitu</v>
      </c>
      <c r="C43" s="506"/>
      <c r="D43" s="506"/>
      <c r="E43" s="506"/>
      <c r="F43" s="50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78" t="str">
        <f>+VLOOKUP($A44,Master!$D$25:$G$223,4,FALSE)</f>
        <v>Prava iz oblasti socijalne zaštite</v>
      </c>
      <c r="C44" s="479"/>
      <c r="D44" s="479"/>
      <c r="E44" s="479"/>
      <c r="F44" s="47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78" t="str">
        <f>+VLOOKUP($A45,Master!$D$25:$G$223,4,FALSE)</f>
        <v>Sredstva za tehnološke viškove</v>
      </c>
      <c r="C45" s="479"/>
      <c r="D45" s="479"/>
      <c r="E45" s="479"/>
      <c r="F45" s="47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78" t="str">
        <f>+VLOOKUP($A46,Master!$D$25:$G$223,4,FALSE)</f>
        <v>Prava iz oblasti penzijskog i invalidskog osiguranja</v>
      </c>
      <c r="C46" s="479"/>
      <c r="D46" s="479"/>
      <c r="E46" s="479"/>
      <c r="F46" s="47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78" t="str">
        <f>+VLOOKUP($A47,Master!$D$25:$G$223,4,FALSE)</f>
        <v>Ostala prava iz oblasti zdravstvene zaštite</v>
      </c>
      <c r="C47" s="479"/>
      <c r="D47" s="479"/>
      <c r="E47" s="479"/>
      <c r="F47" s="47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78" t="str">
        <f>+VLOOKUP($A48,Master!$D$25:$G$223,4,FALSE)</f>
        <v>Ostala prava iz zdravstvenog osiguranja</v>
      </c>
      <c r="C48" s="479"/>
      <c r="D48" s="479"/>
      <c r="E48" s="479"/>
      <c r="F48" s="47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1" t="str">
        <f>+VLOOKUP($A49,Master!$D$25:$G$223,4,FALSE)</f>
        <v xml:space="preserve">Transferi institucijama, pojedincima, nevladinom i javnom sektoru </v>
      </c>
      <c r="C49" s="502"/>
      <c r="D49" s="502"/>
      <c r="E49" s="502"/>
      <c r="F49" s="50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1" t="str">
        <f>+VLOOKUP($A50,Master!$D$25:$G$223,4,FALSE)</f>
        <v>Kapitalni budžet</v>
      </c>
      <c r="C50" s="502"/>
      <c r="D50" s="502"/>
      <c r="E50" s="502"/>
      <c r="F50" s="50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3" t="str">
        <f>+VLOOKUP($A51,Master!$D$25:$G$223,4,FALSE)</f>
        <v>Pozajmice i krediti</v>
      </c>
      <c r="C51" s="504"/>
      <c r="D51" s="504"/>
      <c r="E51" s="504"/>
      <c r="F51" s="50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3" t="str">
        <f>+VLOOKUP($A52,Master!$D$25:$G$223,4,FALSE)</f>
        <v>Rezerve</v>
      </c>
      <c r="C52" s="504"/>
      <c r="D52" s="504"/>
      <c r="E52" s="504"/>
      <c r="F52" s="50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70" t="str">
        <f>+VLOOKUP($A53,Master!$D$25:$G$223,4,FALSE)</f>
        <v>Otplata garancija</v>
      </c>
      <c r="C53" s="471"/>
      <c r="D53" s="471"/>
      <c r="E53" s="471"/>
      <c r="F53" s="47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11" t="str">
        <f>+VLOOKUP($A54,Master!$D$25:$G$223,4,FALSE)</f>
        <v>Suficit / deficit</v>
      </c>
      <c r="C54" s="512"/>
      <c r="D54" s="512"/>
      <c r="E54" s="512"/>
      <c r="F54" s="512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13" t="str">
        <f>+VLOOKUP($A55,Master!$D$25:$G$223,4,FALSE)</f>
        <v>Primarni bilans</v>
      </c>
      <c r="C55" s="514"/>
      <c r="D55" s="514"/>
      <c r="E55" s="514"/>
      <c r="F55" s="514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5" t="str">
        <f>+VLOOKUP($A56,Master!$D$25:$G$223,4,FALSE)</f>
        <v>Otplata dugova</v>
      </c>
      <c r="C56" s="506"/>
      <c r="D56" s="506"/>
      <c r="E56" s="506"/>
      <c r="F56" s="50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09" t="str">
        <f>+VLOOKUP($A57,Master!$D$25:$G$223,4,FALSE)</f>
        <v>Otplata hartija od vrijednosti i kredita rezidentima</v>
      </c>
      <c r="C57" s="510"/>
      <c r="D57" s="510"/>
      <c r="E57" s="510"/>
      <c r="F57" s="51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3" t="str">
        <f>+VLOOKUP($A58,Master!$D$25:$G$223,4,FALSE)</f>
        <v>Otplata hartija od vrijednosti i kredita nerezidentima</v>
      </c>
      <c r="C58" s="504"/>
      <c r="D58" s="504"/>
      <c r="E58" s="504"/>
      <c r="F58" s="50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70" t="str">
        <f>+VLOOKUP($A59,Master!$D$25:$G$223,4,FALSE)</f>
        <v>Otplata obaveza iz prethodnih godina</v>
      </c>
      <c r="C59" s="471"/>
      <c r="D59" s="471"/>
      <c r="E59" s="471"/>
      <c r="F59" s="47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7" t="str">
        <f>+VLOOKUP($A60,Master!$D$25:$G$223,4,FALSE)</f>
        <v>Nedostajuća sredstva</v>
      </c>
      <c r="C60" s="508"/>
      <c r="D60" s="508"/>
      <c r="E60" s="508"/>
      <c r="F60" s="508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5" t="str">
        <f>+VLOOKUP($A61,Master!$D$25:$G$223,4,FALSE)</f>
        <v>Finansiranje</v>
      </c>
      <c r="C61" s="496"/>
      <c r="D61" s="496"/>
      <c r="E61" s="496"/>
      <c r="F61" s="496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09" t="str">
        <f>+VLOOKUP($A62,Master!$D$25:$G$223,4,FALSE)</f>
        <v>Pozajmice i krediti od domaćih izvora</v>
      </c>
      <c r="C62" s="510"/>
      <c r="D62" s="510"/>
      <c r="E62" s="510"/>
      <c r="F62" s="51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3" t="str">
        <f>+VLOOKUP($A63,Master!$D$25:$G$223,4,FALSE)</f>
        <v>Pozajmice i krediti od inostranih izvora</v>
      </c>
      <c r="C63" s="504"/>
      <c r="D63" s="504"/>
      <c r="E63" s="504"/>
      <c r="F63" s="50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3" t="str">
        <f>+VLOOKUP($A64,Master!$D$25:$G$223,4,FALSE)</f>
        <v>Primici od prodaje imovine</v>
      </c>
      <c r="C64" s="504"/>
      <c r="D64" s="504"/>
      <c r="E64" s="504"/>
      <c r="F64" s="50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69" t="str">
        <f>+Master!G250</f>
        <v>Plan ostvarenja budžeta</v>
      </c>
      <c r="C101" s="450"/>
      <c r="D101" s="450"/>
      <c r="E101" s="450"/>
      <c r="F101" s="450"/>
      <c r="G101" s="458">
        <v>2014</v>
      </c>
      <c r="H101" s="459"/>
      <c r="I101" s="459"/>
      <c r="J101" s="459"/>
      <c r="K101" s="459"/>
      <c r="L101" s="459"/>
      <c r="M101" s="459"/>
      <c r="N101" s="459"/>
      <c r="O101" s="459"/>
      <c r="P101" s="459"/>
      <c r="Q101" s="459"/>
      <c r="R101" s="462"/>
      <c r="S101" s="261" t="str">
        <f>+S7</f>
        <v>BDP</v>
      </c>
      <c r="T101" s="262">
        <v>3393200615</v>
      </c>
    </row>
    <row r="102" spans="1:20" ht="15.75" customHeight="1">
      <c r="A102" s="170"/>
      <c r="B102" s="451"/>
      <c r="C102" s="452"/>
      <c r="D102" s="452"/>
      <c r="E102" s="452"/>
      <c r="F102" s="453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58" t="str">
        <f>+Master!G244</f>
        <v>Jan - Dec</v>
      </c>
      <c r="T102" s="462">
        <f t="shared" si="16"/>
        <v>0</v>
      </c>
    </row>
    <row r="103" spans="1:20" ht="13.5" thickBot="1">
      <c r="A103" s="170"/>
      <c r="B103" s="454"/>
      <c r="C103" s="455"/>
      <c r="D103" s="455"/>
      <c r="E103" s="455"/>
      <c r="F103" s="456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7" t="str">
        <f>+VLOOKUP(LEFT($A104,LEN(A104)-1)*1,Master!$D$25:$G$223,4,FALSE)</f>
        <v>Prihodi budžeta</v>
      </c>
      <c r="C104" s="418"/>
      <c r="D104" s="418"/>
      <c r="E104" s="418"/>
      <c r="F104" s="418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19" t="str">
        <f>+VLOOKUP(LEFT($A105,LEN(A105)-1)*1,Master!$D$25:$G$223,4,FALSE)</f>
        <v>Porezi</v>
      </c>
      <c r="C105" s="420"/>
      <c r="D105" s="420"/>
      <c r="E105" s="420"/>
      <c r="F105" s="420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1" t="str">
        <f>+VLOOKUP(LEFT($A106,LEN(A106)-1)*1,Master!$D$25:$G$223,4,FALSE)</f>
        <v>Porez na dohodak fizičkih lica</v>
      </c>
      <c r="C106" s="422"/>
      <c r="D106" s="422"/>
      <c r="E106" s="422"/>
      <c r="F106" s="422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1" t="str">
        <f>+VLOOKUP(LEFT($A107,LEN(A107)-1)*1,Master!$D$25:$G$223,4,FALSE)</f>
        <v>Porez na dobit pravnih lica</v>
      </c>
      <c r="C107" s="422"/>
      <c r="D107" s="422"/>
      <c r="E107" s="422"/>
      <c r="F107" s="422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1" t="str">
        <f>+VLOOKUP(LEFT($A108,LEN(A108)-1)*1,Master!$D$25:$G$223,4,FALSE)</f>
        <v>Porez na promet nepokretnosti</v>
      </c>
      <c r="C108" s="422"/>
      <c r="D108" s="422"/>
      <c r="E108" s="422"/>
      <c r="F108" s="422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1" t="str">
        <f>+VLOOKUP(LEFT($A109,LEN(A109)-1)*1,Master!$D$25:$G$223,4,FALSE)</f>
        <v>Porez na dodatu vrijednost</v>
      </c>
      <c r="C109" s="422"/>
      <c r="D109" s="422"/>
      <c r="E109" s="422"/>
      <c r="F109" s="422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1" t="str">
        <f>+VLOOKUP(LEFT($A110,LEN(A110)-1)*1,Master!$D$25:$G$223,4,FALSE)</f>
        <v>Akcize</v>
      </c>
      <c r="C110" s="422"/>
      <c r="D110" s="422"/>
      <c r="E110" s="422"/>
      <c r="F110" s="422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1" t="str">
        <f>+VLOOKUP(LEFT($A111,LEN(A111)-1)*1,Master!$D$25:$G$223,4,FALSE)</f>
        <v>Porez na međunarodnu trgovinu i transakcije</v>
      </c>
      <c r="C111" s="422"/>
      <c r="D111" s="422"/>
      <c r="E111" s="422"/>
      <c r="F111" s="422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1" t="e">
        <f>+VLOOKUP(LEFT($A112,LEN(A112)-1)*1,Master!$D$25:$G$223,4,FALSE)</f>
        <v>#N/A</v>
      </c>
      <c r="C112" s="422"/>
      <c r="D112" s="422"/>
      <c r="E112" s="422"/>
      <c r="F112" s="422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1" t="str">
        <f>+VLOOKUP(LEFT($A113,LEN(A113)-1)*1,Master!$D$25:$G$223,4,FALSE)</f>
        <v>Ostali državni porezi</v>
      </c>
      <c r="C113" s="422"/>
      <c r="D113" s="422"/>
      <c r="E113" s="422"/>
      <c r="F113" s="422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5" t="str">
        <f>+VLOOKUP(LEFT($A114,LEN(A114)-1)*1,Master!$D$25:$G$223,4,FALSE)</f>
        <v>Doprinosi</v>
      </c>
      <c r="C114" s="426"/>
      <c r="D114" s="426"/>
      <c r="E114" s="426"/>
      <c r="F114" s="426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1" t="str">
        <f>+VLOOKUP(LEFT($A115,LEN(A115)-1)*1,Master!$D$25:$G$223,4,FALSE)</f>
        <v>Doprinosi za penzijsko i invalidsko osiguranje</v>
      </c>
      <c r="C115" s="422"/>
      <c r="D115" s="422"/>
      <c r="E115" s="422"/>
      <c r="F115" s="422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1" t="str">
        <f>+VLOOKUP(LEFT($A116,LEN(A116)-1)*1,Master!$D$25:$G$223,4,FALSE)</f>
        <v>Doprinosi za zdravstveno osiguranje</v>
      </c>
      <c r="C116" s="422"/>
      <c r="D116" s="422"/>
      <c r="E116" s="422"/>
      <c r="F116" s="422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1" t="str">
        <f>+VLOOKUP(LEFT($A117,LEN(A117)-1)*1,Master!$D$25:$G$223,4,FALSE)</f>
        <v>Doprinosi za osiguranje od nezaposlenosti</v>
      </c>
      <c r="C117" s="422"/>
      <c r="D117" s="422"/>
      <c r="E117" s="422"/>
      <c r="F117" s="422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1" t="str">
        <f>+VLOOKUP(LEFT($A118,LEN(A118)-1)*1,Master!$D$25:$G$223,4,FALSE)</f>
        <v>Ostali doprinosi</v>
      </c>
      <c r="C118" s="422"/>
      <c r="D118" s="422"/>
      <c r="E118" s="422"/>
      <c r="F118" s="422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3" t="str">
        <f>+VLOOKUP(LEFT($A119,LEN(A119)-1)*1,Master!$D$25:$G$223,4,FALSE)</f>
        <v>Takse</v>
      </c>
      <c r="C119" s="424"/>
      <c r="D119" s="424"/>
      <c r="E119" s="424"/>
      <c r="F119" s="424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3" t="str">
        <f>+VLOOKUP(LEFT($A120,LEN(A120)-1)*1,Master!$D$25:$G$223,4,FALSE)</f>
        <v>Naknade</v>
      </c>
      <c r="C120" s="424"/>
      <c r="D120" s="424"/>
      <c r="E120" s="424"/>
      <c r="F120" s="424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3" t="str">
        <f>+VLOOKUP(LEFT($A121,LEN(A121)-1)*1,Master!$D$25:$G$223,4,FALSE)</f>
        <v>Ostali prihodi</v>
      </c>
      <c r="C121" s="424"/>
      <c r="D121" s="424"/>
      <c r="E121" s="424"/>
      <c r="F121" s="424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3" t="str">
        <f>+VLOOKUP(LEFT($A122,LEN(A122)-1)*1,Master!$D$25:$G$223,4,FALSE)</f>
        <v>Primici od otplate kredita i sredstva prenesena iz prethodne godine</v>
      </c>
      <c r="C122" s="424"/>
      <c r="D122" s="424"/>
      <c r="E122" s="424"/>
      <c r="F122" s="424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7" t="str">
        <f>+VLOOKUP(LEFT($A123,LEN(A123)-1)*1,Master!$D$25:$G$223,4,FALSE)</f>
        <v>Donacije i transferi</v>
      </c>
      <c r="C123" s="428"/>
      <c r="D123" s="428"/>
      <c r="E123" s="428"/>
      <c r="F123" s="428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29" t="str">
        <f>+VLOOKUP(LEFT($A124,LEN(A124)-1)*1,Master!$D$25:$G$223,4,FALSE)</f>
        <v>Budžetki izdaci</v>
      </c>
      <c r="C124" s="430"/>
      <c r="D124" s="430"/>
      <c r="E124" s="430"/>
      <c r="F124" s="43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1" t="str">
        <f>+VLOOKUP(LEFT($A125,LEN(A125)-1)*1,Master!$D$25:$G$223,4,FALSE)</f>
        <v>Tekući izdaci</v>
      </c>
      <c r="C125" s="432"/>
      <c r="D125" s="432"/>
      <c r="E125" s="432"/>
      <c r="F125" s="432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3" t="str">
        <f>+VLOOKUP(LEFT($A126,LEN(A126)-1)*1,Master!$D$25:$G$223,4,FALSE)</f>
        <v>Tekući budžetski izdaci</v>
      </c>
      <c r="C126" s="434"/>
      <c r="D126" s="434"/>
      <c r="E126" s="434"/>
      <c r="F126" s="434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1" t="str">
        <f>+VLOOKUP(LEFT($A127,LEN(A127)-1)*1,Master!$D$25:$G$223,4,FALSE)</f>
        <v>Bruto zarade i doprinosi na teret poslodavca</v>
      </c>
      <c r="C127" s="422"/>
      <c r="D127" s="422"/>
      <c r="E127" s="422"/>
      <c r="F127" s="422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1" t="str">
        <f>+VLOOKUP(LEFT($A128,LEN(A128)-1)*1,Master!$D$25:$G$223,4,FALSE)</f>
        <v>Ostala lična primanja</v>
      </c>
      <c r="C128" s="422"/>
      <c r="D128" s="422"/>
      <c r="E128" s="422"/>
      <c r="F128" s="422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1" t="str">
        <f>+VLOOKUP(LEFT($A129,LEN(A129)-1)*1,Master!$D$25:$G$223,4,FALSE)</f>
        <v>Rashodi za materijal</v>
      </c>
      <c r="C129" s="422"/>
      <c r="D129" s="422"/>
      <c r="E129" s="422"/>
      <c r="F129" s="422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1" t="str">
        <f>+VLOOKUP(LEFT($A130,LEN(A130)-1)*1,Master!$D$25:$G$223,4,FALSE)</f>
        <v>Rashodi za usluge</v>
      </c>
      <c r="C130" s="422"/>
      <c r="D130" s="422"/>
      <c r="E130" s="422"/>
      <c r="F130" s="422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1" t="str">
        <f>+VLOOKUP(LEFT($A131,LEN(A131)-1)*1,Master!$D$25:$G$223,4,FALSE)</f>
        <v>Rashodi za tekuće održavanje</v>
      </c>
      <c r="C131" s="422"/>
      <c r="D131" s="422"/>
      <c r="E131" s="422"/>
      <c r="F131" s="422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1" t="str">
        <f>+VLOOKUP(LEFT($A132,LEN(A132)-1)*1,Master!$D$25:$G$223,4,FALSE)</f>
        <v>Kamate</v>
      </c>
      <c r="C132" s="422"/>
      <c r="D132" s="422"/>
      <c r="E132" s="422"/>
      <c r="F132" s="422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1" t="str">
        <f>+VLOOKUP(LEFT($A133,LEN(A133)-1)*1,Master!$D$25:$G$223,4,FALSE)</f>
        <v>Renta</v>
      </c>
      <c r="C133" s="422"/>
      <c r="D133" s="422"/>
      <c r="E133" s="422"/>
      <c r="F133" s="422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1" t="str">
        <f>+VLOOKUP(LEFT($A134,LEN(A134)-1)*1,Master!$D$25:$G$223,4,FALSE)</f>
        <v>Subvencije</v>
      </c>
      <c r="C134" s="422"/>
      <c r="D134" s="422"/>
      <c r="E134" s="422"/>
      <c r="F134" s="422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1" t="str">
        <f>+VLOOKUP(LEFT($A135,LEN(A135)-1)*1,Master!$D$25:$G$223,4,FALSE)</f>
        <v>Ostali izdaci</v>
      </c>
      <c r="C135" s="422"/>
      <c r="D135" s="422"/>
      <c r="E135" s="422"/>
      <c r="F135" s="422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1" t="str">
        <f>+VLOOKUP(LEFT($A136,LEN(A136)-1)*1,Master!$D$25:$G$223,4,FALSE)</f>
        <v>Kapitalni izdaci u tekućem budžetu</v>
      </c>
      <c r="C136" s="422"/>
      <c r="D136" s="422"/>
      <c r="E136" s="422"/>
      <c r="F136" s="422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7" t="str">
        <f>+VLOOKUP(LEFT($A137,LEN(A137)-1)*1,Master!$D$25:$G$223,4,FALSE)</f>
        <v>Transferi za socijalnu zaštitu</v>
      </c>
      <c r="C137" s="438"/>
      <c r="D137" s="438"/>
      <c r="E137" s="438"/>
      <c r="F137" s="438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1" t="str">
        <f>+VLOOKUP(LEFT($A138,LEN(A138)-1)*1,Master!$D$25:$G$223,4,FALSE)</f>
        <v>Prava iz oblasti socijalne zaštite</v>
      </c>
      <c r="C138" s="422"/>
      <c r="D138" s="422"/>
      <c r="E138" s="422"/>
      <c r="F138" s="422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1" t="str">
        <f>+VLOOKUP(LEFT($A139,LEN(A139)-1)*1,Master!$D$25:$G$223,4,FALSE)</f>
        <v>Sredstva za tehnološke viškove</v>
      </c>
      <c r="C139" s="422"/>
      <c r="D139" s="422"/>
      <c r="E139" s="422"/>
      <c r="F139" s="422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1" t="str">
        <f>+VLOOKUP(LEFT($A140,LEN(A140)-1)*1,Master!$D$25:$G$223,4,FALSE)</f>
        <v>Prava iz oblasti penzijskog i invalidskog osiguranja</v>
      </c>
      <c r="C140" s="422"/>
      <c r="D140" s="422"/>
      <c r="E140" s="422"/>
      <c r="F140" s="422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1" t="str">
        <f>+VLOOKUP(LEFT($A141,LEN(A141)-1)*1,Master!$D$25:$G$223,4,FALSE)</f>
        <v>Ostala prava iz oblasti zdravstvene zaštite</v>
      </c>
      <c r="C141" s="422"/>
      <c r="D141" s="422"/>
      <c r="E141" s="422"/>
      <c r="F141" s="422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1" t="str">
        <f>+VLOOKUP(LEFT($A142,LEN(A142)-1)*1,Master!$D$25:$G$223,4,FALSE)</f>
        <v>Ostala prava iz zdravstvenog osiguranja</v>
      </c>
      <c r="C142" s="422"/>
      <c r="D142" s="422"/>
      <c r="E142" s="422"/>
      <c r="F142" s="422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5" t="str">
        <f>+VLOOKUP(LEFT($A143,LEN(A143)-1)*1,Master!$D$25:$G$223,4,FALSE)</f>
        <v xml:space="preserve">Transferi institucijama, pojedincima, nevladinom i javnom sektoru </v>
      </c>
      <c r="C143" s="436"/>
      <c r="D143" s="436"/>
      <c r="E143" s="436"/>
      <c r="F143" s="436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5" t="str">
        <f>+VLOOKUP(LEFT($A144,LEN(A144)-1)*1,Master!$D$25:$G$223,4,FALSE)</f>
        <v>Kapitalni budžet</v>
      </c>
      <c r="C144" s="436"/>
      <c r="D144" s="436"/>
      <c r="E144" s="436"/>
      <c r="F144" s="436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9" t="str">
        <f>+VLOOKUP(LEFT($A145,LEN(A145)-1)*1,Master!$D$25:$G$223,4,FALSE)</f>
        <v>Pozajmice i krediti</v>
      </c>
      <c r="C145" s="440"/>
      <c r="D145" s="440"/>
      <c r="E145" s="440"/>
      <c r="F145" s="440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9" t="str">
        <f>+VLOOKUP(LEFT($A146,LEN(A146)-1)*1,Master!$D$25:$G$223,4,FALSE)</f>
        <v>Rezerve</v>
      </c>
      <c r="C146" s="440"/>
      <c r="D146" s="440"/>
      <c r="E146" s="440"/>
      <c r="F146" s="440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1" t="str">
        <f>+VLOOKUP(LEFT($A147,LEN(A147)-1)*1,Master!$D$25:$G$223,4,FALSE)</f>
        <v>Otplata garancija</v>
      </c>
      <c r="C147" s="442"/>
      <c r="D147" s="442"/>
      <c r="E147" s="442"/>
      <c r="F147" s="442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3" t="str">
        <f>+VLOOKUP(LEFT($A148,LEN(A148)-1)*1,Master!$D$25:$G$223,4,FALSE)</f>
        <v>Suficit / deficit</v>
      </c>
      <c r="C148" s="444"/>
      <c r="D148" s="444"/>
      <c r="E148" s="444"/>
      <c r="F148" s="444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45" t="str">
        <f>+VLOOKUP(LEFT($A149,LEN(A149)-1)*1,Master!$D$25:$G$223,4,FALSE)</f>
        <v>Primarni bilans</v>
      </c>
      <c r="C149" s="446"/>
      <c r="D149" s="446"/>
      <c r="E149" s="446"/>
      <c r="F149" s="446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7" t="str">
        <f>+VLOOKUP(LEFT($A150,LEN(A150)-1)*1,Master!$D$25:$G$223,4,FALSE)</f>
        <v>Otplata dugova</v>
      </c>
      <c r="C150" s="438"/>
      <c r="D150" s="438"/>
      <c r="E150" s="438"/>
      <c r="F150" s="438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3" t="str">
        <f>+VLOOKUP(LEFT($A151,LEN(A151)-1)*1,Master!$D$25:$G$223,4,FALSE)</f>
        <v>Otplata hartija od vrijednosti i kredita rezidentima</v>
      </c>
      <c r="C151" s="464"/>
      <c r="D151" s="464"/>
      <c r="E151" s="464"/>
      <c r="F151" s="464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9" t="str">
        <f>+VLOOKUP(LEFT($A152,LEN(A152)-1)*1,Master!$D$25:$G$223,4,FALSE)</f>
        <v>Otplata hartija od vrijednosti i kredita nerezidentima</v>
      </c>
      <c r="C152" s="440"/>
      <c r="D152" s="440"/>
      <c r="E152" s="440"/>
      <c r="F152" s="44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1" t="str">
        <f>+VLOOKUP(LEFT($A153,LEN(A153)-1)*1,Master!$D$25:$G$223,4,FALSE)</f>
        <v>Otplata obaveza iz prethodnih godina</v>
      </c>
      <c r="C153" s="442"/>
      <c r="D153" s="442"/>
      <c r="E153" s="442"/>
      <c r="F153" s="442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5" t="str">
        <f>+VLOOKUP(LEFT($A154,LEN(A154)-1)*1,Master!$D$25:$G$223,4,FALSE)</f>
        <v>Nedostajuća sredstva</v>
      </c>
      <c r="C154" s="466"/>
      <c r="D154" s="466"/>
      <c r="E154" s="466"/>
      <c r="F154" s="466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29" t="str">
        <f>+VLOOKUP(LEFT($A155,LEN(A155)-1)*1,Master!$D$25:$G$223,4,FALSE)</f>
        <v>Finansiranje</v>
      </c>
      <c r="C155" s="430"/>
      <c r="D155" s="430"/>
      <c r="E155" s="430"/>
      <c r="F155" s="430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3" t="str">
        <f>+VLOOKUP(LEFT($A156,LEN(A156)-1)*1,Master!$D$25:$G$223,4,FALSE)</f>
        <v>Pozajmice i krediti od domaćih izvora</v>
      </c>
      <c r="C156" s="464"/>
      <c r="D156" s="464"/>
      <c r="E156" s="464"/>
      <c r="F156" s="464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9" t="str">
        <f>+VLOOKUP(LEFT($A157,LEN(A157)-1)*1,Master!$D$25:$G$223,4,FALSE)</f>
        <v>Pozajmice i krediti od inostranih izvora</v>
      </c>
      <c r="C157" s="440"/>
      <c r="D157" s="440"/>
      <c r="E157" s="440"/>
      <c r="F157" s="44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9" t="str">
        <f>+VLOOKUP(LEFT($A158,LEN(A158)-1)*1,Master!$D$25:$G$223,4,FALSE)</f>
        <v>Primici od prodaje imovine</v>
      </c>
      <c r="C158" s="440"/>
      <c r="D158" s="440"/>
      <c r="E158" s="440"/>
      <c r="F158" s="44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Tatjana Minic</cp:lastModifiedBy>
  <cp:lastPrinted>2017-06-30T10:06:42Z</cp:lastPrinted>
  <dcterms:created xsi:type="dcterms:W3CDTF">2014-09-15T13:41:17Z</dcterms:created>
  <dcterms:modified xsi:type="dcterms:W3CDTF">2017-06-30T10:59:55Z</dcterms:modified>
</cp:coreProperties>
</file>