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9510" windowHeight="3375"/>
  </bookViews>
  <sheets>
    <sheet name="ANDRIJEVICA" sheetId="1" r:id="rId1"/>
    <sheet name="BAR" sheetId="2" r:id="rId2"/>
    <sheet name="BERANE" sheetId="3" r:id="rId3"/>
    <sheet name="BIJELO POLJE" sheetId="4" r:id="rId4"/>
    <sheet name="BUDVA" sheetId="5" r:id="rId5"/>
    <sheet name="CETINJE" sheetId="6" r:id="rId6"/>
    <sheet name="DANILOVGRAD" sheetId="7" r:id="rId7"/>
    <sheet name="HERCEG NOVI" sheetId="8" r:id="rId8"/>
    <sheet name="KOLAŠIN" sheetId="9" r:id="rId9"/>
    <sheet name="KOTOR" sheetId="10" r:id="rId10"/>
    <sheet name="MOJKOVAC" sheetId="11" r:id="rId11"/>
    <sheet name="NIKŠIĆ" sheetId="12" r:id="rId12"/>
    <sheet name="PETNJICA" sheetId="13" r:id="rId13"/>
    <sheet name="PLAV" sheetId="14" r:id="rId14"/>
    <sheet name="PLUŽINE" sheetId="15" r:id="rId15"/>
    <sheet name="PLJEVLJA" sheetId="16" r:id="rId16"/>
    <sheet name="PODGORICA" sheetId="17" r:id="rId17"/>
    <sheet name="ROŽAJE" sheetId="18" r:id="rId18"/>
    <sheet name="ŠAVNIK" sheetId="19" r:id="rId19"/>
    <sheet name="TIVAT" sheetId="20" r:id="rId20"/>
    <sheet name="ULCINJ" sheetId="21" r:id="rId21"/>
    <sheet name="ŽABLJAK" sheetId="22" r:id="rId22"/>
    <sheet name="CRNA GORA" sheetId="23" r:id="rId23"/>
  </sheets>
  <externalReferences>
    <externalReference r:id="rId24"/>
  </externalReferences>
  <calcPr calcId="124519"/>
</workbook>
</file>

<file path=xl/calcChain.xml><?xml version="1.0" encoding="utf-8"?>
<calcChain xmlns="http://schemas.openxmlformats.org/spreadsheetml/2006/main">
  <c r="Q7" i="6"/>
  <c r="R7"/>
  <c r="S7"/>
  <c r="T7"/>
  <c r="U7"/>
  <c r="V7"/>
  <c r="W7"/>
  <c r="X7"/>
  <c r="Y7"/>
  <c r="Z7"/>
  <c r="AA7"/>
  <c r="AB7"/>
  <c r="AC7" s="1"/>
  <c r="Q8"/>
  <c r="R8"/>
  <c r="S8"/>
  <c r="T8"/>
  <c r="U8"/>
  <c r="V8"/>
  <c r="W8"/>
  <c r="X8"/>
  <c r="Y8"/>
  <c r="Z8"/>
  <c r="AA8"/>
  <c r="AB8"/>
  <c r="AC8" s="1"/>
  <c r="Q9"/>
  <c r="R9"/>
  <c r="S9"/>
  <c r="T9"/>
  <c r="U9"/>
  <c r="V9"/>
  <c r="W9"/>
  <c r="X9"/>
  <c r="Y9"/>
  <c r="Z9"/>
  <c r="AA9"/>
  <c r="AB9"/>
  <c r="AC9"/>
  <c r="N7" i="23"/>
  <c r="M7"/>
  <c r="L7"/>
  <c r="K7"/>
  <c r="J7"/>
  <c r="I7"/>
  <c r="H7"/>
  <c r="G7"/>
  <c r="F7"/>
  <c r="E7"/>
  <c r="D7"/>
  <c r="C7"/>
  <c r="B7"/>
  <c r="N6"/>
  <c r="N8" s="1"/>
  <c r="M6"/>
  <c r="M8" s="1"/>
  <c r="L6"/>
  <c r="L8" s="1"/>
  <c r="K6"/>
  <c r="K8" s="1"/>
  <c r="J6"/>
  <c r="J8" s="1"/>
  <c r="I6"/>
  <c r="I8" s="1"/>
  <c r="H6"/>
  <c r="H8" s="1"/>
  <c r="G6"/>
  <c r="G8" s="1"/>
  <c r="F6"/>
  <c r="F8" s="1"/>
  <c r="E6"/>
  <c r="E8" s="1"/>
  <c r="D6"/>
  <c r="D8" s="1"/>
  <c r="C6"/>
  <c r="C8" s="1"/>
  <c r="B6"/>
  <c r="B8" s="1"/>
  <c r="N8" i="15" l="1"/>
  <c r="N7"/>
  <c r="M9" i="22" l="1"/>
  <c r="L9"/>
  <c r="K9"/>
  <c r="J9"/>
  <c r="I9"/>
  <c r="H9"/>
  <c r="G9"/>
  <c r="F9"/>
  <c r="E9"/>
  <c r="D9"/>
  <c r="C9"/>
  <c r="B9"/>
  <c r="C9" i="21"/>
  <c r="D9"/>
  <c r="E9"/>
  <c r="F9"/>
  <c r="G9"/>
  <c r="H9"/>
  <c r="I9"/>
  <c r="J9"/>
  <c r="K9"/>
  <c r="L9"/>
  <c r="M9"/>
  <c r="B9"/>
  <c r="C9" i="20"/>
  <c r="D9"/>
  <c r="E9"/>
  <c r="F9"/>
  <c r="G9"/>
  <c r="H9"/>
  <c r="I9"/>
  <c r="J9"/>
  <c r="K9"/>
  <c r="L9"/>
  <c r="M9"/>
  <c r="B9"/>
  <c r="C9" i="19"/>
  <c r="D9"/>
  <c r="E9"/>
  <c r="F9"/>
  <c r="G9"/>
  <c r="H9"/>
  <c r="I9"/>
  <c r="J9"/>
  <c r="K9"/>
  <c r="L9"/>
  <c r="M9"/>
  <c r="B9"/>
  <c r="C9" i="18"/>
  <c r="D9"/>
  <c r="E9"/>
  <c r="F9"/>
  <c r="G9"/>
  <c r="H9"/>
  <c r="I9"/>
  <c r="J9"/>
  <c r="K9"/>
  <c r="L9"/>
  <c r="M9"/>
  <c r="B9"/>
  <c r="C9" i="16"/>
  <c r="D9"/>
  <c r="F9"/>
  <c r="G9"/>
  <c r="I9"/>
  <c r="J9"/>
  <c r="K9"/>
  <c r="L9"/>
  <c r="C9" i="15"/>
  <c r="D9"/>
  <c r="E9"/>
  <c r="F9"/>
  <c r="G9"/>
  <c r="H9"/>
  <c r="I9"/>
  <c r="J9"/>
  <c r="K9"/>
  <c r="L9"/>
  <c r="M9"/>
  <c r="N9"/>
  <c r="B9"/>
  <c r="C9" i="14"/>
  <c r="D9"/>
  <c r="E9"/>
  <c r="F9"/>
  <c r="G9"/>
  <c r="H9"/>
  <c r="I9"/>
  <c r="J9"/>
  <c r="K9"/>
  <c r="L9"/>
  <c r="M9"/>
  <c r="B9"/>
  <c r="C9" i="13"/>
  <c r="D9"/>
  <c r="E9"/>
  <c r="F9"/>
  <c r="G9"/>
  <c r="H9"/>
  <c r="I9"/>
  <c r="J9"/>
  <c r="K9"/>
  <c r="L9"/>
  <c r="M9"/>
  <c r="B9"/>
  <c r="C9" i="12"/>
  <c r="D9"/>
  <c r="E9"/>
  <c r="F9"/>
  <c r="G9"/>
  <c r="H9"/>
  <c r="I9"/>
  <c r="J9"/>
  <c r="K9"/>
  <c r="L9"/>
  <c r="M9"/>
  <c r="B9"/>
  <c r="C9" i="11"/>
  <c r="D9"/>
  <c r="E9"/>
  <c r="F9"/>
  <c r="G9"/>
  <c r="H9"/>
  <c r="I9"/>
  <c r="J9"/>
  <c r="K9"/>
  <c r="L9"/>
  <c r="M9"/>
  <c r="B9"/>
  <c r="C9" i="10"/>
  <c r="D9"/>
  <c r="E9"/>
  <c r="F9"/>
  <c r="G9"/>
  <c r="H9"/>
  <c r="I9"/>
  <c r="J9"/>
  <c r="K9"/>
  <c r="L9"/>
  <c r="M9"/>
  <c r="B9"/>
  <c r="C9" i="9"/>
  <c r="D9"/>
  <c r="E9"/>
  <c r="F9"/>
  <c r="G9"/>
  <c r="H9"/>
  <c r="I9"/>
  <c r="J9"/>
  <c r="K9"/>
  <c r="L9"/>
  <c r="M9"/>
  <c r="B9"/>
  <c r="C9" i="8"/>
  <c r="D9"/>
  <c r="E9"/>
  <c r="F9"/>
  <c r="G9"/>
  <c r="H9"/>
  <c r="I9"/>
  <c r="J9"/>
  <c r="K9"/>
  <c r="L9"/>
  <c r="M9"/>
  <c r="B9"/>
  <c r="C9" i="7"/>
  <c r="D9"/>
  <c r="E9"/>
  <c r="F9"/>
  <c r="G9"/>
  <c r="H9"/>
  <c r="I9"/>
  <c r="J9"/>
  <c r="K9"/>
  <c r="L9"/>
  <c r="M9"/>
  <c r="B9"/>
  <c r="C9" i="6"/>
  <c r="D9"/>
  <c r="E9"/>
  <c r="F9"/>
  <c r="G9"/>
  <c r="H9"/>
  <c r="I9"/>
  <c r="J9"/>
  <c r="K9"/>
  <c r="L9"/>
  <c r="M9"/>
  <c r="B9"/>
  <c r="C9" i="5"/>
  <c r="D9"/>
  <c r="E9"/>
  <c r="F9"/>
  <c r="G9"/>
  <c r="H9"/>
  <c r="I9"/>
  <c r="J9"/>
  <c r="K9"/>
  <c r="L9"/>
  <c r="M9"/>
  <c r="B9"/>
  <c r="C9" i="4"/>
  <c r="D9"/>
  <c r="E9"/>
  <c r="F9"/>
  <c r="H9"/>
  <c r="I9"/>
  <c r="J9"/>
  <c r="K9"/>
  <c r="L9"/>
  <c r="M9"/>
  <c r="B9"/>
  <c r="C9" i="2"/>
  <c r="D9"/>
  <c r="E9"/>
  <c r="F9"/>
  <c r="G9"/>
  <c r="H9"/>
  <c r="I9"/>
  <c r="J9"/>
  <c r="K9"/>
  <c r="L9"/>
  <c r="M9"/>
  <c r="B9"/>
  <c r="N7"/>
  <c r="C9" i="1"/>
  <c r="D9"/>
  <c r="E9"/>
  <c r="F9"/>
  <c r="G9"/>
  <c r="H9"/>
  <c r="I9"/>
  <c r="J9"/>
  <c r="K9"/>
  <c r="L9"/>
  <c r="M9"/>
  <c r="B9"/>
  <c r="M8" i="17" l="1"/>
  <c r="K8"/>
  <c r="J8"/>
  <c r="I8"/>
  <c r="H8"/>
  <c r="G8"/>
  <c r="F8"/>
  <c r="D8"/>
  <c r="C8"/>
  <c r="B8"/>
  <c r="M7"/>
  <c r="M9" s="1"/>
  <c r="L7"/>
  <c r="L9" s="1"/>
  <c r="K7"/>
  <c r="J7"/>
  <c r="I7"/>
  <c r="I9" s="1"/>
  <c r="H7"/>
  <c r="H9" s="1"/>
  <c r="G7"/>
  <c r="F7"/>
  <c r="E7"/>
  <c r="D7"/>
  <c r="D9" s="1"/>
  <c r="C7"/>
  <c r="C9" s="1"/>
  <c r="B7"/>
  <c r="B9" s="1"/>
  <c r="E8"/>
  <c r="M8" i="16"/>
  <c r="M9" s="1"/>
  <c r="E7"/>
  <c r="E9" s="1"/>
  <c r="B7"/>
  <c r="B9" s="1"/>
  <c r="H8"/>
  <c r="H9" s="1"/>
  <c r="E9" i="17" l="1"/>
  <c r="F9"/>
  <c r="J9"/>
  <c r="G9"/>
  <c r="K9"/>
  <c r="G8" i="4"/>
  <c r="G7"/>
  <c r="G9" s="1"/>
  <c r="M8" i="3"/>
  <c r="M7"/>
  <c r="M9" s="1"/>
  <c r="L8"/>
  <c r="L7"/>
  <c r="K8"/>
  <c r="K7"/>
  <c r="K9" s="1"/>
  <c r="J8"/>
  <c r="J7"/>
  <c r="I7"/>
  <c r="I9" s="1"/>
  <c r="H7"/>
  <c r="H9" s="1"/>
  <c r="N8" i="8"/>
  <c r="N7"/>
  <c r="N9" s="1"/>
  <c r="G7" i="3"/>
  <c r="G9" s="1"/>
  <c r="F7"/>
  <c r="F9" s="1"/>
  <c r="E7"/>
  <c r="E9" s="1"/>
  <c r="D7"/>
  <c r="D9" s="1"/>
  <c r="J9" l="1"/>
  <c r="L9"/>
  <c r="N7" i="4"/>
  <c r="N8"/>
  <c r="C7" i="3"/>
  <c r="C9" s="1"/>
  <c r="N9" i="4" l="1"/>
  <c r="B7" i="3"/>
  <c r="B9" s="1"/>
  <c r="N8" i="1" l="1"/>
  <c r="N7"/>
  <c r="N9" s="1"/>
  <c r="N8" i="22" l="1"/>
  <c r="N7"/>
  <c r="N9" s="1"/>
  <c r="N8" i="21"/>
  <c r="N7"/>
  <c r="N9" s="1"/>
  <c r="N8" i="20"/>
  <c r="N7"/>
  <c r="N9" s="1"/>
  <c r="N8" i="19"/>
  <c r="N7"/>
  <c r="N9" s="1"/>
  <c r="N8" i="18"/>
  <c r="N7"/>
  <c r="N9" s="1"/>
  <c r="N8" i="17"/>
  <c r="N7"/>
  <c r="N9" s="1"/>
  <c r="N8" i="16"/>
  <c r="N7"/>
  <c r="N9" s="1"/>
  <c r="N8" i="14"/>
  <c r="N7"/>
  <c r="N9" s="1"/>
  <c r="N8" i="13"/>
  <c r="N7"/>
  <c r="N9" s="1"/>
  <c r="N8" i="12"/>
  <c r="N7"/>
  <c r="N9" s="1"/>
  <c r="N8" i="11"/>
  <c r="N7"/>
  <c r="N9" s="1"/>
  <c r="N8" i="10"/>
  <c r="N7"/>
  <c r="N9" s="1"/>
  <c r="N8" i="9"/>
  <c r="N7"/>
  <c r="N9" s="1"/>
  <c r="N8" i="7"/>
  <c r="N7"/>
  <c r="N9" s="1"/>
  <c r="N8" i="6"/>
  <c r="N7"/>
  <c r="N8" i="5"/>
  <c r="N7"/>
  <c r="N9" s="1"/>
  <c r="N8" i="3"/>
  <c r="N7"/>
  <c r="N9" s="1"/>
  <c r="N8" i="2"/>
  <c r="N9" s="1"/>
  <c r="N9" i="6" l="1"/>
  <c r="M12" i="1" l="1"/>
  <c r="AM8" i="6" l="1"/>
  <c r="AI8"/>
  <c r="AH8"/>
  <c r="AL8"/>
  <c r="AO8"/>
  <c r="AQ8"/>
  <c r="AP8"/>
  <c r="AN8"/>
  <c r="AK8"/>
  <c r="AJ8"/>
  <c r="AH7"/>
  <c r="AJ7"/>
  <c r="AK7"/>
  <c r="AP7"/>
  <c r="AO7"/>
  <c r="AL7"/>
  <c r="AQ7"/>
  <c r="AI7"/>
  <c r="AM7"/>
  <c r="AN7"/>
  <c r="AJ9"/>
  <c r="AN9"/>
  <c r="AI9"/>
  <c r="AH9"/>
  <c r="AK9"/>
  <c r="AQ9"/>
  <c r="AG9"/>
  <c r="AL9"/>
  <c r="AM9"/>
  <c r="AP9"/>
  <c r="AO9"/>
  <c r="AR9"/>
  <c r="AR7"/>
  <c r="AR8"/>
  <c r="AG7"/>
  <c r="AG8"/>
  <c r="AS7" l="1"/>
  <c r="AS9"/>
  <c r="AS8"/>
</calcChain>
</file>

<file path=xl/sharedStrings.xml><?xml version="1.0" encoding="utf-8"?>
<sst xmlns="http://schemas.openxmlformats.org/spreadsheetml/2006/main" count="504" uniqueCount="106">
  <si>
    <t xml:space="preserve">Procenti učešća mjesečne naplate po vrstama prihoda u ukupnoj naplati prihoda </t>
  </si>
  <si>
    <t>VRSTA POREZA</t>
  </si>
  <si>
    <r>
      <rPr>
        <i/>
        <sz val="11"/>
        <color indexed="8"/>
        <rFont val="Calibri"/>
        <family val="2"/>
        <charset val="238"/>
      </rPr>
      <t xml:space="preserve">Naplaćeno  </t>
    </r>
    <r>
      <rPr>
        <b/>
        <i/>
        <sz val="11"/>
        <color indexed="8"/>
        <rFont val="Calibri"/>
        <family val="2"/>
        <charset val="238"/>
      </rPr>
      <t xml:space="preserve">JANUAR           </t>
    </r>
  </si>
  <si>
    <r>
      <rPr>
        <i/>
        <sz val="11"/>
        <color indexed="8"/>
        <rFont val="Calibri"/>
        <family val="2"/>
        <charset val="238"/>
      </rPr>
      <t xml:space="preserve">Naplaćeno  </t>
    </r>
    <r>
      <rPr>
        <b/>
        <i/>
        <sz val="11"/>
        <color indexed="8"/>
        <rFont val="Calibri"/>
        <family val="2"/>
        <charset val="238"/>
      </rPr>
      <t>FEBRUAR</t>
    </r>
  </si>
  <si>
    <r>
      <rPr>
        <i/>
        <sz val="11"/>
        <color indexed="8"/>
        <rFont val="Calibri"/>
        <family val="2"/>
        <charset val="238"/>
      </rPr>
      <t xml:space="preserve">Naplaćeno </t>
    </r>
    <r>
      <rPr>
        <b/>
        <i/>
        <sz val="11"/>
        <color indexed="8"/>
        <rFont val="Calibri"/>
        <family val="2"/>
        <charset val="238"/>
      </rPr>
      <t>MART</t>
    </r>
  </si>
  <si>
    <r>
      <rPr>
        <i/>
        <sz val="11"/>
        <color indexed="8"/>
        <rFont val="Calibri"/>
        <family val="2"/>
        <charset val="238"/>
      </rPr>
      <t xml:space="preserve">Naplaćeno  </t>
    </r>
    <r>
      <rPr>
        <b/>
        <i/>
        <sz val="11"/>
        <color indexed="8"/>
        <rFont val="Calibri"/>
        <family val="2"/>
        <charset val="238"/>
      </rPr>
      <t>APRIL</t>
    </r>
  </si>
  <si>
    <r>
      <rPr>
        <i/>
        <sz val="11"/>
        <color indexed="8"/>
        <rFont val="Calibri"/>
        <family val="2"/>
        <charset val="238"/>
      </rPr>
      <t>Naplaćeno</t>
    </r>
    <r>
      <rPr>
        <b/>
        <i/>
        <sz val="11"/>
        <color indexed="8"/>
        <rFont val="Calibri"/>
        <family val="2"/>
        <charset val="238"/>
      </rPr>
      <t xml:space="preserve">  MAJ</t>
    </r>
  </si>
  <si>
    <r>
      <rPr>
        <i/>
        <sz val="11"/>
        <color indexed="8"/>
        <rFont val="Calibri"/>
        <family val="2"/>
        <charset val="238"/>
      </rPr>
      <t xml:space="preserve">Naplaćeno </t>
    </r>
    <r>
      <rPr>
        <b/>
        <i/>
        <sz val="11"/>
        <color indexed="8"/>
        <rFont val="Calibri"/>
        <family val="2"/>
        <charset val="238"/>
      </rPr>
      <t xml:space="preserve"> JUN</t>
    </r>
  </si>
  <si>
    <r>
      <rPr>
        <i/>
        <sz val="11"/>
        <color indexed="8"/>
        <rFont val="Calibri"/>
        <family val="2"/>
        <charset val="238"/>
      </rPr>
      <t xml:space="preserve">Naplaćeno </t>
    </r>
    <r>
      <rPr>
        <b/>
        <i/>
        <sz val="11"/>
        <color indexed="8"/>
        <rFont val="Calibri"/>
        <family val="2"/>
        <charset val="238"/>
      </rPr>
      <t xml:space="preserve">   JUL</t>
    </r>
  </si>
  <si>
    <r>
      <rPr>
        <i/>
        <sz val="11"/>
        <color indexed="8"/>
        <rFont val="Calibri"/>
        <family val="2"/>
        <charset val="238"/>
      </rPr>
      <t xml:space="preserve">Naplaćeno </t>
    </r>
    <r>
      <rPr>
        <b/>
        <i/>
        <sz val="11"/>
        <color indexed="8"/>
        <rFont val="Calibri"/>
        <family val="2"/>
        <charset val="238"/>
      </rPr>
      <t xml:space="preserve"> AVGUST</t>
    </r>
  </si>
  <si>
    <r>
      <rPr>
        <i/>
        <sz val="11"/>
        <color indexed="8"/>
        <rFont val="Calibri"/>
        <family val="2"/>
        <charset val="238"/>
      </rPr>
      <t xml:space="preserve">Naplaćeno  </t>
    </r>
    <r>
      <rPr>
        <b/>
        <i/>
        <sz val="11"/>
        <color indexed="8"/>
        <rFont val="Calibri"/>
        <family val="2"/>
        <charset val="238"/>
      </rPr>
      <t>SEPTEMBAR</t>
    </r>
  </si>
  <si>
    <r>
      <rPr>
        <i/>
        <sz val="11"/>
        <color indexed="8"/>
        <rFont val="Calibri"/>
        <family val="2"/>
        <charset val="238"/>
      </rPr>
      <t xml:space="preserve">Naplaćeno </t>
    </r>
    <r>
      <rPr>
        <b/>
        <i/>
        <sz val="11"/>
        <color indexed="8"/>
        <rFont val="Calibri"/>
        <family val="2"/>
        <charset val="238"/>
      </rPr>
      <t xml:space="preserve"> OKTOBAR</t>
    </r>
  </si>
  <si>
    <r>
      <rPr>
        <i/>
        <sz val="11"/>
        <color indexed="8"/>
        <rFont val="Calibri"/>
        <family val="2"/>
        <charset val="238"/>
      </rPr>
      <t xml:space="preserve">Naplaćeno </t>
    </r>
    <r>
      <rPr>
        <b/>
        <i/>
        <sz val="11"/>
        <color indexed="8"/>
        <rFont val="Calibri"/>
        <family val="2"/>
        <charset val="238"/>
      </rPr>
      <t xml:space="preserve"> NOVEMBAR</t>
    </r>
  </si>
  <si>
    <r>
      <rPr>
        <i/>
        <sz val="11"/>
        <color indexed="8"/>
        <rFont val="Calibri"/>
        <family val="2"/>
        <charset val="238"/>
      </rPr>
      <t>Naplaćeno</t>
    </r>
    <r>
      <rPr>
        <b/>
        <i/>
        <sz val="11"/>
        <color indexed="8"/>
        <rFont val="Calibri"/>
        <family val="2"/>
        <charset val="238"/>
      </rPr>
      <t xml:space="preserve">  DECEMBAR</t>
    </r>
  </si>
  <si>
    <t>% učešća            januar 2015</t>
  </si>
  <si>
    <t>% učešća          februar 2015</t>
  </si>
  <si>
    <t>% učešća                mart  2015</t>
  </si>
  <si>
    <t>% učešća            april  2015</t>
  </si>
  <si>
    <t>% učešća               maj  2015</t>
  </si>
  <si>
    <t>% učešća                    jun  2015</t>
  </si>
  <si>
    <t>% učešća                 jul 2015</t>
  </si>
  <si>
    <t>% učešća           avgust 2015</t>
  </si>
  <si>
    <t>%  učešća                    septembar 2015</t>
  </si>
  <si>
    <t>% učešća                       oktobar  2015</t>
  </si>
  <si>
    <t>% učešća                            novembar 2015</t>
  </si>
  <si>
    <t>% učešća                           decembar 2015</t>
  </si>
  <si>
    <t xml:space="preserve">UKUPNO  </t>
  </si>
  <si>
    <t xml:space="preserve">JANUAR           </t>
  </si>
  <si>
    <t>FEBRUAR</t>
  </si>
  <si>
    <t>MART</t>
  </si>
  <si>
    <t>APRIL</t>
  </si>
  <si>
    <t>MAJ</t>
  </si>
  <si>
    <t>JUN</t>
  </si>
  <si>
    <t>JUL</t>
  </si>
  <si>
    <t>AVGUST</t>
  </si>
  <si>
    <t>SEPTEMBAR</t>
  </si>
  <si>
    <t>OKTOBAR</t>
  </si>
  <si>
    <t>NOVEMBAR</t>
  </si>
  <si>
    <t>DECEMBAR</t>
  </si>
  <si>
    <t>14=zbir 2-13</t>
  </si>
  <si>
    <t>15=2/14*100</t>
  </si>
  <si>
    <t>16=3/14*100</t>
  </si>
  <si>
    <t>17=4/14*100</t>
  </si>
  <si>
    <t>18=5/14*100</t>
  </si>
  <si>
    <t>19=6/14*100</t>
  </si>
  <si>
    <t>20=7/14*100</t>
  </si>
  <si>
    <t>21=8/14*100</t>
  </si>
  <si>
    <t>22=9/14*100</t>
  </si>
  <si>
    <t>23=10/14*100</t>
  </si>
  <si>
    <t>24=11/14*100</t>
  </si>
  <si>
    <t>25=12/14*100</t>
  </si>
  <si>
    <t>26=13/14*100</t>
  </si>
  <si>
    <t xml:space="preserve">27=zbir svih  </t>
  </si>
  <si>
    <t>29= 15*28/100</t>
  </si>
  <si>
    <t>30=16*28/100</t>
  </si>
  <si>
    <t>31=17*28/100</t>
  </si>
  <si>
    <t>32=18*28/100</t>
  </si>
  <si>
    <t>33=19*28/100</t>
  </si>
  <si>
    <t>34=20*28/100</t>
  </si>
  <si>
    <t>35=21*28/100</t>
  </si>
  <si>
    <t>36=22*28/100</t>
  </si>
  <si>
    <t>37=23*28/100</t>
  </si>
  <si>
    <t>38=24*28/100</t>
  </si>
  <si>
    <t>39=25*28/100</t>
  </si>
  <si>
    <t>40=26*28/100</t>
  </si>
  <si>
    <t>41=zbir 29-40</t>
  </si>
  <si>
    <t xml:space="preserve">2. Porez na dohodak građana </t>
  </si>
  <si>
    <t xml:space="preserve">3. Porez na dodatu vrijednost </t>
  </si>
  <si>
    <t>U K U P N O(porezi+dopr. +tak.)</t>
  </si>
  <si>
    <t>U K U P N O(porezi+dopr+tak.)</t>
  </si>
  <si>
    <t xml:space="preserve">1.Prijedlog Plana naplate prihoda po mjesecima  za 2016.god. urađen je primjenom mjesečnih procenata naplate pojedinih vrsta prihoda. Procenti su izračunati učešćem                                                                                               </t>
  </si>
  <si>
    <r>
      <rPr>
        <b/>
        <i/>
        <sz val="11"/>
        <color indexed="8"/>
        <rFont val="Calibri"/>
        <family val="2"/>
        <charset val="238"/>
      </rPr>
      <t>Obradila:</t>
    </r>
    <r>
      <rPr>
        <i/>
        <sz val="11"/>
        <color indexed="8"/>
        <rFont val="Calibri"/>
        <family val="2"/>
        <charset val="238"/>
      </rPr>
      <t xml:space="preserve"> Ljiljana Vuković</t>
    </r>
  </si>
  <si>
    <t xml:space="preserve"> PRIJEDLOG PLANA NAPLATE PRIHODA PO MJESECIMA Ekspoziture CETINJE za 2016.godinu</t>
  </si>
  <si>
    <t>Plan naplate prihoda  Cetinja za 2016</t>
  </si>
  <si>
    <t>Plan naplate prihoda Cetinja za 2016</t>
  </si>
  <si>
    <t xml:space="preserve">    naplate pojedinih vrsta prihoda po mjesecima u ukupnoj naplati Cetinja po vrstama prihoda koja je ostvarena u 2015.god.</t>
  </si>
  <si>
    <r>
      <t>Naplaćeno</t>
    </r>
    <r>
      <rPr>
        <b/>
        <i/>
        <sz val="12"/>
        <color indexed="8"/>
        <rFont val="Calibri"/>
        <family val="2"/>
        <charset val="238"/>
      </rPr>
      <t xml:space="preserve"> </t>
    </r>
    <r>
      <rPr>
        <i/>
        <sz val="12"/>
        <color indexed="8"/>
        <rFont val="Calibri"/>
        <family val="2"/>
        <charset val="238"/>
      </rPr>
      <t xml:space="preserve"> </t>
    </r>
    <r>
      <rPr>
        <b/>
        <i/>
        <sz val="12"/>
        <color indexed="8"/>
        <rFont val="Calibri"/>
        <family val="2"/>
        <charset val="238"/>
      </rPr>
      <t>2018</t>
    </r>
  </si>
  <si>
    <t>BRUTO naplata prihoda po mjesecima BAR u 2018.god.</t>
  </si>
  <si>
    <t>BRUTO naplata prihoda po mjesecima BIJELO POLJE u 2018.god</t>
  </si>
  <si>
    <t>BRUTO naplata prihoda po mjesecima  BUDVE u 2018.god.</t>
  </si>
  <si>
    <t>BRUTO naplata prihoda po mjesecima Ekspoziture CETINJE u 2018.god</t>
  </si>
  <si>
    <t>BRUTO naplata prihoda po mjesecima Ekspoziture DANILOVGRAD u 2018.god.</t>
  </si>
  <si>
    <t>BRUTO naplata prihoda po mjesecima  PJ HERCEG NOVI u 2018.god.</t>
  </si>
  <si>
    <t>BRUTO naplata prihoda po mjesecima BERANA u 2018.god.</t>
  </si>
  <si>
    <t xml:space="preserve"> </t>
  </si>
  <si>
    <t>UKUPNO</t>
  </si>
  <si>
    <t>BRUTO naplata prihoda po mjesecima  Ekspozitura ANDRIJEVICA u 2018.god.</t>
  </si>
  <si>
    <t>UKUPNO:</t>
  </si>
  <si>
    <t>BRUTO naplata prihoda po mjesecima Ekspoziture KOTOR u 2018.god.</t>
  </si>
  <si>
    <t>BRUTO naplata prihoda po mjesecima Ekspoziture MOJKOVAC u 2018.god.</t>
  </si>
  <si>
    <t>BRUTO naplata prihoda po mjesecima  NIKŠIĆ u 2018.god.</t>
  </si>
  <si>
    <t>BRUTO naplata prihoda po mjesecima PETNJICE u 2018.god.</t>
  </si>
  <si>
    <t>BRUTO naplata prihoda po mjesecima Ekspozitura PLAV u 2018.god.</t>
  </si>
  <si>
    <t xml:space="preserve">U K U P N O: </t>
  </si>
  <si>
    <t>BRUTO naplata prihoda po mjesecima Ekspoziture PLUŽINE u 2018.god.</t>
  </si>
  <si>
    <t>BRUTO naplata prihoda po mjesecima PLJEVLJA u 2018.god.</t>
  </si>
  <si>
    <t>U K U P N O:</t>
  </si>
  <si>
    <t>BRUTO naplata prihoda po mjesecima PODGORICA u 2018.god.</t>
  </si>
  <si>
    <t>BRUTO naplata prihoda po mjesecima Ekspozitura ROŽAJE u 2018.god.</t>
  </si>
  <si>
    <t>BRUTO naplata prihoda po mjesecima Ekspoziture ŠAVNIK u 2018.god.</t>
  </si>
  <si>
    <t>BRUTO naplata prihoda po mjesecima Ekspoziture TIVAT u 2018.god.</t>
  </si>
  <si>
    <t>BRUTO naplata prihoda po mjesecima  Ekspoziture ULCINJ u 2018.god.</t>
  </si>
  <si>
    <t>BRUTO naplata prihoda po mjesecima Ekspoziture Žabljak u 2018.god.</t>
  </si>
  <si>
    <r>
      <rPr>
        <i/>
        <sz val="11"/>
        <color indexed="8"/>
        <rFont val="Calibri"/>
        <family val="2"/>
        <charset val="238"/>
      </rPr>
      <t xml:space="preserve">Naplaćeno </t>
    </r>
    <r>
      <rPr>
        <b/>
        <i/>
        <sz val="11"/>
        <color indexed="8"/>
        <rFont val="Calibri"/>
        <family val="2"/>
        <charset val="238"/>
      </rPr>
      <t xml:space="preserve">    JUN</t>
    </r>
  </si>
  <si>
    <t>BRUTO naplata prihoda po mjesecima Ekspoziture KOLAŠIN u 2018.god.</t>
  </si>
  <si>
    <t>OSTVARENA BRUTO NAPLATA POREZA I DOPRINOSA U 2018 GODINI   -    CRNA GORA</t>
  </si>
</sst>
</file>

<file path=xl/styles.xml><?xml version="1.0" encoding="utf-8"?>
<styleSheet xmlns="http://schemas.openxmlformats.org/spreadsheetml/2006/main">
  <numFmts count="1">
    <numFmt numFmtId="164" formatCode="#,##0.00_);\-#,##0.00"/>
  </numFmts>
  <fonts count="27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i/>
      <sz val="12"/>
      <color indexed="8"/>
      <name val="Calibri"/>
      <family val="2"/>
      <charset val="238"/>
    </font>
    <font>
      <i/>
      <sz val="12"/>
      <color indexed="8"/>
      <name val="Calibri"/>
      <family val="2"/>
      <charset val="238"/>
    </font>
    <font>
      <b/>
      <i/>
      <sz val="11"/>
      <color indexed="8"/>
      <name val="Calibri"/>
      <family val="2"/>
      <charset val="238"/>
    </font>
    <font>
      <i/>
      <sz val="11"/>
      <color indexed="8"/>
      <name val="Calibri"/>
      <family val="2"/>
      <charset val="238"/>
    </font>
    <font>
      <b/>
      <i/>
      <sz val="16"/>
      <color indexed="8"/>
      <name val="Calibri"/>
      <family val="2"/>
      <charset val="238"/>
    </font>
    <font>
      <i/>
      <sz val="10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</font>
    <font>
      <b/>
      <i/>
      <sz val="11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</font>
    <font>
      <b/>
      <i/>
      <sz val="16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i/>
      <sz val="16"/>
      <color theme="1"/>
      <name val="Calibri"/>
      <family val="2"/>
      <charset val="238"/>
      <scheme val="minor"/>
    </font>
    <font>
      <i/>
      <sz val="9"/>
      <color indexed="8"/>
      <name val="Arial Narrow"/>
      <family val="2"/>
      <charset val="238"/>
    </font>
    <font>
      <b/>
      <i/>
      <sz val="8"/>
      <color indexed="8"/>
      <name val="Arial Narrow"/>
      <family val="2"/>
      <charset val="238"/>
    </font>
    <font>
      <i/>
      <sz val="8"/>
      <color indexed="8"/>
      <name val="Arial Narrow"/>
      <family val="2"/>
      <charset val="238"/>
    </font>
    <font>
      <b/>
      <i/>
      <sz val="11"/>
      <color indexed="8"/>
      <name val="Arial Narrow"/>
      <family val="2"/>
      <charset val="238"/>
    </font>
    <font>
      <sz val="8"/>
      <color theme="1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i/>
      <sz val="12"/>
      <color theme="1"/>
      <name val="Arial Narrow"/>
      <family val="2"/>
      <charset val="238"/>
    </font>
    <font>
      <i/>
      <sz val="9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3743705557422"/>
        <bgColor indexed="64"/>
      </patternFill>
    </fill>
  </fills>
  <borders count="6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</borders>
  <cellStyleXfs count="3">
    <xf numFmtId="0" fontId="0" fillId="0" borderId="0"/>
    <xf numFmtId="0" fontId="1" fillId="0" borderId="0"/>
    <xf numFmtId="0" fontId="26" fillId="0" borderId="0"/>
  </cellStyleXfs>
  <cellXfs count="133">
    <xf numFmtId="0" fontId="0" fillId="0" borderId="0" xfId="0"/>
    <xf numFmtId="0" fontId="0" fillId="0" borderId="0" xfId="0"/>
    <xf numFmtId="0" fontId="7" fillId="0" borderId="2" xfId="0" applyFont="1" applyBorder="1" applyAlignment="1">
      <alignment horizontal="center"/>
    </xf>
    <xf numFmtId="4" fontId="0" fillId="0" borderId="0" xfId="0" applyNumberFormat="1"/>
    <xf numFmtId="0" fontId="8" fillId="0" borderId="0" xfId="0" applyFont="1"/>
    <xf numFmtId="0" fontId="9" fillId="0" borderId="0" xfId="0" applyFont="1"/>
    <xf numFmtId="0" fontId="7" fillId="0" borderId="7" xfId="0" applyFont="1" applyBorder="1"/>
    <xf numFmtId="0" fontId="7" fillId="0" borderId="8" xfId="0" applyFont="1" applyBorder="1"/>
    <xf numFmtId="3" fontId="10" fillId="0" borderId="3" xfId="0" applyNumberFormat="1" applyFont="1" applyBorder="1"/>
    <xf numFmtId="3" fontId="7" fillId="2" borderId="17" xfId="0" applyNumberFormat="1" applyFont="1" applyFill="1" applyBorder="1" applyAlignment="1">
      <alignment horizontal="center" vertical="center" wrapText="1"/>
    </xf>
    <xf numFmtId="3" fontId="7" fillId="2" borderId="18" xfId="0" applyNumberFormat="1" applyFont="1" applyFill="1" applyBorder="1" applyAlignment="1">
      <alignment horizontal="center" vertical="center" wrapText="1"/>
    </xf>
    <xf numFmtId="3" fontId="7" fillId="2" borderId="19" xfId="0" applyNumberFormat="1" applyFont="1" applyFill="1" applyBorder="1" applyAlignment="1">
      <alignment horizontal="center" vertical="center" wrapText="1"/>
    </xf>
    <xf numFmtId="0" fontId="10" fillId="4" borderId="20" xfId="0" applyFont="1" applyFill="1" applyBorder="1" applyAlignment="1">
      <alignment horizontal="center" vertical="center" wrapText="1"/>
    </xf>
    <xf numFmtId="0" fontId="10" fillId="4" borderId="21" xfId="0" applyFont="1" applyFill="1" applyBorder="1" applyAlignment="1">
      <alignment horizontal="center" vertical="center" wrapText="1"/>
    </xf>
    <xf numFmtId="0" fontId="10" fillId="4" borderId="22" xfId="0" applyFont="1" applyFill="1" applyBorder="1" applyAlignment="1">
      <alignment horizontal="center" vertical="center" wrapText="1"/>
    </xf>
    <xf numFmtId="0" fontId="10" fillId="4" borderId="23" xfId="0" applyFont="1" applyFill="1" applyBorder="1"/>
    <xf numFmtId="0" fontId="10" fillId="4" borderId="25" xfId="0" applyFont="1" applyFill="1" applyBorder="1"/>
    <xf numFmtId="0" fontId="12" fillId="5" borderId="27" xfId="0" applyFont="1" applyFill="1" applyBorder="1"/>
    <xf numFmtId="0" fontId="10" fillId="0" borderId="3" xfId="0" applyFont="1" applyBorder="1" applyAlignment="1">
      <alignment horizontal="center"/>
    </xf>
    <xf numFmtId="4" fontId="3" fillId="3" borderId="28" xfId="0" applyNumberFormat="1" applyFont="1" applyFill="1" applyBorder="1" applyAlignment="1">
      <alignment horizontal="center" vertical="center" wrapText="1"/>
    </xf>
    <xf numFmtId="0" fontId="10" fillId="0" borderId="0" xfId="0" applyFont="1"/>
    <xf numFmtId="0" fontId="10" fillId="0" borderId="25" xfId="0" applyFont="1" applyBorder="1" applyAlignment="1">
      <alignment horizontal="center"/>
    </xf>
    <xf numFmtId="0" fontId="10" fillId="0" borderId="29" xfId="0" applyFont="1" applyBorder="1" applyAlignment="1">
      <alignment horizontal="center"/>
    </xf>
    <xf numFmtId="0" fontId="10" fillId="0" borderId="25" xfId="0" applyFont="1" applyBorder="1"/>
    <xf numFmtId="3" fontId="12" fillId="0" borderId="29" xfId="0" applyNumberFormat="1" applyFont="1" applyBorder="1"/>
    <xf numFmtId="0" fontId="12" fillId="6" borderId="30" xfId="0" applyFont="1" applyFill="1" applyBorder="1"/>
    <xf numFmtId="3" fontId="12" fillId="6" borderId="1" xfId="0" applyNumberFormat="1" applyFont="1" applyFill="1" applyBorder="1"/>
    <xf numFmtId="0" fontId="12" fillId="6" borderId="20" xfId="0" applyFont="1" applyFill="1" applyBorder="1" applyAlignment="1">
      <alignment horizontal="center" vertical="center" wrapText="1"/>
    </xf>
    <xf numFmtId="0" fontId="12" fillId="6" borderId="21" xfId="0" applyFont="1" applyFill="1" applyBorder="1" applyAlignment="1">
      <alignment horizontal="center" vertical="center" wrapText="1"/>
    </xf>
    <xf numFmtId="0" fontId="12" fillId="6" borderId="22" xfId="0" applyFont="1" applyFill="1" applyBorder="1" applyAlignment="1">
      <alignment horizontal="center" vertical="center" wrapText="1"/>
    </xf>
    <xf numFmtId="0" fontId="10" fillId="0" borderId="6" xfId="0" applyFont="1" applyBorder="1"/>
    <xf numFmtId="0" fontId="10" fillId="0" borderId="31" xfId="0" applyFont="1" applyBorder="1"/>
    <xf numFmtId="0" fontId="7" fillId="2" borderId="32" xfId="0" applyFont="1" applyFill="1" applyBorder="1" applyAlignment="1">
      <alignment horizontal="center"/>
    </xf>
    <xf numFmtId="0" fontId="9" fillId="0" borderId="0" xfId="0" applyNumberFormat="1" applyFont="1"/>
    <xf numFmtId="0" fontId="5" fillId="0" borderId="0" xfId="0" applyFont="1"/>
    <xf numFmtId="0" fontId="14" fillId="0" borderId="0" xfId="0" applyFont="1"/>
    <xf numFmtId="3" fontId="10" fillId="6" borderId="3" xfId="0" applyNumberFormat="1" applyFont="1" applyFill="1" applyBorder="1"/>
    <xf numFmtId="3" fontId="12" fillId="6" borderId="29" xfId="0" applyNumberFormat="1" applyFont="1" applyFill="1" applyBorder="1"/>
    <xf numFmtId="164" fontId="17" fillId="2" borderId="3" xfId="0" applyNumberFormat="1" applyFont="1" applyFill="1" applyBorder="1" applyAlignment="1">
      <alignment vertical="center"/>
    </xf>
    <xf numFmtId="164" fontId="17" fillId="2" borderId="6" xfId="0" applyNumberFormat="1" applyFont="1" applyFill="1" applyBorder="1" applyAlignment="1">
      <alignment vertical="center"/>
    </xf>
    <xf numFmtId="164" fontId="17" fillId="2" borderId="5" xfId="0" applyNumberFormat="1" applyFont="1" applyFill="1" applyBorder="1" applyAlignment="1">
      <alignment vertical="center"/>
    </xf>
    <xf numFmtId="164" fontId="0" fillId="0" borderId="0" xfId="0" applyNumberFormat="1"/>
    <xf numFmtId="3" fontId="0" fillId="0" borderId="0" xfId="0" applyNumberFormat="1"/>
    <xf numFmtId="164" fontId="17" fillId="2" borderId="40" xfId="0" applyNumberFormat="1" applyFont="1" applyFill="1" applyBorder="1" applyAlignment="1">
      <alignment vertical="center"/>
    </xf>
    <xf numFmtId="164" fontId="17" fillId="2" borderId="41" xfId="0" applyNumberFormat="1" applyFont="1" applyFill="1" applyBorder="1" applyAlignment="1">
      <alignment vertical="center"/>
    </xf>
    <xf numFmtId="164" fontId="17" fillId="2" borderId="42" xfId="0" applyNumberFormat="1" applyFont="1" applyFill="1" applyBorder="1" applyAlignment="1">
      <alignment vertical="center"/>
    </xf>
    <xf numFmtId="0" fontId="23" fillId="0" borderId="0" xfId="0" applyFont="1"/>
    <xf numFmtId="164" fontId="18" fillId="0" borderId="0" xfId="0" applyNumberFormat="1" applyFont="1" applyBorder="1" applyAlignment="1">
      <alignment vertical="center" wrapText="1"/>
    </xf>
    <xf numFmtId="0" fontId="0" fillId="0" borderId="0" xfId="0" applyBorder="1"/>
    <xf numFmtId="164" fontId="19" fillId="0" borderId="0" xfId="0" applyNumberFormat="1" applyFont="1" applyBorder="1" applyAlignment="1">
      <alignment vertical="center" wrapText="1"/>
    </xf>
    <xf numFmtId="164" fontId="20" fillId="7" borderId="0" xfId="0" applyNumberFormat="1" applyFont="1" applyFill="1" applyBorder="1" applyAlignment="1">
      <alignment vertical="center" wrapText="1"/>
    </xf>
    <xf numFmtId="164" fontId="20" fillId="7" borderId="0" xfId="0" applyNumberFormat="1" applyFont="1" applyFill="1" applyBorder="1" applyAlignment="1">
      <alignment horizontal="center" vertical="center" wrapText="1"/>
    </xf>
    <xf numFmtId="0" fontId="21" fillId="0" borderId="0" xfId="0" applyNumberFormat="1" applyFont="1" applyFill="1" applyBorder="1" applyAlignment="1" applyProtection="1">
      <alignment wrapText="1"/>
    </xf>
    <xf numFmtId="164" fontId="22" fillId="7" borderId="0" xfId="0" applyNumberFormat="1" applyFont="1" applyFill="1" applyBorder="1" applyAlignment="1" applyProtection="1">
      <alignment horizontal="center" vertical="center" wrapText="1"/>
    </xf>
    <xf numFmtId="164" fontId="17" fillId="2" borderId="14" xfId="0" applyNumberFormat="1" applyFont="1" applyFill="1" applyBorder="1" applyAlignment="1">
      <alignment vertical="center"/>
    </xf>
    <xf numFmtId="164" fontId="17" fillId="2" borderId="29" xfId="0" applyNumberFormat="1" applyFont="1" applyFill="1" applyBorder="1" applyAlignment="1">
      <alignment vertical="center"/>
    </xf>
    <xf numFmtId="0" fontId="7" fillId="0" borderId="25" xfId="0" applyFont="1" applyBorder="1"/>
    <xf numFmtId="164" fontId="17" fillId="2" borderId="34" xfId="0" applyNumberFormat="1" applyFont="1" applyFill="1" applyBorder="1" applyAlignment="1">
      <alignment vertical="center"/>
    </xf>
    <xf numFmtId="0" fontId="8" fillId="3" borderId="30" xfId="0" applyFont="1" applyFill="1" applyBorder="1" applyAlignment="1">
      <alignment horizontal="center" vertical="center" wrapText="1"/>
    </xf>
    <xf numFmtId="4" fontId="12" fillId="3" borderId="1" xfId="0" applyNumberFormat="1" applyFont="1" applyFill="1" applyBorder="1" applyAlignment="1">
      <alignment horizontal="center" vertical="center" wrapText="1"/>
    </xf>
    <xf numFmtId="4" fontId="3" fillId="3" borderId="48" xfId="0" applyNumberFormat="1" applyFont="1" applyFill="1" applyBorder="1" applyAlignment="1">
      <alignment horizontal="center" vertical="center" wrapText="1"/>
    </xf>
    <xf numFmtId="3" fontId="7" fillId="2" borderId="33" xfId="0" applyNumberFormat="1" applyFont="1" applyFill="1" applyBorder="1" applyAlignment="1">
      <alignment horizontal="center" vertical="center" wrapText="1"/>
    </xf>
    <xf numFmtId="4" fontId="3" fillId="3" borderId="33" xfId="0" applyNumberFormat="1" applyFont="1" applyFill="1" applyBorder="1" applyAlignment="1">
      <alignment horizontal="center" vertical="center" wrapText="1"/>
    </xf>
    <xf numFmtId="4" fontId="12" fillId="3" borderId="10" xfId="0" applyNumberFormat="1" applyFont="1" applyFill="1" applyBorder="1" applyAlignment="1">
      <alignment horizontal="center" vertical="center" wrapText="1"/>
    </xf>
    <xf numFmtId="164" fontId="17" fillId="2" borderId="9" xfId="0" applyNumberFormat="1" applyFont="1" applyFill="1" applyBorder="1" applyAlignment="1">
      <alignment vertical="center"/>
    </xf>
    <xf numFmtId="164" fontId="17" fillId="2" borderId="11" xfId="0" applyNumberFormat="1" applyFont="1" applyFill="1" applyBorder="1" applyAlignment="1">
      <alignment vertical="center"/>
    </xf>
    <xf numFmtId="0" fontId="7" fillId="2" borderId="30" xfId="0" applyFont="1" applyFill="1" applyBorder="1" applyAlignment="1">
      <alignment horizontal="center" vertical="center" wrapText="1"/>
    </xf>
    <xf numFmtId="3" fontId="7" fillId="2" borderId="1" xfId="0" applyNumberFormat="1" applyFont="1" applyFill="1" applyBorder="1" applyAlignment="1">
      <alignment horizontal="center" vertical="center" wrapText="1"/>
    </xf>
    <xf numFmtId="3" fontId="7" fillId="2" borderId="10" xfId="0" applyNumberFormat="1" applyFont="1" applyFill="1" applyBorder="1" applyAlignment="1">
      <alignment horizontal="center" vertical="center" wrapText="1"/>
    </xf>
    <xf numFmtId="0" fontId="25" fillId="0" borderId="8" xfId="0" applyFont="1" applyBorder="1"/>
    <xf numFmtId="0" fontId="25" fillId="0" borderId="7" xfId="0" applyFont="1" applyBorder="1"/>
    <xf numFmtId="0" fontId="7" fillId="0" borderId="24" xfId="0" applyFont="1" applyBorder="1"/>
    <xf numFmtId="164" fontId="17" fillId="2" borderId="31" xfId="0" applyNumberFormat="1" applyFont="1" applyFill="1" applyBorder="1" applyAlignment="1">
      <alignment vertical="center"/>
    </xf>
    <xf numFmtId="4" fontId="11" fillId="0" borderId="16" xfId="0" applyNumberFormat="1" applyFont="1" applyBorder="1"/>
    <xf numFmtId="0" fontId="4" fillId="6" borderId="4" xfId="0" applyFont="1" applyFill="1" applyBorder="1"/>
    <xf numFmtId="4" fontId="24" fillId="6" borderId="1" xfId="0" applyNumberFormat="1" applyFont="1" applyFill="1" applyBorder="1"/>
    <xf numFmtId="4" fontId="11" fillId="0" borderId="44" xfId="0" applyNumberFormat="1" applyFont="1" applyBorder="1"/>
    <xf numFmtId="4" fontId="24" fillId="6" borderId="10" xfId="0" applyNumberFormat="1" applyFont="1" applyFill="1" applyBorder="1"/>
    <xf numFmtId="4" fontId="11" fillId="0" borderId="15" xfId="0" applyNumberFormat="1" applyFont="1" applyBorder="1"/>
    <xf numFmtId="4" fontId="24" fillId="6" borderId="37" xfId="0" applyNumberFormat="1" applyFont="1" applyFill="1" applyBorder="1"/>
    <xf numFmtId="4" fontId="11" fillId="0" borderId="36" xfId="0" applyNumberFormat="1" applyFont="1" applyBorder="1"/>
    <xf numFmtId="4" fontId="11" fillId="0" borderId="39" xfId="0" applyNumberFormat="1" applyFont="1" applyBorder="1"/>
    <xf numFmtId="4" fontId="24" fillId="6" borderId="43" xfId="0" applyNumberFormat="1" applyFont="1" applyFill="1" applyBorder="1"/>
    <xf numFmtId="164" fontId="17" fillId="2" borderId="53" xfId="0" applyNumberFormat="1" applyFont="1" applyFill="1" applyBorder="1" applyAlignment="1">
      <alignment vertical="center"/>
    </xf>
    <xf numFmtId="4" fontId="24" fillId="6" borderId="30" xfId="0" applyNumberFormat="1" applyFont="1" applyFill="1" applyBorder="1"/>
    <xf numFmtId="4" fontId="13" fillId="6" borderId="1" xfId="0" applyNumberFormat="1" applyFont="1" applyFill="1" applyBorder="1"/>
    <xf numFmtId="4" fontId="13" fillId="6" borderId="10" xfId="0" applyNumberFormat="1" applyFont="1" applyFill="1" applyBorder="1"/>
    <xf numFmtId="4" fontId="13" fillId="6" borderId="33" xfId="0" applyNumberFormat="1" applyFont="1" applyFill="1" applyBorder="1"/>
    <xf numFmtId="4" fontId="13" fillId="6" borderId="30" xfId="0" applyNumberFormat="1" applyFont="1" applyFill="1" applyBorder="1"/>
    <xf numFmtId="4" fontId="13" fillId="6" borderId="35" xfId="0" applyNumberFormat="1" applyFont="1" applyFill="1" applyBorder="1"/>
    <xf numFmtId="0" fontId="8" fillId="3" borderId="50" xfId="0" applyFont="1" applyFill="1" applyBorder="1" applyAlignment="1">
      <alignment horizontal="center" vertical="center" wrapText="1"/>
    </xf>
    <xf numFmtId="4" fontId="12" fillId="3" borderId="46" xfId="0" applyNumberFormat="1" applyFont="1" applyFill="1" applyBorder="1" applyAlignment="1">
      <alignment horizontal="center" vertical="center" wrapText="1"/>
    </xf>
    <xf numFmtId="4" fontId="12" fillId="3" borderId="51" xfId="0" applyNumberFormat="1" applyFont="1" applyFill="1" applyBorder="1" applyAlignment="1">
      <alignment horizontal="center" vertical="center" wrapText="1"/>
    </xf>
    <xf numFmtId="0" fontId="7" fillId="2" borderId="23" xfId="0" applyFont="1" applyFill="1" applyBorder="1" applyAlignment="1">
      <alignment horizontal="center" vertical="center" wrapText="1"/>
    </xf>
    <xf numFmtId="3" fontId="7" fillId="2" borderId="2" xfId="0" applyNumberFormat="1" applyFont="1" applyFill="1" applyBorder="1" applyAlignment="1">
      <alignment horizontal="center" vertical="center" wrapText="1"/>
    </xf>
    <xf numFmtId="3" fontId="7" fillId="2" borderId="55" xfId="0" applyNumberFormat="1" applyFont="1" applyFill="1" applyBorder="1" applyAlignment="1">
      <alignment horizontal="center" vertical="center" wrapText="1"/>
    </xf>
    <xf numFmtId="3" fontId="7" fillId="2" borderId="54" xfId="0" applyNumberFormat="1" applyFont="1" applyFill="1" applyBorder="1" applyAlignment="1">
      <alignment horizontal="center" vertical="center" wrapText="1"/>
    </xf>
    <xf numFmtId="164" fontId="17" fillId="2" borderId="56" xfId="0" applyNumberFormat="1" applyFont="1" applyFill="1" applyBorder="1" applyAlignment="1">
      <alignment vertical="center"/>
    </xf>
    <xf numFmtId="4" fontId="12" fillId="3" borderId="47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4" fontId="11" fillId="0" borderId="45" xfId="0" applyNumberFormat="1" applyFont="1" applyBorder="1"/>
    <xf numFmtId="0" fontId="7" fillId="0" borderId="26" xfId="0" applyFont="1" applyBorder="1"/>
    <xf numFmtId="0" fontId="7" fillId="2" borderId="58" xfId="0" applyFont="1" applyFill="1" applyBorder="1" applyAlignment="1">
      <alignment horizontal="center" vertical="center" wrapText="1"/>
    </xf>
    <xf numFmtId="3" fontId="7" fillId="2" borderId="59" xfId="0" applyNumberFormat="1" applyFont="1" applyFill="1" applyBorder="1" applyAlignment="1">
      <alignment horizontal="center" vertical="center" wrapText="1"/>
    </xf>
    <xf numFmtId="3" fontId="7" fillId="2" borderId="60" xfId="0" applyNumberFormat="1" applyFont="1" applyFill="1" applyBorder="1" applyAlignment="1">
      <alignment horizontal="center" vertical="center" wrapText="1"/>
    </xf>
    <xf numFmtId="3" fontId="7" fillId="2" borderId="57" xfId="0" applyNumberFormat="1" applyFont="1" applyFill="1" applyBorder="1" applyAlignment="1">
      <alignment horizontal="center" vertical="center" wrapText="1"/>
    </xf>
    <xf numFmtId="4" fontId="13" fillId="6" borderId="13" xfId="0" applyNumberFormat="1" applyFont="1" applyFill="1" applyBorder="1"/>
    <xf numFmtId="0" fontId="4" fillId="6" borderId="33" xfId="0" applyFont="1" applyFill="1" applyBorder="1"/>
    <xf numFmtId="4" fontId="12" fillId="3" borderId="13" xfId="0" applyNumberFormat="1" applyFont="1" applyFill="1" applyBorder="1" applyAlignment="1">
      <alignment horizontal="center" vertical="center" wrapText="1"/>
    </xf>
    <xf numFmtId="3" fontId="7" fillId="2" borderId="61" xfId="0" applyNumberFormat="1" applyFont="1" applyFill="1" applyBorder="1" applyAlignment="1">
      <alignment horizontal="center" vertical="center" wrapText="1"/>
    </xf>
    <xf numFmtId="0" fontId="8" fillId="3" borderId="33" xfId="0" applyFont="1" applyFill="1" applyBorder="1" applyAlignment="1">
      <alignment horizontal="center" vertical="center" wrapText="1"/>
    </xf>
    <xf numFmtId="0" fontId="7" fillId="2" borderId="57" xfId="0" applyFont="1" applyFill="1" applyBorder="1" applyAlignment="1">
      <alignment horizontal="center" vertical="center" wrapText="1"/>
    </xf>
    <xf numFmtId="0" fontId="7" fillId="0" borderId="15" xfId="0" applyFont="1" applyBorder="1"/>
    <xf numFmtId="0" fontId="7" fillId="0" borderId="36" xfId="0" applyFont="1" applyBorder="1"/>
    <xf numFmtId="4" fontId="12" fillId="3" borderId="52" xfId="0" applyNumberFormat="1" applyFont="1" applyFill="1" applyBorder="1" applyAlignment="1">
      <alignment horizontal="center" vertical="center" wrapText="1"/>
    </xf>
    <xf numFmtId="3" fontId="7" fillId="2" borderId="62" xfId="0" applyNumberFormat="1" applyFont="1" applyFill="1" applyBorder="1" applyAlignment="1">
      <alignment horizontal="center" vertical="center" wrapText="1"/>
    </xf>
    <xf numFmtId="0" fontId="8" fillId="3" borderId="48" xfId="0" applyFont="1" applyFill="1" applyBorder="1" applyAlignment="1">
      <alignment horizontal="center" vertical="center" wrapText="1"/>
    </xf>
    <xf numFmtId="0" fontId="7" fillId="2" borderId="54" xfId="0" applyFont="1" applyFill="1" applyBorder="1" applyAlignment="1">
      <alignment horizontal="center" vertical="center" wrapText="1"/>
    </xf>
    <xf numFmtId="164" fontId="17" fillId="2" borderId="12" xfId="0" applyNumberFormat="1" applyFont="1" applyFill="1" applyBorder="1" applyAlignment="1">
      <alignment vertical="center"/>
    </xf>
    <xf numFmtId="164" fontId="17" fillId="2" borderId="38" xfId="0" applyNumberFormat="1" applyFont="1" applyFill="1" applyBorder="1" applyAlignment="1">
      <alignment vertical="center"/>
    </xf>
    <xf numFmtId="0" fontId="8" fillId="3" borderId="20" xfId="0" applyFont="1" applyFill="1" applyBorder="1" applyAlignment="1">
      <alignment horizontal="center" vertical="center" wrapText="1"/>
    </xf>
    <xf numFmtId="4" fontId="12" fillId="3" borderId="21" xfId="0" applyNumberFormat="1" applyFont="1" applyFill="1" applyBorder="1" applyAlignment="1">
      <alignment horizontal="center" vertical="center" wrapText="1"/>
    </xf>
    <xf numFmtId="4" fontId="12" fillId="3" borderId="49" xfId="0" applyNumberFormat="1" applyFont="1" applyFill="1" applyBorder="1" applyAlignment="1">
      <alignment horizontal="center" vertical="center" wrapText="1"/>
    </xf>
    <xf numFmtId="0" fontId="7" fillId="2" borderId="63" xfId="0" applyFont="1" applyFill="1" applyBorder="1" applyAlignment="1">
      <alignment horizontal="center" vertical="center" wrapText="1"/>
    </xf>
    <xf numFmtId="164" fontId="17" fillId="2" borderId="36" xfId="0" applyNumberFormat="1" applyFont="1" applyFill="1" applyBorder="1" applyAlignment="1">
      <alignment vertical="center"/>
    </xf>
    <xf numFmtId="4" fontId="4" fillId="3" borderId="21" xfId="0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14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idija.bulatovic/Downloads/Naplata%202018%20(3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NDRIJEVICA"/>
      <sheetName val="BAR"/>
      <sheetName val="BERANE"/>
      <sheetName val="BIJELO POLJE"/>
      <sheetName val="BUDVA"/>
      <sheetName val="CETINJE"/>
      <sheetName val="DANILOVGRAD"/>
      <sheetName val="HERCEG NOVI"/>
      <sheetName val="KOLAŠIN"/>
      <sheetName val="KOTOR"/>
      <sheetName val="MOJKOVAC"/>
      <sheetName val="NIKŠIĆ"/>
      <sheetName val="PETNJICA"/>
      <sheetName val="PLAV"/>
      <sheetName val="PLUŽINE"/>
      <sheetName val="PLJEVLJA"/>
      <sheetName val="PODGORICA"/>
      <sheetName val="ROŽAJE"/>
      <sheetName val="ŠAVNIK"/>
      <sheetName val="TIVAT"/>
      <sheetName val="ULCINJ"/>
      <sheetName val="ŽABLJAK"/>
      <sheetName val="CRNA GORA"/>
      <sheetName val="cg nova umanjena"/>
      <sheetName val="učešće"/>
      <sheetName val="Sheet3"/>
      <sheetName val="Sheet4"/>
    </sheetNames>
    <sheetDataSet>
      <sheetData sheetId="0">
        <row r="7">
          <cell r="B7">
            <v>13180.93</v>
          </cell>
          <cell r="C7">
            <v>0</v>
          </cell>
          <cell r="D7">
            <v>12407.62</v>
          </cell>
          <cell r="E7">
            <v>977.98</v>
          </cell>
          <cell r="F7">
            <v>6300.67</v>
          </cell>
          <cell r="G7">
            <v>40.840000000000003</v>
          </cell>
          <cell r="H7">
            <v>1335.14</v>
          </cell>
          <cell r="I7">
            <v>265.97000000000003</v>
          </cell>
          <cell r="J7">
            <v>40.840000000000003</v>
          </cell>
          <cell r="K7">
            <v>280</v>
          </cell>
          <cell r="L7">
            <v>150</v>
          </cell>
          <cell r="M7">
            <v>210</v>
          </cell>
          <cell r="N7">
            <v>35189.99</v>
          </cell>
        </row>
        <row r="8">
          <cell r="B8">
            <v>17448.259999999998</v>
          </cell>
          <cell r="C8">
            <v>44466.02</v>
          </cell>
          <cell r="D8">
            <v>51424.61</v>
          </cell>
          <cell r="E8">
            <v>42201</v>
          </cell>
          <cell r="F8">
            <v>44668.83</v>
          </cell>
          <cell r="G8">
            <v>43028.87</v>
          </cell>
          <cell r="H8">
            <v>51270.3</v>
          </cell>
          <cell r="I8">
            <v>50031.49</v>
          </cell>
          <cell r="J8">
            <v>64219</v>
          </cell>
          <cell r="K8">
            <v>58939.47</v>
          </cell>
          <cell r="L8">
            <v>68567.94</v>
          </cell>
          <cell r="M8">
            <v>90688.41</v>
          </cell>
          <cell r="N8">
            <v>626954.20000000007</v>
          </cell>
        </row>
      </sheetData>
      <sheetData sheetId="1">
        <row r="7">
          <cell r="B7">
            <v>2236.2800000000002</v>
          </cell>
          <cell r="C7">
            <v>26214.53</v>
          </cell>
          <cell r="D7">
            <v>946283.34</v>
          </cell>
          <cell r="E7">
            <v>341489.31</v>
          </cell>
          <cell r="F7">
            <v>148123.85999999999</v>
          </cell>
          <cell r="G7">
            <v>95688.37</v>
          </cell>
          <cell r="H7">
            <v>134245.16</v>
          </cell>
          <cell r="I7">
            <v>131019.59</v>
          </cell>
          <cell r="J7">
            <v>145584.95999999999</v>
          </cell>
          <cell r="K7">
            <v>13982.77</v>
          </cell>
          <cell r="L7">
            <v>7490.03</v>
          </cell>
          <cell r="M7">
            <v>10135.75</v>
          </cell>
          <cell r="N7">
            <v>2002493.9500000002</v>
          </cell>
        </row>
        <row r="8">
          <cell r="B8">
            <v>365776.82</v>
          </cell>
          <cell r="C8">
            <v>590704.73</v>
          </cell>
          <cell r="D8">
            <v>624563.06000000006</v>
          </cell>
          <cell r="E8">
            <v>719210.47</v>
          </cell>
          <cell r="F8">
            <v>704894.21</v>
          </cell>
          <cell r="G8">
            <v>681538.86</v>
          </cell>
          <cell r="H8">
            <v>866825.11</v>
          </cell>
          <cell r="I8">
            <v>1025633.74</v>
          </cell>
          <cell r="J8">
            <v>595726.9</v>
          </cell>
          <cell r="K8">
            <v>777357.26</v>
          </cell>
          <cell r="L8">
            <v>742683.87</v>
          </cell>
          <cell r="M8">
            <v>1200195.6599999999</v>
          </cell>
          <cell r="N8">
            <v>8895110.6900000013</v>
          </cell>
        </row>
      </sheetData>
      <sheetData sheetId="2">
        <row r="7">
          <cell r="B7">
            <v>1961.99</v>
          </cell>
          <cell r="C7">
            <v>2223.5</v>
          </cell>
          <cell r="D7">
            <v>88379.09</v>
          </cell>
          <cell r="E7">
            <v>55743.05</v>
          </cell>
          <cell r="F7">
            <v>56990.91</v>
          </cell>
          <cell r="G7">
            <v>17321.05</v>
          </cell>
          <cell r="H7">
            <v>16535.55</v>
          </cell>
          <cell r="I7">
            <v>26671.63</v>
          </cell>
          <cell r="J7">
            <v>14364.1</v>
          </cell>
          <cell r="K7">
            <v>10822.31</v>
          </cell>
          <cell r="L7">
            <v>-2523.73</v>
          </cell>
          <cell r="M7">
            <v>34311.120000000003</v>
          </cell>
          <cell r="N7">
            <v>322800.56999999995</v>
          </cell>
        </row>
        <row r="8">
          <cell r="B8">
            <v>191430.6</v>
          </cell>
          <cell r="C8">
            <v>275094.21000000002</v>
          </cell>
          <cell r="D8">
            <v>386786.45</v>
          </cell>
          <cell r="E8">
            <v>289732.32</v>
          </cell>
          <cell r="F8">
            <v>414912.82</v>
          </cell>
          <cell r="G8">
            <v>352696.52</v>
          </cell>
          <cell r="H8">
            <v>337174.63</v>
          </cell>
          <cell r="I8">
            <v>363906.89999999997</v>
          </cell>
          <cell r="J8">
            <v>532899.54</v>
          </cell>
          <cell r="K8">
            <v>407817.95</v>
          </cell>
          <cell r="L8">
            <v>390067.93</v>
          </cell>
          <cell r="M8">
            <v>648513.90999999992</v>
          </cell>
          <cell r="N8">
            <v>4591033.7799999993</v>
          </cell>
        </row>
      </sheetData>
      <sheetData sheetId="3">
        <row r="7">
          <cell r="B7">
            <v>0</v>
          </cell>
          <cell r="C7">
            <v>128807.26</v>
          </cell>
          <cell r="D7">
            <v>596797.21</v>
          </cell>
          <cell r="E7">
            <v>69669.070000000007</v>
          </cell>
          <cell r="F7">
            <v>33092</v>
          </cell>
          <cell r="G7">
            <v>34624.339999999997</v>
          </cell>
          <cell r="H7">
            <v>51587.71</v>
          </cell>
          <cell r="I7">
            <v>40502.370000000003</v>
          </cell>
          <cell r="J7">
            <v>33870.9</v>
          </cell>
          <cell r="K7">
            <v>21886.560000000001</v>
          </cell>
          <cell r="L7">
            <v>5471.38</v>
          </cell>
          <cell r="M7">
            <v>6660.58</v>
          </cell>
          <cell r="N7">
            <v>1022969.38</v>
          </cell>
        </row>
        <row r="8">
          <cell r="B8">
            <v>170520.18</v>
          </cell>
          <cell r="C8">
            <v>386107.55</v>
          </cell>
          <cell r="D8">
            <v>816930.47</v>
          </cell>
          <cell r="E8">
            <v>621008.68000000005</v>
          </cell>
          <cell r="F8">
            <v>463657.69</v>
          </cell>
          <cell r="G8">
            <v>539980.14</v>
          </cell>
          <cell r="H8">
            <v>566889.78</v>
          </cell>
          <cell r="I8">
            <v>510167.08</v>
          </cell>
          <cell r="J8">
            <v>515244.4</v>
          </cell>
          <cell r="K8">
            <v>623798.84</v>
          </cell>
          <cell r="L8">
            <v>671662.81</v>
          </cell>
          <cell r="M8">
            <v>921961.17</v>
          </cell>
          <cell r="N8">
            <v>6807928.7899999991</v>
          </cell>
        </row>
      </sheetData>
      <sheetData sheetId="4">
        <row r="7">
          <cell r="B7">
            <v>34303.160000000003</v>
          </cell>
          <cell r="C7">
            <v>206433.53</v>
          </cell>
          <cell r="D7">
            <v>2523986.2000000002</v>
          </cell>
          <cell r="E7">
            <v>523512.66</v>
          </cell>
          <cell r="F7">
            <v>413506.52</v>
          </cell>
          <cell r="G7">
            <v>298846.71999999997</v>
          </cell>
          <cell r="H7">
            <v>359710.61</v>
          </cell>
          <cell r="I7">
            <v>428720.78</v>
          </cell>
          <cell r="J7">
            <v>-125689.39</v>
          </cell>
          <cell r="K7">
            <v>-384339.71</v>
          </cell>
          <cell r="L7">
            <v>62420.51</v>
          </cell>
          <cell r="M7">
            <v>58737.47</v>
          </cell>
          <cell r="N7">
            <v>4400149.0600000005</v>
          </cell>
        </row>
        <row r="8">
          <cell r="B8">
            <v>340543.95</v>
          </cell>
          <cell r="C8">
            <v>572793.93000000005</v>
          </cell>
          <cell r="D8">
            <v>649671.52</v>
          </cell>
          <cell r="E8">
            <v>832978.55</v>
          </cell>
          <cell r="F8">
            <v>947965.31</v>
          </cell>
          <cell r="G8">
            <v>1030145.33</v>
          </cell>
          <cell r="H8">
            <v>1286661.54</v>
          </cell>
          <cell r="I8">
            <v>1223098.2</v>
          </cell>
          <cell r="J8">
            <v>1090579.69</v>
          </cell>
          <cell r="K8">
            <v>839076.42</v>
          </cell>
          <cell r="L8">
            <v>1340173.32</v>
          </cell>
          <cell r="M8">
            <v>1475600.29</v>
          </cell>
          <cell r="N8">
            <v>11629288.050000001</v>
          </cell>
        </row>
      </sheetData>
      <sheetData sheetId="5">
        <row r="7">
          <cell r="B7">
            <v>15595.45</v>
          </cell>
          <cell r="C7">
            <v>-8599.08</v>
          </cell>
          <cell r="D7">
            <v>127875.59</v>
          </cell>
          <cell r="E7">
            <v>56640.49</v>
          </cell>
          <cell r="F7">
            <v>29304.37</v>
          </cell>
          <cell r="G7">
            <v>22881.57</v>
          </cell>
          <cell r="H7">
            <v>18992.5</v>
          </cell>
          <cell r="I7">
            <v>13015.9</v>
          </cell>
          <cell r="J7">
            <v>6394.24</v>
          </cell>
          <cell r="K7">
            <v>13732.72</v>
          </cell>
          <cell r="L7">
            <v>390.7</v>
          </cell>
          <cell r="M7">
            <v>418.35</v>
          </cell>
          <cell r="N7">
            <v>296642.8</v>
          </cell>
        </row>
        <row r="8">
          <cell r="B8">
            <v>156959.45000000001</v>
          </cell>
          <cell r="C8">
            <v>332843.71999999997</v>
          </cell>
          <cell r="D8">
            <v>296611.48</v>
          </cell>
          <cell r="E8">
            <v>338715.11</v>
          </cell>
          <cell r="F8">
            <v>346695.77</v>
          </cell>
          <cell r="G8">
            <v>339400.91</v>
          </cell>
          <cell r="H8">
            <v>360252.55</v>
          </cell>
          <cell r="I8">
            <v>362981.63</v>
          </cell>
          <cell r="J8">
            <v>361525.5</v>
          </cell>
          <cell r="K8">
            <v>290727.63</v>
          </cell>
          <cell r="L8">
            <v>453534</v>
          </cell>
          <cell r="M8">
            <v>602417.91</v>
          </cell>
          <cell r="N8">
            <v>4242665.66</v>
          </cell>
        </row>
      </sheetData>
      <sheetData sheetId="6">
        <row r="7">
          <cell r="B7">
            <v>11953.81</v>
          </cell>
          <cell r="C7">
            <v>18458.95</v>
          </cell>
          <cell r="D7">
            <v>506973.34</v>
          </cell>
          <cell r="E7">
            <v>68625.600000000006</v>
          </cell>
          <cell r="F7">
            <v>69071.59</v>
          </cell>
          <cell r="G7">
            <v>49941.86</v>
          </cell>
          <cell r="H7">
            <v>54302.07</v>
          </cell>
          <cell r="I7">
            <v>116258.81</v>
          </cell>
          <cell r="J7">
            <v>26474.59</v>
          </cell>
          <cell r="K7">
            <v>5532.4</v>
          </cell>
          <cell r="L7">
            <v>12310.93</v>
          </cell>
          <cell r="M7">
            <v>6941.38</v>
          </cell>
          <cell r="N7">
            <v>946845.33000000007</v>
          </cell>
        </row>
        <row r="8">
          <cell r="B8">
            <v>140452.72</v>
          </cell>
          <cell r="C8">
            <v>276512.53000000003</v>
          </cell>
          <cell r="D8">
            <v>415134.82</v>
          </cell>
          <cell r="E8">
            <v>337005.02</v>
          </cell>
          <cell r="F8">
            <v>300312.58</v>
          </cell>
          <cell r="G8">
            <v>315536.21000000002</v>
          </cell>
          <cell r="H8">
            <v>370981.47</v>
          </cell>
          <cell r="I8">
            <v>280773.18</v>
          </cell>
          <cell r="J8">
            <v>301614.53000000003</v>
          </cell>
          <cell r="K8">
            <v>294906.78999999998</v>
          </cell>
          <cell r="L8">
            <v>243461.03</v>
          </cell>
          <cell r="M8">
            <v>540963.98</v>
          </cell>
          <cell r="N8">
            <v>3817654.86</v>
          </cell>
        </row>
      </sheetData>
      <sheetData sheetId="7">
        <row r="7">
          <cell r="B7">
            <v>83572.179999999993</v>
          </cell>
          <cell r="C7">
            <v>28937.96</v>
          </cell>
          <cell r="D7">
            <v>1683363.59</v>
          </cell>
          <cell r="E7">
            <v>176888.2</v>
          </cell>
          <cell r="F7">
            <v>88279.93</v>
          </cell>
          <cell r="G7">
            <v>76075.429999999993</v>
          </cell>
          <cell r="H7">
            <v>124329.75</v>
          </cell>
          <cell r="I7">
            <v>93554.75</v>
          </cell>
          <cell r="J7">
            <v>99995.54</v>
          </cell>
          <cell r="K7">
            <v>137623.34</v>
          </cell>
          <cell r="L7">
            <v>81298.61</v>
          </cell>
          <cell r="M7">
            <v>4221.1400000000003</v>
          </cell>
          <cell r="N7">
            <v>2678140.42</v>
          </cell>
        </row>
        <row r="8">
          <cell r="B8">
            <v>168619.25</v>
          </cell>
          <cell r="C8">
            <v>331894.92</v>
          </cell>
          <cell r="D8">
            <v>503311.53</v>
          </cell>
          <cell r="E8">
            <v>527395.61</v>
          </cell>
          <cell r="F8">
            <v>657597.76</v>
          </cell>
          <cell r="G8">
            <v>801677.73</v>
          </cell>
          <cell r="H8">
            <v>770166.84</v>
          </cell>
          <cell r="I8">
            <v>797502.88</v>
          </cell>
          <cell r="J8">
            <v>626970.74</v>
          </cell>
          <cell r="K8">
            <v>579668.34</v>
          </cell>
          <cell r="L8">
            <v>565614.56999999995</v>
          </cell>
          <cell r="M8">
            <v>905565.9</v>
          </cell>
          <cell r="N8">
            <v>7235986.0700000012</v>
          </cell>
        </row>
      </sheetData>
      <sheetData sheetId="8">
        <row r="7">
          <cell r="B7">
            <v>0</v>
          </cell>
          <cell r="C7">
            <v>0</v>
          </cell>
          <cell r="D7">
            <v>11554.29</v>
          </cell>
          <cell r="E7">
            <v>59118.28</v>
          </cell>
          <cell r="F7">
            <v>14263.12</v>
          </cell>
          <cell r="G7">
            <v>40430.839999999997</v>
          </cell>
          <cell r="H7">
            <v>10201.65</v>
          </cell>
          <cell r="I7">
            <v>19635.97</v>
          </cell>
          <cell r="J7">
            <v>3342.78</v>
          </cell>
          <cell r="K7">
            <v>14762.48</v>
          </cell>
          <cell r="L7">
            <v>5561.13</v>
          </cell>
          <cell r="M7">
            <v>1041.3800000000001</v>
          </cell>
          <cell r="N7">
            <v>179911.92</v>
          </cell>
        </row>
        <row r="8">
          <cell r="B8">
            <v>60725.7</v>
          </cell>
          <cell r="C8">
            <v>137283.54</v>
          </cell>
          <cell r="D8">
            <v>164064.14000000001</v>
          </cell>
          <cell r="E8">
            <v>146725.29</v>
          </cell>
          <cell r="F8">
            <v>116482.15</v>
          </cell>
          <cell r="G8">
            <v>132297.18</v>
          </cell>
          <cell r="H8">
            <v>154129.46</v>
          </cell>
          <cell r="I8">
            <v>162984.5</v>
          </cell>
          <cell r="J8">
            <v>142927.69</v>
          </cell>
          <cell r="K8">
            <v>153110.54999999999</v>
          </cell>
          <cell r="L8">
            <v>177372.48</v>
          </cell>
          <cell r="M8">
            <v>288432.42</v>
          </cell>
          <cell r="N8">
            <v>1836535.0999999999</v>
          </cell>
        </row>
      </sheetData>
      <sheetData sheetId="9">
        <row r="7">
          <cell r="B7">
            <v>19664.53</v>
          </cell>
          <cell r="C7">
            <v>25467.22</v>
          </cell>
          <cell r="D7">
            <v>800871.29</v>
          </cell>
          <cell r="E7">
            <v>454811.01</v>
          </cell>
          <cell r="F7">
            <v>217619.75</v>
          </cell>
          <cell r="G7">
            <v>231808.27</v>
          </cell>
          <cell r="H7">
            <v>368193.38</v>
          </cell>
          <cell r="I7">
            <v>211668.44</v>
          </cell>
          <cell r="J7">
            <v>21027.7</v>
          </cell>
          <cell r="K7">
            <v>13744.76</v>
          </cell>
          <cell r="L7">
            <v>1587.68</v>
          </cell>
          <cell r="M7">
            <v>147689.69</v>
          </cell>
          <cell r="N7">
            <v>2514153.7199999997</v>
          </cell>
        </row>
        <row r="8">
          <cell r="B8">
            <v>276834.19</v>
          </cell>
          <cell r="C8">
            <v>532987.23</v>
          </cell>
          <cell r="D8">
            <v>445583.93</v>
          </cell>
          <cell r="E8">
            <v>555170.96</v>
          </cell>
          <cell r="F8">
            <v>629288.95999999996</v>
          </cell>
          <cell r="G8">
            <v>613176.28</v>
          </cell>
          <cell r="H8">
            <v>642411.1</v>
          </cell>
          <cell r="I8">
            <v>672305.51</v>
          </cell>
          <cell r="J8">
            <v>432303.43</v>
          </cell>
          <cell r="K8">
            <v>638058.4</v>
          </cell>
          <cell r="L8">
            <v>512840.93</v>
          </cell>
          <cell r="M8">
            <v>882759.58</v>
          </cell>
          <cell r="N8">
            <v>6833720.5000000009</v>
          </cell>
        </row>
      </sheetData>
      <sheetData sheetId="10">
        <row r="7">
          <cell r="B7">
            <v>1565.05</v>
          </cell>
          <cell r="C7">
            <v>0</v>
          </cell>
          <cell r="D7">
            <v>6476.37</v>
          </cell>
          <cell r="E7">
            <v>33469.07</v>
          </cell>
          <cell r="F7">
            <v>4991.7700000000004</v>
          </cell>
          <cell r="G7">
            <v>2334.12</v>
          </cell>
          <cell r="H7">
            <v>3784.06</v>
          </cell>
          <cell r="I7">
            <v>3469.3</v>
          </cell>
          <cell r="J7">
            <v>7502.57</v>
          </cell>
          <cell r="K7">
            <v>3154.25</v>
          </cell>
          <cell r="L7">
            <v>375.52</v>
          </cell>
          <cell r="M7">
            <v>1985.44</v>
          </cell>
          <cell r="N7">
            <v>69107.520000000004</v>
          </cell>
        </row>
        <row r="8">
          <cell r="B8">
            <v>40559.300000000003</v>
          </cell>
          <cell r="C8">
            <v>130019.41</v>
          </cell>
          <cell r="D8">
            <v>145000.44</v>
          </cell>
          <cell r="E8">
            <v>127847.46</v>
          </cell>
          <cell r="F8">
            <v>151362.18</v>
          </cell>
          <cell r="G8">
            <v>149582.88</v>
          </cell>
          <cell r="H8">
            <v>139468.35</v>
          </cell>
          <cell r="I8">
            <v>156602.28</v>
          </cell>
          <cell r="J8">
            <v>169960.53</v>
          </cell>
          <cell r="K8">
            <v>184699.96</v>
          </cell>
          <cell r="L8">
            <v>172037.8</v>
          </cell>
          <cell r="M8">
            <v>230152.95</v>
          </cell>
          <cell r="N8">
            <v>1797293.5399999998</v>
          </cell>
        </row>
      </sheetData>
      <sheetData sheetId="11">
        <row r="7">
          <cell r="B7">
            <v>7878.53</v>
          </cell>
          <cell r="C7">
            <v>14253.1</v>
          </cell>
          <cell r="D7">
            <v>1566767.29</v>
          </cell>
          <cell r="E7">
            <v>791525.77</v>
          </cell>
          <cell r="F7">
            <v>357951.19</v>
          </cell>
          <cell r="G7">
            <v>290612.77</v>
          </cell>
          <cell r="H7">
            <v>190175.77</v>
          </cell>
          <cell r="I7">
            <v>189146.21</v>
          </cell>
          <cell r="J7">
            <v>415672.01999999955</v>
          </cell>
          <cell r="K7">
            <v>278134.2</v>
          </cell>
          <cell r="L7">
            <v>14074.76</v>
          </cell>
          <cell r="M7">
            <v>19393.43</v>
          </cell>
          <cell r="N7">
            <v>4135585.0399999991</v>
          </cell>
        </row>
        <row r="8">
          <cell r="B8">
            <v>619502.91</v>
          </cell>
          <cell r="C8">
            <v>1233661.24</v>
          </cell>
          <cell r="D8">
            <v>1396579.21</v>
          </cell>
          <cell r="E8">
            <v>1290956.32</v>
          </cell>
          <cell r="F8">
            <v>1315984.6599999999</v>
          </cell>
          <cell r="G8">
            <v>1646063.15</v>
          </cell>
          <cell r="H8">
            <v>1549459.84</v>
          </cell>
          <cell r="I8">
            <v>1452970.93</v>
          </cell>
          <cell r="J8">
            <v>1074442.6000000001</v>
          </cell>
          <cell r="K8">
            <v>1280877.33</v>
          </cell>
          <cell r="L8">
            <v>1467788.16</v>
          </cell>
          <cell r="M8">
            <v>2528674.0099999998</v>
          </cell>
          <cell r="N8">
            <v>16856960.359999999</v>
          </cell>
        </row>
      </sheetData>
      <sheetData sheetId="12">
        <row r="7">
          <cell r="B7">
            <v>0</v>
          </cell>
          <cell r="C7">
            <v>0</v>
          </cell>
          <cell r="D7">
            <v>0</v>
          </cell>
          <cell r="E7">
            <v>599.16</v>
          </cell>
          <cell r="F7">
            <v>3109.14</v>
          </cell>
          <cell r="G7">
            <v>919.79</v>
          </cell>
          <cell r="H7">
            <v>555.65</v>
          </cell>
          <cell r="I7">
            <v>555.65</v>
          </cell>
          <cell r="J7">
            <v>555.79</v>
          </cell>
          <cell r="K7">
            <v>0</v>
          </cell>
          <cell r="L7">
            <v>0</v>
          </cell>
          <cell r="M7">
            <v>0</v>
          </cell>
          <cell r="N7">
            <v>6295.18</v>
          </cell>
        </row>
        <row r="8">
          <cell r="B8">
            <v>5670.94</v>
          </cell>
          <cell r="C8">
            <v>4774.66</v>
          </cell>
          <cell r="D8">
            <v>3161.78</v>
          </cell>
          <cell r="E8">
            <v>4896.0200000000004</v>
          </cell>
          <cell r="F8">
            <v>13480.17</v>
          </cell>
          <cell r="G8">
            <v>13724.01</v>
          </cell>
          <cell r="H8">
            <v>8546.83</v>
          </cell>
          <cell r="I8">
            <v>12607.57</v>
          </cell>
          <cell r="J8">
            <v>6304.89</v>
          </cell>
          <cell r="K8">
            <v>6940.01</v>
          </cell>
          <cell r="L8">
            <v>6906.47</v>
          </cell>
          <cell r="M8">
            <v>16200.05</v>
          </cell>
          <cell r="N8">
            <v>103213.40000000001</v>
          </cell>
        </row>
      </sheetData>
      <sheetData sheetId="13">
        <row r="7">
          <cell r="B7">
            <v>250.05</v>
          </cell>
          <cell r="C7">
            <v>145.69</v>
          </cell>
          <cell r="D7">
            <v>8724.75</v>
          </cell>
          <cell r="E7">
            <v>5036.41</v>
          </cell>
          <cell r="F7">
            <v>3950.36</v>
          </cell>
          <cell r="G7">
            <v>1321.88</v>
          </cell>
          <cell r="H7">
            <v>1103.22</v>
          </cell>
          <cell r="I7">
            <v>2654.23</v>
          </cell>
          <cell r="J7">
            <v>5471.13</v>
          </cell>
          <cell r="K7">
            <v>101.48</v>
          </cell>
          <cell r="L7">
            <v>183.76</v>
          </cell>
          <cell r="M7">
            <v>0</v>
          </cell>
          <cell r="N7">
            <v>28942.959999999999</v>
          </cell>
        </row>
        <row r="8">
          <cell r="B8">
            <v>30959.74</v>
          </cell>
          <cell r="C8">
            <v>75834.399999999994</v>
          </cell>
          <cell r="D8">
            <v>108635.76</v>
          </cell>
          <cell r="E8">
            <v>77655.12</v>
          </cell>
          <cell r="F8">
            <v>63923.72</v>
          </cell>
          <cell r="G8">
            <v>118702.88</v>
          </cell>
          <cell r="H8">
            <v>77715.75</v>
          </cell>
          <cell r="I8">
            <v>74435.509999999995</v>
          </cell>
          <cell r="J8">
            <v>108866.86</v>
          </cell>
          <cell r="K8">
            <v>95295.97</v>
          </cell>
          <cell r="L8">
            <v>164913.10999999999</v>
          </cell>
          <cell r="M8">
            <v>191188</v>
          </cell>
          <cell r="N8">
            <v>1188126.8199999998</v>
          </cell>
        </row>
      </sheetData>
      <sheetData sheetId="14">
        <row r="7">
          <cell r="B7">
            <v>1615.16</v>
          </cell>
          <cell r="C7">
            <v>0</v>
          </cell>
          <cell r="D7">
            <v>4956.8100000000004</v>
          </cell>
          <cell r="E7">
            <v>1420.51</v>
          </cell>
          <cell r="F7">
            <v>336.67</v>
          </cell>
          <cell r="G7">
            <v>124.23</v>
          </cell>
          <cell r="H7">
            <v>368.13</v>
          </cell>
          <cell r="I7">
            <v>106.22</v>
          </cell>
          <cell r="J7">
            <v>176.22</v>
          </cell>
          <cell r="K7">
            <v>0</v>
          </cell>
          <cell r="L7">
            <v>0</v>
          </cell>
          <cell r="M7">
            <v>15.3</v>
          </cell>
          <cell r="N7">
            <v>9119.25</v>
          </cell>
        </row>
        <row r="8">
          <cell r="B8">
            <v>14415.53</v>
          </cell>
          <cell r="C8">
            <v>21996.32</v>
          </cell>
          <cell r="D8">
            <v>25754.39</v>
          </cell>
          <cell r="E8">
            <v>20434.72</v>
          </cell>
          <cell r="F8">
            <v>58010.71</v>
          </cell>
          <cell r="G8">
            <v>55946.67</v>
          </cell>
          <cell r="H8">
            <v>69600.97</v>
          </cell>
          <cell r="I8">
            <v>47246.79</v>
          </cell>
          <cell r="J8">
            <v>55399.27</v>
          </cell>
          <cell r="K8">
            <v>55920.04</v>
          </cell>
          <cell r="L8">
            <v>60848.480000000003</v>
          </cell>
          <cell r="M8">
            <v>109173.75</v>
          </cell>
          <cell r="N8">
            <v>594747.64</v>
          </cell>
        </row>
      </sheetData>
      <sheetData sheetId="15">
        <row r="7">
          <cell r="B7">
            <v>101.28</v>
          </cell>
          <cell r="C7">
            <v>20256.849999999999</v>
          </cell>
          <cell r="D7">
            <v>846464.97</v>
          </cell>
          <cell r="E7">
            <v>29776.27</v>
          </cell>
          <cell r="F7">
            <v>69821.64</v>
          </cell>
          <cell r="G7">
            <v>54927.1</v>
          </cell>
          <cell r="H7">
            <v>64479.4</v>
          </cell>
          <cell r="I7">
            <v>12041.72</v>
          </cell>
          <cell r="J7">
            <v>37304.69</v>
          </cell>
          <cell r="K7">
            <v>2779.83</v>
          </cell>
          <cell r="L7">
            <v>1639.94</v>
          </cell>
          <cell r="M7">
            <v>32310.639999999999</v>
          </cell>
          <cell r="N7">
            <v>1171904.33</v>
          </cell>
        </row>
        <row r="8">
          <cell r="B8">
            <v>157789.15000000002</v>
          </cell>
          <cell r="C8">
            <v>414882.9</v>
          </cell>
          <cell r="D8">
            <v>398782.56</v>
          </cell>
          <cell r="E8">
            <v>380527.47</v>
          </cell>
          <cell r="F8">
            <v>436323.68</v>
          </cell>
          <cell r="G8">
            <v>411399.05</v>
          </cell>
          <cell r="H8">
            <v>610168.52</v>
          </cell>
          <cell r="I8">
            <v>503767.56</v>
          </cell>
          <cell r="J8">
            <v>464495.39</v>
          </cell>
          <cell r="K8">
            <v>570246.14</v>
          </cell>
          <cell r="L8">
            <v>498467.95</v>
          </cell>
          <cell r="M8">
            <v>801042.12</v>
          </cell>
          <cell r="N8">
            <v>5647892.4900000002</v>
          </cell>
        </row>
      </sheetData>
      <sheetData sheetId="16">
        <row r="7">
          <cell r="B7">
            <v>304333.76</v>
          </cell>
          <cell r="C7">
            <v>1315021.48</v>
          </cell>
          <cell r="D7">
            <v>20408290.079999998</v>
          </cell>
          <cell r="E7">
            <v>6097885.7000000002</v>
          </cell>
          <cell r="F7">
            <v>1798268.99</v>
          </cell>
          <cell r="G7">
            <v>2592014.0499999998</v>
          </cell>
          <cell r="H7">
            <v>2012283.8</v>
          </cell>
          <cell r="I7">
            <v>1832969.39</v>
          </cell>
          <cell r="J7">
            <v>1158422.0900000001</v>
          </cell>
          <cell r="K7">
            <v>995511.13</v>
          </cell>
          <cell r="L7">
            <v>676936.23</v>
          </cell>
          <cell r="M7">
            <v>1732064.33</v>
          </cell>
          <cell r="N7">
            <v>40924001.029999994</v>
          </cell>
        </row>
        <row r="8">
          <cell r="B8">
            <v>4186625.38</v>
          </cell>
          <cell r="C8">
            <v>5462087.3799999999</v>
          </cell>
          <cell r="D8">
            <v>5647799.0399999991</v>
          </cell>
          <cell r="E8">
            <v>5411996.0999999996</v>
          </cell>
          <cell r="F8">
            <v>5672892.6699999999</v>
          </cell>
          <cell r="G8">
            <v>5747451.8699999992</v>
          </cell>
          <cell r="H8">
            <v>5473809.4899999993</v>
          </cell>
          <cell r="I8">
            <v>5664685.7299999995</v>
          </cell>
          <cell r="J8">
            <v>5018685.4799999995</v>
          </cell>
          <cell r="K8">
            <v>5261105.71</v>
          </cell>
          <cell r="L8">
            <v>5268983.21</v>
          </cell>
          <cell r="M8">
            <v>9715856.0299999993</v>
          </cell>
          <cell r="N8">
            <v>68531978.090000004</v>
          </cell>
        </row>
      </sheetData>
      <sheetData sheetId="17">
        <row r="7">
          <cell r="B7">
            <v>33837.769999999997</v>
          </cell>
          <cell r="C7">
            <v>3475.48</v>
          </cell>
          <cell r="D7">
            <v>57637.15</v>
          </cell>
          <cell r="E7">
            <v>48749.78</v>
          </cell>
          <cell r="F7">
            <v>75641</v>
          </cell>
          <cell r="G7">
            <v>35360.82</v>
          </cell>
          <cell r="H7">
            <v>45200.79</v>
          </cell>
          <cell r="I7">
            <v>4229.78</v>
          </cell>
          <cell r="J7">
            <v>11013.35</v>
          </cell>
          <cell r="K7">
            <v>1082.48</v>
          </cell>
          <cell r="L7">
            <v>532.88</v>
          </cell>
          <cell r="M7">
            <v>1342.31</v>
          </cell>
          <cell r="N7">
            <v>318103.59000000003</v>
          </cell>
        </row>
        <row r="8">
          <cell r="B8">
            <v>33017.96</v>
          </cell>
          <cell r="C8">
            <v>166546.32999999999</v>
          </cell>
          <cell r="D8">
            <v>181417.14</v>
          </cell>
          <cell r="E8">
            <v>148098.26</v>
          </cell>
          <cell r="F8">
            <v>109653.06</v>
          </cell>
          <cell r="G8">
            <v>147674.16</v>
          </cell>
          <cell r="H8">
            <v>178667.93</v>
          </cell>
          <cell r="I8">
            <v>135004.51999999999</v>
          </cell>
          <cell r="J8">
            <v>122357.16</v>
          </cell>
          <cell r="K8">
            <v>321288.32000000001</v>
          </cell>
          <cell r="L8">
            <v>212389.06</v>
          </cell>
          <cell r="M8">
            <v>315548.78000000003</v>
          </cell>
          <cell r="N8">
            <v>2071662.6800000002</v>
          </cell>
        </row>
      </sheetData>
      <sheetData sheetId="18">
        <row r="7">
          <cell r="B7">
            <v>0</v>
          </cell>
          <cell r="C7">
            <v>0</v>
          </cell>
          <cell r="D7">
            <v>1454.06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1454.06</v>
          </cell>
        </row>
        <row r="8">
          <cell r="B8">
            <v>10769.62</v>
          </cell>
          <cell r="C8">
            <v>31437.01</v>
          </cell>
          <cell r="D8">
            <v>22746.5</v>
          </cell>
          <cell r="E8">
            <v>27689.29</v>
          </cell>
          <cell r="F8">
            <v>28883</v>
          </cell>
          <cell r="G8">
            <v>28247.13</v>
          </cell>
          <cell r="H8">
            <v>32021.14</v>
          </cell>
          <cell r="I8">
            <v>32348.42</v>
          </cell>
          <cell r="J8">
            <v>36326.36</v>
          </cell>
          <cell r="K8">
            <v>25263.59</v>
          </cell>
          <cell r="L8">
            <v>33576</v>
          </cell>
          <cell r="M8">
            <v>50958.42</v>
          </cell>
          <cell r="N8">
            <v>360266.48</v>
          </cell>
        </row>
      </sheetData>
      <sheetData sheetId="19">
        <row r="7">
          <cell r="B7">
            <v>32636.03</v>
          </cell>
          <cell r="C7">
            <v>49151.45</v>
          </cell>
          <cell r="D7">
            <v>1254294.7</v>
          </cell>
          <cell r="E7">
            <v>242230.05</v>
          </cell>
          <cell r="F7">
            <v>153912.68</v>
          </cell>
          <cell r="G7">
            <v>120437.57</v>
          </cell>
          <cell r="H7">
            <v>91037.74</v>
          </cell>
          <cell r="I7">
            <v>136329.60999999999</v>
          </cell>
          <cell r="J7">
            <v>42402.07</v>
          </cell>
          <cell r="K7">
            <v>13512.71</v>
          </cell>
          <cell r="L7">
            <v>29016.17</v>
          </cell>
          <cell r="M7">
            <v>22040.65</v>
          </cell>
          <cell r="N7">
            <v>2187001.4300000002</v>
          </cell>
        </row>
        <row r="8">
          <cell r="B8">
            <v>169077.56</v>
          </cell>
          <cell r="C8">
            <v>399936.2</v>
          </cell>
          <cell r="D8">
            <v>406415.74</v>
          </cell>
          <cell r="E8">
            <v>472759.34</v>
          </cell>
          <cell r="F8">
            <v>511271.44</v>
          </cell>
          <cell r="G8">
            <v>490209.83</v>
          </cell>
          <cell r="H8">
            <v>499982.42</v>
          </cell>
          <cell r="I8">
            <v>555435.82999999996</v>
          </cell>
          <cell r="J8">
            <v>416440.95</v>
          </cell>
          <cell r="K8">
            <v>354673.73</v>
          </cell>
          <cell r="L8">
            <v>435684.51</v>
          </cell>
          <cell r="M8">
            <v>1138249.19</v>
          </cell>
          <cell r="N8">
            <v>5850136.7400000002</v>
          </cell>
        </row>
      </sheetData>
      <sheetData sheetId="20">
        <row r="7">
          <cell r="B7">
            <v>-835.54</v>
          </cell>
          <cell r="C7">
            <v>824.54</v>
          </cell>
          <cell r="D7">
            <v>122869.53</v>
          </cell>
          <cell r="E7">
            <v>114515.22</v>
          </cell>
          <cell r="F7">
            <v>72434.240000000005</v>
          </cell>
          <cell r="G7">
            <v>64288.21</v>
          </cell>
          <cell r="H7">
            <v>70414.58</v>
          </cell>
          <cell r="I7">
            <v>83659.259999999995</v>
          </cell>
          <cell r="J7">
            <v>66176.37</v>
          </cell>
          <cell r="K7">
            <v>4697.2299999999996</v>
          </cell>
          <cell r="L7">
            <v>160.76</v>
          </cell>
          <cell r="M7">
            <v>2450.5100000000002</v>
          </cell>
          <cell r="N7">
            <v>601654.91</v>
          </cell>
        </row>
        <row r="8">
          <cell r="B8">
            <v>70802.240000000005</v>
          </cell>
          <cell r="C8">
            <v>138547.44</v>
          </cell>
          <cell r="D8">
            <v>222854.07</v>
          </cell>
          <cell r="E8">
            <v>180277.92</v>
          </cell>
          <cell r="F8">
            <v>249808.08</v>
          </cell>
          <cell r="G8">
            <v>247297.89</v>
          </cell>
          <cell r="H8">
            <v>268721.53000000003</v>
          </cell>
          <cell r="I8">
            <v>319238.75</v>
          </cell>
          <cell r="J8">
            <v>218735.42</v>
          </cell>
          <cell r="K8">
            <v>241320.98</v>
          </cell>
          <cell r="L8">
            <v>228938.19</v>
          </cell>
          <cell r="M8">
            <v>374342.58</v>
          </cell>
          <cell r="N8">
            <v>2760885.09</v>
          </cell>
        </row>
      </sheetData>
      <sheetData sheetId="21">
        <row r="7">
          <cell r="B7">
            <v>0</v>
          </cell>
          <cell r="C7">
            <v>0</v>
          </cell>
          <cell r="D7">
            <v>3721.46</v>
          </cell>
          <cell r="E7">
            <v>7491.2</v>
          </cell>
          <cell r="F7">
            <v>3511.77</v>
          </cell>
          <cell r="G7">
            <v>8755.57</v>
          </cell>
          <cell r="H7">
            <v>2207.7600000000002</v>
          </cell>
          <cell r="I7">
            <v>5016.5600000000004</v>
          </cell>
          <cell r="J7">
            <v>19632.169999999998</v>
          </cell>
          <cell r="K7">
            <v>55.5</v>
          </cell>
          <cell r="L7">
            <v>16.920000000000002</v>
          </cell>
          <cell r="M7">
            <v>0</v>
          </cell>
          <cell r="N7">
            <v>50408.909999999989</v>
          </cell>
        </row>
        <row r="8">
          <cell r="B8">
            <v>26563.23</v>
          </cell>
          <cell r="C8">
            <v>52040.76</v>
          </cell>
          <cell r="D8">
            <v>252499.57</v>
          </cell>
          <cell r="E8">
            <v>66336.87</v>
          </cell>
          <cell r="F8">
            <v>7451.58</v>
          </cell>
          <cell r="G8">
            <v>58935.96</v>
          </cell>
          <cell r="H8">
            <v>79882.039999999994</v>
          </cell>
          <cell r="I8">
            <v>66095.97</v>
          </cell>
          <cell r="J8">
            <v>66648.42</v>
          </cell>
          <cell r="K8">
            <v>97407.59</v>
          </cell>
          <cell r="L8">
            <v>63735.34</v>
          </cell>
          <cell r="M8">
            <v>99660.35</v>
          </cell>
          <cell r="N8">
            <v>937257.67999999993</v>
          </cell>
        </row>
      </sheetData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O16"/>
  <sheetViews>
    <sheetView tabSelected="1" workbookViewId="0">
      <selection activeCell="A12" sqref="A12"/>
    </sheetView>
  </sheetViews>
  <sheetFormatPr defaultRowHeight="15"/>
  <cols>
    <col min="1" max="1" width="34.140625" customWidth="1"/>
    <col min="2" max="2" width="11.42578125" customWidth="1"/>
    <col min="3" max="4" width="11.5703125" customWidth="1"/>
    <col min="5" max="5" width="11.140625" customWidth="1"/>
    <col min="6" max="6" width="11.28515625" bestFit="1" customWidth="1"/>
    <col min="7" max="8" width="11.42578125" customWidth="1"/>
    <col min="9" max="9" width="10.85546875" customWidth="1"/>
    <col min="10" max="10" width="12.42578125" customWidth="1"/>
    <col min="11" max="11" width="11" bestFit="1" customWidth="1"/>
    <col min="12" max="12" width="11.85546875" customWidth="1"/>
    <col min="13" max="13" width="12.5703125" customWidth="1"/>
    <col min="14" max="14" width="11.42578125" customWidth="1"/>
  </cols>
  <sheetData>
    <row r="3" spans="1:15" ht="21" customHeight="1">
      <c r="A3" s="4"/>
      <c r="B3" s="126" t="s">
        <v>86</v>
      </c>
      <c r="C3" s="126"/>
      <c r="D3" s="126"/>
      <c r="E3" s="126"/>
      <c r="F3" s="126"/>
      <c r="G3" s="126"/>
      <c r="H3" s="126"/>
      <c r="I3" s="127"/>
      <c r="J3" s="127"/>
      <c r="K3" s="1"/>
      <c r="L3" s="1"/>
      <c r="M3" s="1"/>
      <c r="N3" s="1"/>
      <c r="O3" s="1"/>
    </row>
    <row r="4" spans="1:15" ht="15.75" thickBo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3"/>
      <c r="N4" s="3"/>
      <c r="O4" s="1"/>
    </row>
    <row r="5" spans="1:15" ht="31.5">
      <c r="A5" s="90" t="s">
        <v>1</v>
      </c>
      <c r="B5" s="91" t="s">
        <v>2</v>
      </c>
      <c r="C5" s="91" t="s">
        <v>3</v>
      </c>
      <c r="D5" s="91" t="s">
        <v>4</v>
      </c>
      <c r="E5" s="91" t="s">
        <v>5</v>
      </c>
      <c r="F5" s="91" t="s">
        <v>6</v>
      </c>
      <c r="G5" s="91" t="s">
        <v>7</v>
      </c>
      <c r="H5" s="91" t="s">
        <v>8</v>
      </c>
      <c r="I5" s="91" t="s">
        <v>9</v>
      </c>
      <c r="J5" s="91" t="s">
        <v>10</v>
      </c>
      <c r="K5" s="91" t="s">
        <v>11</v>
      </c>
      <c r="L5" s="91" t="s">
        <v>12</v>
      </c>
      <c r="M5" s="92" t="s">
        <v>13</v>
      </c>
      <c r="N5" s="60" t="s">
        <v>76</v>
      </c>
      <c r="O5" s="1"/>
    </row>
    <row r="6" spans="1:15" ht="15.75" thickBot="1">
      <c r="A6" s="93">
        <v>1</v>
      </c>
      <c r="B6" s="94">
        <v>2</v>
      </c>
      <c r="C6" s="94">
        <v>3</v>
      </c>
      <c r="D6" s="94">
        <v>4</v>
      </c>
      <c r="E6" s="94">
        <v>5</v>
      </c>
      <c r="F6" s="94">
        <v>6</v>
      </c>
      <c r="G6" s="94">
        <v>7</v>
      </c>
      <c r="H6" s="94">
        <v>8</v>
      </c>
      <c r="I6" s="94">
        <v>9</v>
      </c>
      <c r="J6" s="94">
        <v>10</v>
      </c>
      <c r="K6" s="94">
        <v>11</v>
      </c>
      <c r="L6" s="94">
        <v>12</v>
      </c>
      <c r="M6" s="95">
        <v>13</v>
      </c>
      <c r="N6" s="96" t="s">
        <v>39</v>
      </c>
      <c r="O6" s="1"/>
    </row>
    <row r="7" spans="1:15" ht="15.75" thickTop="1">
      <c r="A7" s="71" t="s">
        <v>66</v>
      </c>
      <c r="B7" s="39">
        <v>17448.259999999998</v>
      </c>
      <c r="C7" s="39">
        <v>44466.02</v>
      </c>
      <c r="D7" s="39">
        <v>51424.61</v>
      </c>
      <c r="E7" s="39">
        <v>42201</v>
      </c>
      <c r="F7" s="39">
        <v>44668.83</v>
      </c>
      <c r="G7" s="39">
        <v>43028.87</v>
      </c>
      <c r="H7" s="39">
        <v>51270.3</v>
      </c>
      <c r="I7" s="39">
        <v>50031.49</v>
      </c>
      <c r="J7" s="39">
        <v>64219</v>
      </c>
      <c r="K7" s="39">
        <v>58939.47</v>
      </c>
      <c r="L7" s="39">
        <v>68567.94</v>
      </c>
      <c r="M7" s="97">
        <v>90688.41</v>
      </c>
      <c r="N7" s="78">
        <f t="shared" ref="N7:N8" si="0">+B7+C7+D7+E7+F7+G7+H7+I7+J7+K7+L7+M7</f>
        <v>626954.20000000007</v>
      </c>
      <c r="O7" s="1"/>
    </row>
    <row r="8" spans="1:15" ht="15.75" thickBot="1">
      <c r="A8" s="56" t="s">
        <v>67</v>
      </c>
      <c r="B8" s="38">
        <v>-164316.32</v>
      </c>
      <c r="C8" s="38">
        <v>17337.91</v>
      </c>
      <c r="D8" s="38">
        <v>7315.18</v>
      </c>
      <c r="E8" s="38">
        <v>23299.89</v>
      </c>
      <c r="F8" s="38">
        <v>-27226.06</v>
      </c>
      <c r="G8" s="38">
        <v>32057.05</v>
      </c>
      <c r="H8" s="38">
        <v>22586.67</v>
      </c>
      <c r="I8" s="38">
        <v>21899.51</v>
      </c>
      <c r="J8" s="38">
        <v>23585.759999999998</v>
      </c>
      <c r="K8" s="38">
        <v>-14758.9</v>
      </c>
      <c r="L8" s="38">
        <v>-68214.350000000006</v>
      </c>
      <c r="M8" s="64">
        <v>8893.26</v>
      </c>
      <c r="N8" s="81">
        <f t="shared" si="0"/>
        <v>-117540.40000000004</v>
      </c>
      <c r="O8" s="1"/>
    </row>
    <row r="9" spans="1:15" ht="16.5" thickBot="1">
      <c r="A9" s="74" t="s">
        <v>85</v>
      </c>
      <c r="B9" s="75">
        <f>SUM(B7:B8)</f>
        <v>-146868.06</v>
      </c>
      <c r="C9" s="75">
        <f t="shared" ref="C9:N9" si="1">SUM(C7:C8)</f>
        <v>61803.929999999993</v>
      </c>
      <c r="D9" s="75">
        <f t="shared" si="1"/>
        <v>58739.79</v>
      </c>
      <c r="E9" s="75">
        <f t="shared" si="1"/>
        <v>65500.89</v>
      </c>
      <c r="F9" s="75">
        <f t="shared" si="1"/>
        <v>17442.77</v>
      </c>
      <c r="G9" s="75">
        <f t="shared" si="1"/>
        <v>75085.919999999998</v>
      </c>
      <c r="H9" s="75">
        <f t="shared" si="1"/>
        <v>73856.97</v>
      </c>
      <c r="I9" s="75">
        <f t="shared" si="1"/>
        <v>71931</v>
      </c>
      <c r="J9" s="75">
        <f t="shared" si="1"/>
        <v>87804.76</v>
      </c>
      <c r="K9" s="75">
        <f t="shared" si="1"/>
        <v>44180.57</v>
      </c>
      <c r="L9" s="75">
        <f t="shared" si="1"/>
        <v>353.58999999999651</v>
      </c>
      <c r="M9" s="77">
        <f t="shared" si="1"/>
        <v>99581.67</v>
      </c>
      <c r="N9" s="79">
        <f t="shared" si="1"/>
        <v>509413.80000000005</v>
      </c>
      <c r="O9" s="1"/>
    </row>
    <row r="12" spans="1:15">
      <c r="A12" s="34"/>
      <c r="B12" s="20"/>
      <c r="C12" s="20"/>
      <c r="D12" s="20"/>
      <c r="E12" s="20"/>
      <c r="F12" s="20"/>
      <c r="G12" s="1"/>
      <c r="H12" s="1"/>
      <c r="I12" s="1"/>
      <c r="J12" s="1"/>
      <c r="K12" s="1"/>
      <c r="L12" s="1"/>
      <c r="M12" s="42">
        <f>+B9+C9+D9+E9+F9+G9+H9+I9+J9+K9+L9+M9</f>
        <v>509413.8</v>
      </c>
      <c r="N12" s="1"/>
      <c r="O12" s="1"/>
    </row>
    <row r="13" spans="1:15">
      <c r="A13" s="20"/>
      <c r="B13" s="20"/>
      <c r="C13" s="20"/>
      <c r="D13" s="20"/>
      <c r="E13" s="20"/>
      <c r="F13" s="20"/>
      <c r="G13" s="1"/>
      <c r="H13" s="1"/>
      <c r="I13" s="1"/>
      <c r="J13" s="1"/>
      <c r="K13" s="1"/>
      <c r="L13" s="1"/>
      <c r="M13" s="1"/>
      <c r="N13" s="1"/>
      <c r="O13" s="1"/>
    </row>
    <row r="16" spans="1:1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</row>
  </sheetData>
  <mergeCells count="1">
    <mergeCell ref="B3:J3"/>
  </mergeCells>
  <pageMargins left="0.7" right="0.7" top="0.75" bottom="0.75" header="0.3" footer="0.3"/>
  <pageSetup paperSize="9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3:N13"/>
  <sheetViews>
    <sheetView topLeftCell="C1" workbookViewId="0">
      <selection activeCell="A12" sqref="A12"/>
    </sheetView>
  </sheetViews>
  <sheetFormatPr defaultRowHeight="15"/>
  <cols>
    <col min="1" max="1" width="25.7109375" style="1" customWidth="1"/>
    <col min="2" max="2" width="12.140625" style="1" bestFit="1" customWidth="1"/>
    <col min="3" max="3" width="14" style="1" bestFit="1" customWidth="1"/>
    <col min="4" max="5" width="12.140625" style="1" bestFit="1" customWidth="1"/>
    <col min="6" max="13" width="14" style="1" bestFit="1" customWidth="1"/>
    <col min="14" max="14" width="15.140625" style="1" bestFit="1" customWidth="1"/>
    <col min="15" max="16384" width="9.140625" style="1"/>
  </cols>
  <sheetData>
    <row r="3" spans="1:14" ht="21" customHeight="1">
      <c r="A3" s="4"/>
      <c r="B3" s="126" t="s">
        <v>88</v>
      </c>
      <c r="C3" s="126"/>
      <c r="D3" s="126"/>
      <c r="E3" s="126"/>
      <c r="F3" s="126"/>
      <c r="G3" s="126"/>
      <c r="H3" s="126"/>
      <c r="I3" s="127"/>
      <c r="J3" s="127"/>
    </row>
    <row r="4" spans="1:14" ht="15.75" thickBot="1">
      <c r="M4" s="3"/>
      <c r="N4" s="3"/>
    </row>
    <row r="5" spans="1:14" ht="31.5">
      <c r="A5" s="90" t="s">
        <v>1</v>
      </c>
      <c r="B5" s="91" t="s">
        <v>2</v>
      </c>
      <c r="C5" s="91" t="s">
        <v>3</v>
      </c>
      <c r="D5" s="91" t="s">
        <v>4</v>
      </c>
      <c r="E5" s="91" t="s">
        <v>5</v>
      </c>
      <c r="F5" s="91" t="s">
        <v>6</v>
      </c>
      <c r="G5" s="91" t="s">
        <v>7</v>
      </c>
      <c r="H5" s="91" t="s">
        <v>8</v>
      </c>
      <c r="I5" s="91" t="s">
        <v>9</v>
      </c>
      <c r="J5" s="91" t="s">
        <v>10</v>
      </c>
      <c r="K5" s="91" t="s">
        <v>11</v>
      </c>
      <c r="L5" s="91" t="s">
        <v>12</v>
      </c>
      <c r="M5" s="98" t="s">
        <v>13</v>
      </c>
      <c r="N5" s="60" t="s">
        <v>76</v>
      </c>
    </row>
    <row r="6" spans="1:14" ht="15.75" thickBot="1">
      <c r="A6" s="99">
        <v>1</v>
      </c>
      <c r="B6" s="94">
        <v>2</v>
      </c>
      <c r="C6" s="94">
        <v>3</v>
      </c>
      <c r="D6" s="94">
        <v>4</v>
      </c>
      <c r="E6" s="94">
        <v>5</v>
      </c>
      <c r="F6" s="94">
        <v>6</v>
      </c>
      <c r="G6" s="94">
        <v>7</v>
      </c>
      <c r="H6" s="94">
        <v>8</v>
      </c>
      <c r="I6" s="94">
        <v>9</v>
      </c>
      <c r="J6" s="94">
        <v>10</v>
      </c>
      <c r="K6" s="94">
        <v>11</v>
      </c>
      <c r="L6" s="94">
        <v>12</v>
      </c>
      <c r="M6" s="95">
        <v>13</v>
      </c>
      <c r="N6" s="96" t="s">
        <v>39</v>
      </c>
    </row>
    <row r="7" spans="1:14" ht="15.75" thickTop="1">
      <c r="A7" s="6" t="s">
        <v>66</v>
      </c>
      <c r="B7" s="38">
        <v>276834.19</v>
      </c>
      <c r="C7" s="38">
        <v>532987.23</v>
      </c>
      <c r="D7" s="38">
        <v>445583.93</v>
      </c>
      <c r="E7" s="38">
        <v>555170.96</v>
      </c>
      <c r="F7" s="38">
        <v>629288.95999999996</v>
      </c>
      <c r="G7" s="38">
        <v>613176.28</v>
      </c>
      <c r="H7" s="38">
        <v>642411.1</v>
      </c>
      <c r="I7" s="38">
        <v>672305.51</v>
      </c>
      <c r="J7" s="38">
        <v>432303.43</v>
      </c>
      <c r="K7" s="38">
        <v>638058.4</v>
      </c>
      <c r="L7" s="43">
        <v>512840.93</v>
      </c>
      <c r="M7" s="38">
        <v>882759.58</v>
      </c>
      <c r="N7" s="78">
        <f t="shared" ref="N7:N8" si="0">M7+L7+K7+J7+I7+H7+G7+F7+E7+D7+C7+B7</f>
        <v>6833720.5000000009</v>
      </c>
    </row>
    <row r="8" spans="1:14" ht="15.75" thickBot="1">
      <c r="A8" s="6" t="s">
        <v>67</v>
      </c>
      <c r="B8" s="38">
        <v>564358.06999999995</v>
      </c>
      <c r="C8" s="38">
        <v>500805.56</v>
      </c>
      <c r="D8" s="38">
        <v>452655.94</v>
      </c>
      <c r="E8" s="38">
        <v>422609.07</v>
      </c>
      <c r="F8" s="38">
        <v>545193.77</v>
      </c>
      <c r="G8" s="38">
        <v>631301.43000000005</v>
      </c>
      <c r="H8" s="38">
        <v>751363.43</v>
      </c>
      <c r="I8" s="38">
        <v>1493014.92</v>
      </c>
      <c r="J8" s="38">
        <v>1633863.52</v>
      </c>
      <c r="K8" s="38">
        <v>936001.15</v>
      </c>
      <c r="L8" s="43">
        <v>858977.79</v>
      </c>
      <c r="M8" s="38">
        <v>621579.13</v>
      </c>
      <c r="N8" s="78">
        <f t="shared" si="0"/>
        <v>9411723.7799999993</v>
      </c>
    </row>
    <row r="9" spans="1:14" ht="16.5" thickBot="1">
      <c r="A9" s="74" t="s">
        <v>87</v>
      </c>
      <c r="B9" s="85">
        <f>SUM(B7:B8)</f>
        <v>841192.26</v>
      </c>
      <c r="C9" s="85">
        <f t="shared" ref="C9:N9" si="1">SUM(C7:C8)</f>
        <v>1033792.79</v>
      </c>
      <c r="D9" s="85">
        <f t="shared" si="1"/>
        <v>898239.87</v>
      </c>
      <c r="E9" s="85">
        <f t="shared" si="1"/>
        <v>977780.03</v>
      </c>
      <c r="F9" s="85">
        <f t="shared" si="1"/>
        <v>1174482.73</v>
      </c>
      <c r="G9" s="85">
        <f t="shared" si="1"/>
        <v>1244477.71</v>
      </c>
      <c r="H9" s="85">
        <f t="shared" si="1"/>
        <v>1393774.53</v>
      </c>
      <c r="I9" s="85">
        <f t="shared" si="1"/>
        <v>2165320.4299999997</v>
      </c>
      <c r="J9" s="85">
        <f t="shared" si="1"/>
        <v>2066166.95</v>
      </c>
      <c r="K9" s="85">
        <f t="shared" si="1"/>
        <v>1574059.55</v>
      </c>
      <c r="L9" s="85">
        <f t="shared" si="1"/>
        <v>1371818.72</v>
      </c>
      <c r="M9" s="85">
        <f t="shared" si="1"/>
        <v>1504338.71</v>
      </c>
      <c r="N9" s="85">
        <f t="shared" si="1"/>
        <v>16245444.280000001</v>
      </c>
    </row>
    <row r="12" spans="1:14">
      <c r="A12" s="34"/>
      <c r="B12" s="20"/>
      <c r="C12" s="20"/>
      <c r="D12" s="20"/>
      <c r="E12" s="20"/>
      <c r="F12" s="20"/>
    </row>
    <row r="13" spans="1:14">
      <c r="A13" s="20"/>
      <c r="B13" s="20"/>
      <c r="C13" s="20"/>
      <c r="D13" s="20"/>
      <c r="E13" s="20"/>
      <c r="F13" s="20"/>
    </row>
  </sheetData>
  <mergeCells count="1">
    <mergeCell ref="B3:J3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3:N13"/>
  <sheetViews>
    <sheetView topLeftCell="A2" workbookViewId="0">
      <selection activeCell="A12" sqref="A12"/>
    </sheetView>
  </sheetViews>
  <sheetFormatPr defaultRowHeight="15"/>
  <cols>
    <col min="1" max="1" width="26" style="1" customWidth="1"/>
    <col min="2" max="2" width="11.42578125" style="1" customWidth="1"/>
    <col min="3" max="5" width="12.140625" style="1" bestFit="1" customWidth="1"/>
    <col min="6" max="6" width="11.5703125" style="1" customWidth="1"/>
    <col min="7" max="9" width="12.140625" style="1" bestFit="1" customWidth="1"/>
    <col min="10" max="10" width="11.85546875" style="1" customWidth="1"/>
    <col min="11" max="11" width="12.140625" style="1" bestFit="1" customWidth="1"/>
    <col min="12" max="12" width="12.28515625" style="1" customWidth="1"/>
    <col min="13" max="13" width="11.7109375" style="1" customWidth="1"/>
    <col min="14" max="14" width="14" style="1" bestFit="1" customWidth="1"/>
    <col min="15" max="16384" width="9.140625" style="1"/>
  </cols>
  <sheetData>
    <row r="3" spans="1:14" ht="21">
      <c r="B3" s="126" t="s">
        <v>89</v>
      </c>
      <c r="C3" s="126"/>
      <c r="D3" s="126"/>
      <c r="E3" s="126"/>
      <c r="F3" s="126"/>
      <c r="G3" s="126"/>
      <c r="H3" s="126"/>
      <c r="I3" s="127"/>
      <c r="J3" s="127"/>
    </row>
    <row r="4" spans="1:14" ht="15.75" thickBot="1">
      <c r="M4" s="3"/>
      <c r="N4" s="3"/>
    </row>
    <row r="5" spans="1:14" ht="31.5">
      <c r="A5" s="90" t="s">
        <v>1</v>
      </c>
      <c r="B5" s="91" t="s">
        <v>2</v>
      </c>
      <c r="C5" s="91" t="s">
        <v>3</v>
      </c>
      <c r="D5" s="91" t="s">
        <v>4</v>
      </c>
      <c r="E5" s="91" t="s">
        <v>5</v>
      </c>
      <c r="F5" s="91" t="s">
        <v>6</v>
      </c>
      <c r="G5" s="91" t="s">
        <v>7</v>
      </c>
      <c r="H5" s="91" t="s">
        <v>8</v>
      </c>
      <c r="I5" s="91" t="s">
        <v>9</v>
      </c>
      <c r="J5" s="91" t="s">
        <v>10</v>
      </c>
      <c r="K5" s="91" t="s">
        <v>11</v>
      </c>
      <c r="L5" s="91" t="s">
        <v>12</v>
      </c>
      <c r="M5" s="92" t="s">
        <v>13</v>
      </c>
      <c r="N5" s="60" t="s">
        <v>76</v>
      </c>
    </row>
    <row r="6" spans="1:14" ht="15.75" thickBot="1">
      <c r="A6" s="93">
        <v>1</v>
      </c>
      <c r="B6" s="94">
        <v>2</v>
      </c>
      <c r="C6" s="94">
        <v>3</v>
      </c>
      <c r="D6" s="94">
        <v>4</v>
      </c>
      <c r="E6" s="94">
        <v>5</v>
      </c>
      <c r="F6" s="94">
        <v>6</v>
      </c>
      <c r="G6" s="94">
        <v>7</v>
      </c>
      <c r="H6" s="94">
        <v>8</v>
      </c>
      <c r="I6" s="94">
        <v>9</v>
      </c>
      <c r="J6" s="94">
        <v>10</v>
      </c>
      <c r="K6" s="94">
        <v>11</v>
      </c>
      <c r="L6" s="94">
        <v>12</v>
      </c>
      <c r="M6" s="95">
        <v>13</v>
      </c>
      <c r="N6" s="96" t="s">
        <v>39</v>
      </c>
    </row>
    <row r="7" spans="1:14" ht="15.75" thickTop="1">
      <c r="A7" s="71" t="s">
        <v>66</v>
      </c>
      <c r="B7" s="39">
        <v>40559.300000000003</v>
      </c>
      <c r="C7" s="39">
        <v>130019.41</v>
      </c>
      <c r="D7" s="39">
        <v>145000.44</v>
      </c>
      <c r="E7" s="39">
        <v>127847.46</v>
      </c>
      <c r="F7" s="39">
        <v>151362.18</v>
      </c>
      <c r="G7" s="39">
        <v>149582.88</v>
      </c>
      <c r="H7" s="39">
        <v>139468.35</v>
      </c>
      <c r="I7" s="39">
        <v>156602.28</v>
      </c>
      <c r="J7" s="39">
        <v>169960.53</v>
      </c>
      <c r="K7" s="39">
        <v>184699.96</v>
      </c>
      <c r="L7" s="39">
        <v>172037.8</v>
      </c>
      <c r="M7" s="72">
        <v>230152.95</v>
      </c>
      <c r="N7" s="78">
        <f t="shared" ref="N7:N8" si="0">M7+L7+K7+J7+I7+H7+G7+F7+E7+D7+C7+B7</f>
        <v>1797293.5399999998</v>
      </c>
    </row>
    <row r="8" spans="1:14" ht="15.75" thickBot="1">
      <c r="A8" s="56" t="s">
        <v>67</v>
      </c>
      <c r="B8" s="40">
        <v>10903.58</v>
      </c>
      <c r="C8" s="40">
        <v>19485.740000000002</v>
      </c>
      <c r="D8" s="40">
        <v>8904.44</v>
      </c>
      <c r="E8" s="40">
        <v>48044.47</v>
      </c>
      <c r="F8" s="40">
        <v>10321.16</v>
      </c>
      <c r="G8" s="40">
        <v>16065.82</v>
      </c>
      <c r="H8" s="40">
        <v>23138.78</v>
      </c>
      <c r="I8" s="40">
        <v>22390.53</v>
      </c>
      <c r="J8" s="40">
        <v>35333.22</v>
      </c>
      <c r="K8" s="40">
        <v>24284.66</v>
      </c>
      <c r="L8" s="40">
        <v>26481.66</v>
      </c>
      <c r="M8" s="57">
        <v>14296.55</v>
      </c>
      <c r="N8" s="73">
        <f t="shared" si="0"/>
        <v>259650.61</v>
      </c>
    </row>
    <row r="9" spans="1:14" ht="16.5" thickBot="1">
      <c r="A9" s="74" t="s">
        <v>87</v>
      </c>
      <c r="B9" s="88">
        <f>SUM(B7:B8)</f>
        <v>51462.880000000005</v>
      </c>
      <c r="C9" s="88">
        <f t="shared" ref="C9:N9" si="1">SUM(C7:C8)</f>
        <v>149505.15</v>
      </c>
      <c r="D9" s="88">
        <f t="shared" si="1"/>
        <v>153904.88</v>
      </c>
      <c r="E9" s="88">
        <f t="shared" si="1"/>
        <v>175891.93</v>
      </c>
      <c r="F9" s="88">
        <f t="shared" si="1"/>
        <v>161683.34</v>
      </c>
      <c r="G9" s="88">
        <f t="shared" si="1"/>
        <v>165648.70000000001</v>
      </c>
      <c r="H9" s="88">
        <f t="shared" si="1"/>
        <v>162607.13</v>
      </c>
      <c r="I9" s="88">
        <f t="shared" si="1"/>
        <v>178992.81</v>
      </c>
      <c r="J9" s="88">
        <f t="shared" si="1"/>
        <v>205293.75</v>
      </c>
      <c r="K9" s="88">
        <f t="shared" si="1"/>
        <v>208984.62</v>
      </c>
      <c r="L9" s="88">
        <f t="shared" si="1"/>
        <v>198519.46</v>
      </c>
      <c r="M9" s="88">
        <f t="shared" si="1"/>
        <v>244449.5</v>
      </c>
      <c r="N9" s="87">
        <f t="shared" si="1"/>
        <v>2056944.15</v>
      </c>
    </row>
    <row r="12" spans="1:14">
      <c r="A12" s="34"/>
      <c r="B12" s="20"/>
      <c r="C12" s="20"/>
      <c r="D12" s="20"/>
      <c r="E12" s="20"/>
      <c r="F12" s="20"/>
    </row>
    <row r="13" spans="1:14">
      <c r="A13" s="20"/>
      <c r="B13" s="20"/>
      <c r="C13" s="20"/>
      <c r="D13" s="20"/>
      <c r="E13" s="20"/>
      <c r="F13" s="20"/>
    </row>
  </sheetData>
  <mergeCells count="1">
    <mergeCell ref="B3:J3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3:N13"/>
  <sheetViews>
    <sheetView topLeftCell="C1" workbookViewId="0">
      <selection activeCell="A12" sqref="A12"/>
    </sheetView>
  </sheetViews>
  <sheetFormatPr defaultRowHeight="15"/>
  <cols>
    <col min="1" max="1" width="25.5703125" style="1" customWidth="1"/>
    <col min="2" max="13" width="14" style="1" bestFit="1" customWidth="1"/>
    <col min="14" max="14" width="15.140625" style="1" bestFit="1" customWidth="1"/>
    <col min="15" max="16384" width="9.140625" style="1"/>
  </cols>
  <sheetData>
    <row r="3" spans="1:14" ht="21" customHeight="1">
      <c r="A3" s="4"/>
      <c r="B3" s="126" t="s">
        <v>90</v>
      </c>
      <c r="C3" s="126"/>
      <c r="D3" s="126"/>
      <c r="E3" s="126"/>
      <c r="F3" s="126"/>
      <c r="G3" s="126"/>
      <c r="H3" s="126"/>
      <c r="I3" s="127"/>
      <c r="J3" s="127"/>
    </row>
    <row r="4" spans="1:14" ht="15.75" thickBot="1">
      <c r="M4" s="3"/>
      <c r="N4" s="3"/>
    </row>
    <row r="5" spans="1:14" ht="31.5">
      <c r="A5" s="90" t="s">
        <v>1</v>
      </c>
      <c r="B5" s="91" t="s">
        <v>2</v>
      </c>
      <c r="C5" s="91" t="s">
        <v>3</v>
      </c>
      <c r="D5" s="91" t="s">
        <v>4</v>
      </c>
      <c r="E5" s="91" t="s">
        <v>5</v>
      </c>
      <c r="F5" s="91" t="s">
        <v>6</v>
      </c>
      <c r="G5" s="91" t="s">
        <v>7</v>
      </c>
      <c r="H5" s="91" t="s">
        <v>8</v>
      </c>
      <c r="I5" s="91" t="s">
        <v>9</v>
      </c>
      <c r="J5" s="91" t="s">
        <v>10</v>
      </c>
      <c r="K5" s="91" t="s">
        <v>11</v>
      </c>
      <c r="L5" s="91" t="s">
        <v>12</v>
      </c>
      <c r="M5" s="92" t="s">
        <v>13</v>
      </c>
      <c r="N5" s="60" t="s">
        <v>76</v>
      </c>
    </row>
    <row r="6" spans="1:14" ht="15.75" thickBot="1">
      <c r="A6" s="93">
        <v>1</v>
      </c>
      <c r="B6" s="94">
        <v>2</v>
      </c>
      <c r="C6" s="94">
        <v>3</v>
      </c>
      <c r="D6" s="94">
        <v>4</v>
      </c>
      <c r="E6" s="94">
        <v>5</v>
      </c>
      <c r="F6" s="94">
        <v>6</v>
      </c>
      <c r="G6" s="94">
        <v>7</v>
      </c>
      <c r="H6" s="94">
        <v>8</v>
      </c>
      <c r="I6" s="94">
        <v>9</v>
      </c>
      <c r="J6" s="94">
        <v>10</v>
      </c>
      <c r="K6" s="94">
        <v>11</v>
      </c>
      <c r="L6" s="94">
        <v>12</v>
      </c>
      <c r="M6" s="95">
        <v>13</v>
      </c>
      <c r="N6" s="96" t="s">
        <v>39</v>
      </c>
    </row>
    <row r="7" spans="1:14" ht="15.75" thickTop="1">
      <c r="A7" s="71" t="s">
        <v>66</v>
      </c>
      <c r="B7" s="39">
        <v>619502.91</v>
      </c>
      <c r="C7" s="39">
        <v>1233661.24</v>
      </c>
      <c r="D7" s="39">
        <v>1396579.21</v>
      </c>
      <c r="E7" s="39">
        <v>1290956.32</v>
      </c>
      <c r="F7" s="39">
        <v>1315984.6599999999</v>
      </c>
      <c r="G7" s="39">
        <v>1646063.15</v>
      </c>
      <c r="H7" s="39">
        <v>1549459.84</v>
      </c>
      <c r="I7" s="39">
        <v>1452970.93</v>
      </c>
      <c r="J7" s="39">
        <v>1074442.6000000001</v>
      </c>
      <c r="K7" s="39">
        <v>1280877.33</v>
      </c>
      <c r="L7" s="39">
        <v>1467788.16</v>
      </c>
      <c r="M7" s="72">
        <v>2528674.0099999998</v>
      </c>
      <c r="N7" s="76">
        <f t="shared" ref="N7:N8" si="0">M7+L7+K7+J7+I7+H7+G7+F7+E7+D7+C7+B7</f>
        <v>16856960.359999999</v>
      </c>
    </row>
    <row r="8" spans="1:14" ht="15.75" thickBot="1">
      <c r="A8" s="101" t="s">
        <v>67</v>
      </c>
      <c r="B8" s="40">
        <v>935120.38</v>
      </c>
      <c r="C8" s="40">
        <v>53380.41</v>
      </c>
      <c r="D8" s="40">
        <v>-110007.12</v>
      </c>
      <c r="E8" s="40">
        <v>1074832.22</v>
      </c>
      <c r="F8" s="40">
        <v>1295207.77</v>
      </c>
      <c r="G8" s="40">
        <v>2245523.08</v>
      </c>
      <c r="H8" s="40">
        <v>1099504.5900000001</v>
      </c>
      <c r="I8" s="40">
        <v>2048332.02</v>
      </c>
      <c r="J8" s="40">
        <v>2189302.04</v>
      </c>
      <c r="K8" s="40">
        <v>353596.15999999997</v>
      </c>
      <c r="L8" s="40">
        <v>909250</v>
      </c>
      <c r="M8" s="57">
        <v>830229.69</v>
      </c>
      <c r="N8" s="100">
        <f t="shared" si="0"/>
        <v>12924271.240000002</v>
      </c>
    </row>
    <row r="9" spans="1:14" ht="16.5" thickBot="1">
      <c r="A9" s="74" t="s">
        <v>87</v>
      </c>
      <c r="B9" s="88">
        <f>SUM(B7:B8)</f>
        <v>1554623.29</v>
      </c>
      <c r="C9" s="85">
        <f t="shared" ref="C9:N9" si="1">SUM(C7:C8)</f>
        <v>1287041.6499999999</v>
      </c>
      <c r="D9" s="85">
        <f t="shared" si="1"/>
        <v>1286572.0899999999</v>
      </c>
      <c r="E9" s="85">
        <f t="shared" si="1"/>
        <v>2365788.54</v>
      </c>
      <c r="F9" s="85">
        <f t="shared" si="1"/>
        <v>2611192.4299999997</v>
      </c>
      <c r="G9" s="85">
        <f t="shared" si="1"/>
        <v>3891586.23</v>
      </c>
      <c r="H9" s="85">
        <f t="shared" si="1"/>
        <v>2648964.4300000002</v>
      </c>
      <c r="I9" s="85">
        <f t="shared" si="1"/>
        <v>3501302.95</v>
      </c>
      <c r="J9" s="85">
        <f t="shared" si="1"/>
        <v>3263744.64</v>
      </c>
      <c r="K9" s="85">
        <f t="shared" si="1"/>
        <v>1634473.49</v>
      </c>
      <c r="L9" s="85">
        <f t="shared" si="1"/>
        <v>2377038.16</v>
      </c>
      <c r="M9" s="85">
        <f t="shared" si="1"/>
        <v>3358903.6999999997</v>
      </c>
      <c r="N9" s="89">
        <f t="shared" si="1"/>
        <v>29781231.600000001</v>
      </c>
    </row>
    <row r="12" spans="1:14">
      <c r="A12" s="34"/>
      <c r="B12" s="20"/>
      <c r="C12" s="20"/>
      <c r="D12" s="20"/>
      <c r="E12" s="20"/>
      <c r="F12" s="20"/>
    </row>
    <row r="13" spans="1:14">
      <c r="A13" s="20"/>
      <c r="B13" s="20"/>
      <c r="C13" s="20"/>
      <c r="D13" s="20"/>
      <c r="E13" s="20"/>
      <c r="F13" s="20"/>
    </row>
  </sheetData>
  <mergeCells count="1">
    <mergeCell ref="B3:J3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3:N13"/>
  <sheetViews>
    <sheetView topLeftCell="C1" workbookViewId="0">
      <selection activeCell="A12" sqref="A12"/>
    </sheetView>
  </sheetViews>
  <sheetFormatPr defaultRowHeight="15"/>
  <cols>
    <col min="1" max="1" width="27.7109375" style="1" customWidth="1"/>
    <col min="2" max="2" width="11.140625" style="1" customWidth="1"/>
    <col min="3" max="3" width="11.28515625" style="1" customWidth="1"/>
    <col min="4" max="4" width="11.42578125" style="1" customWidth="1"/>
    <col min="5" max="5" width="11.5703125" style="1" customWidth="1"/>
    <col min="6" max="6" width="11.7109375" style="1" customWidth="1"/>
    <col min="7" max="7" width="10.85546875" style="1" customWidth="1"/>
    <col min="8" max="9" width="11.140625" style="1" customWidth="1"/>
    <col min="10" max="10" width="11.85546875" style="1" customWidth="1"/>
    <col min="11" max="11" width="11.42578125" style="1" customWidth="1"/>
    <col min="12" max="12" width="12" style="1" customWidth="1"/>
    <col min="13" max="13" width="11.28515625" style="1" customWidth="1"/>
    <col min="14" max="14" width="12.140625" style="1" bestFit="1" customWidth="1"/>
    <col min="15" max="16384" width="9.140625" style="1"/>
  </cols>
  <sheetData>
    <row r="3" spans="1:14" ht="21" customHeight="1">
      <c r="A3" s="4"/>
      <c r="B3" s="126" t="s">
        <v>91</v>
      </c>
      <c r="C3" s="126"/>
      <c r="D3" s="126"/>
      <c r="E3" s="126"/>
      <c r="F3" s="126"/>
      <c r="G3" s="126"/>
      <c r="H3" s="126"/>
      <c r="I3" s="127"/>
      <c r="J3" s="127"/>
    </row>
    <row r="4" spans="1:14" ht="15.75" thickBot="1">
      <c r="M4" s="3"/>
      <c r="N4" s="3"/>
    </row>
    <row r="5" spans="1:14" ht="32.25" thickBot="1">
      <c r="A5" s="58" t="s">
        <v>1</v>
      </c>
      <c r="B5" s="59" t="s">
        <v>2</v>
      </c>
      <c r="C5" s="59" t="s">
        <v>3</v>
      </c>
      <c r="D5" s="59" t="s">
        <v>4</v>
      </c>
      <c r="E5" s="59" t="s">
        <v>5</v>
      </c>
      <c r="F5" s="59" t="s">
        <v>6</v>
      </c>
      <c r="G5" s="59" t="s">
        <v>7</v>
      </c>
      <c r="H5" s="59" t="s">
        <v>8</v>
      </c>
      <c r="I5" s="59" t="s">
        <v>9</v>
      </c>
      <c r="J5" s="59" t="s">
        <v>10</v>
      </c>
      <c r="K5" s="59" t="s">
        <v>11</v>
      </c>
      <c r="L5" s="59" t="s">
        <v>12</v>
      </c>
      <c r="M5" s="63" t="s">
        <v>13</v>
      </c>
      <c r="N5" s="62" t="s">
        <v>76</v>
      </c>
    </row>
    <row r="6" spans="1:14" ht="15.75" thickBot="1">
      <c r="A6" s="102">
        <v>1</v>
      </c>
      <c r="B6" s="103">
        <v>2</v>
      </c>
      <c r="C6" s="103">
        <v>3</v>
      </c>
      <c r="D6" s="103">
        <v>4</v>
      </c>
      <c r="E6" s="103">
        <v>5</v>
      </c>
      <c r="F6" s="103">
        <v>6</v>
      </c>
      <c r="G6" s="103">
        <v>7</v>
      </c>
      <c r="H6" s="103">
        <v>8</v>
      </c>
      <c r="I6" s="103">
        <v>9</v>
      </c>
      <c r="J6" s="103">
        <v>10</v>
      </c>
      <c r="K6" s="103">
        <v>11</v>
      </c>
      <c r="L6" s="103">
        <v>12</v>
      </c>
      <c r="M6" s="104">
        <v>13</v>
      </c>
      <c r="N6" s="105" t="s">
        <v>39</v>
      </c>
    </row>
    <row r="7" spans="1:14" ht="15.75" thickTop="1">
      <c r="A7" s="69" t="s">
        <v>66</v>
      </c>
      <c r="B7" s="65">
        <v>5670.94</v>
      </c>
      <c r="C7" s="65">
        <v>4774.66</v>
      </c>
      <c r="D7" s="65">
        <v>3161.78</v>
      </c>
      <c r="E7" s="39">
        <v>4896.0200000000004</v>
      </c>
      <c r="F7" s="39">
        <v>13480.17</v>
      </c>
      <c r="G7" s="39">
        <v>13724.01</v>
      </c>
      <c r="H7" s="65">
        <v>8546.83</v>
      </c>
      <c r="I7" s="39">
        <v>12607.57</v>
      </c>
      <c r="J7" s="65">
        <v>6304.89</v>
      </c>
      <c r="K7" s="65">
        <v>6940.01</v>
      </c>
      <c r="L7" s="44">
        <v>6906.47</v>
      </c>
      <c r="M7" s="65">
        <v>16200.05</v>
      </c>
      <c r="N7" s="78">
        <f t="shared" ref="N7:N8" si="0">M7+L7+K7+J7+I7+H7+G7+F7+E7+D7+C7+B7</f>
        <v>103213.40000000001</v>
      </c>
    </row>
    <row r="8" spans="1:14" ht="15.75" thickBot="1">
      <c r="A8" s="70" t="s">
        <v>67</v>
      </c>
      <c r="B8" s="40">
        <v>1918.44</v>
      </c>
      <c r="C8" s="40">
        <v>346.73</v>
      </c>
      <c r="D8" s="40">
        <v>0</v>
      </c>
      <c r="E8" s="38">
        <v>601.28</v>
      </c>
      <c r="F8" s="38">
        <v>335.63</v>
      </c>
      <c r="G8" s="38">
        <v>8356.44</v>
      </c>
      <c r="H8" s="40">
        <v>86.42</v>
      </c>
      <c r="I8" s="38">
        <v>3862.28</v>
      </c>
      <c r="J8" s="40">
        <v>580.69000000000005</v>
      </c>
      <c r="K8" s="40">
        <v>1700.69</v>
      </c>
      <c r="L8" s="43">
        <v>2901.07</v>
      </c>
      <c r="M8" s="40">
        <v>654.53</v>
      </c>
      <c r="N8" s="78">
        <f t="shared" si="0"/>
        <v>21344.2</v>
      </c>
    </row>
    <row r="9" spans="1:14" ht="16.5" thickBot="1">
      <c r="A9" s="74" t="s">
        <v>87</v>
      </c>
      <c r="B9" s="85">
        <f>SUM(B7:B8)</f>
        <v>7589.3799999999992</v>
      </c>
      <c r="C9" s="85">
        <f t="shared" ref="C9:N9" si="1">SUM(C7:C8)</f>
        <v>5121.3899999999994</v>
      </c>
      <c r="D9" s="85">
        <f t="shared" si="1"/>
        <v>3161.78</v>
      </c>
      <c r="E9" s="85">
        <f t="shared" si="1"/>
        <v>5497.3</v>
      </c>
      <c r="F9" s="85">
        <f t="shared" si="1"/>
        <v>13815.8</v>
      </c>
      <c r="G9" s="85">
        <f t="shared" si="1"/>
        <v>22080.45</v>
      </c>
      <c r="H9" s="85">
        <f t="shared" si="1"/>
        <v>8633.25</v>
      </c>
      <c r="I9" s="85">
        <f t="shared" si="1"/>
        <v>16469.849999999999</v>
      </c>
      <c r="J9" s="85">
        <f t="shared" si="1"/>
        <v>6885.58</v>
      </c>
      <c r="K9" s="85">
        <f t="shared" si="1"/>
        <v>8640.7000000000007</v>
      </c>
      <c r="L9" s="85">
        <f t="shared" si="1"/>
        <v>9807.5400000000009</v>
      </c>
      <c r="M9" s="85">
        <f t="shared" si="1"/>
        <v>16854.579999999998</v>
      </c>
      <c r="N9" s="85">
        <f t="shared" si="1"/>
        <v>124557.6</v>
      </c>
    </row>
    <row r="12" spans="1:14">
      <c r="A12" s="34"/>
      <c r="B12" s="20"/>
      <c r="C12" s="20"/>
      <c r="D12" s="20"/>
      <c r="E12" s="20"/>
      <c r="F12" s="20"/>
    </row>
    <row r="13" spans="1:14">
      <c r="A13" s="20"/>
      <c r="B13" s="20"/>
      <c r="C13" s="20"/>
      <c r="D13" s="20"/>
      <c r="E13" s="20"/>
      <c r="F13" s="20"/>
      <c r="L13" s="42"/>
    </row>
  </sheetData>
  <mergeCells count="1">
    <mergeCell ref="B3:J3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3:N13"/>
  <sheetViews>
    <sheetView workbookViewId="0">
      <selection activeCell="A12" sqref="A12"/>
    </sheetView>
  </sheetViews>
  <sheetFormatPr defaultRowHeight="15"/>
  <cols>
    <col min="1" max="1" width="25.7109375" style="1" customWidth="1"/>
    <col min="2" max="2" width="10.85546875" style="1" customWidth="1"/>
    <col min="3" max="3" width="11.85546875" style="1" customWidth="1"/>
    <col min="4" max="4" width="12.140625" style="1" bestFit="1" customWidth="1"/>
    <col min="5" max="5" width="11.28515625" style="1" bestFit="1" customWidth="1"/>
    <col min="6" max="6" width="11.42578125" style="1" customWidth="1"/>
    <col min="7" max="7" width="12.140625" style="1" bestFit="1" customWidth="1"/>
    <col min="8" max="8" width="10.5703125" style="1" customWidth="1"/>
    <col min="9" max="9" width="11" style="1" customWidth="1"/>
    <col min="10" max="10" width="12.5703125" style="1" customWidth="1"/>
    <col min="11" max="11" width="12.140625" style="1" bestFit="1" customWidth="1"/>
    <col min="12" max="12" width="12.140625" style="1" customWidth="1"/>
    <col min="13" max="13" width="12.140625" style="1" bestFit="1" customWidth="1"/>
    <col min="14" max="14" width="14" style="1" bestFit="1" customWidth="1"/>
    <col min="15" max="16384" width="9.140625" style="1"/>
  </cols>
  <sheetData>
    <row r="3" spans="1:14" ht="21" customHeight="1">
      <c r="A3" s="4"/>
      <c r="B3" s="126" t="s">
        <v>92</v>
      </c>
      <c r="C3" s="126"/>
      <c r="D3" s="126"/>
      <c r="E3" s="126"/>
      <c r="F3" s="126"/>
      <c r="G3" s="126"/>
      <c r="H3" s="126"/>
      <c r="I3" s="127"/>
      <c r="J3" s="127"/>
    </row>
    <row r="4" spans="1:14" ht="15.75" thickBot="1">
      <c r="M4" s="3"/>
      <c r="N4" s="3"/>
    </row>
    <row r="5" spans="1:14" ht="32.25" thickBot="1">
      <c r="A5" s="110" t="s">
        <v>1</v>
      </c>
      <c r="B5" s="108" t="s">
        <v>2</v>
      </c>
      <c r="C5" s="59" t="s">
        <v>3</v>
      </c>
      <c r="D5" s="59" t="s">
        <v>4</v>
      </c>
      <c r="E5" s="59" t="s">
        <v>5</v>
      </c>
      <c r="F5" s="59" t="s">
        <v>6</v>
      </c>
      <c r="G5" s="59" t="s">
        <v>7</v>
      </c>
      <c r="H5" s="59" t="s">
        <v>8</v>
      </c>
      <c r="I5" s="59" t="s">
        <v>9</v>
      </c>
      <c r="J5" s="59" t="s">
        <v>10</v>
      </c>
      <c r="K5" s="59" t="s">
        <v>11</v>
      </c>
      <c r="L5" s="59" t="s">
        <v>12</v>
      </c>
      <c r="M5" s="63" t="s">
        <v>13</v>
      </c>
      <c r="N5" s="62" t="s">
        <v>76</v>
      </c>
    </row>
    <row r="6" spans="1:14" ht="15.75" thickBot="1">
      <c r="A6" s="111">
        <v>1</v>
      </c>
      <c r="B6" s="109">
        <v>2</v>
      </c>
      <c r="C6" s="103">
        <v>3</v>
      </c>
      <c r="D6" s="103">
        <v>4</v>
      </c>
      <c r="E6" s="103">
        <v>5</v>
      </c>
      <c r="F6" s="103">
        <v>6</v>
      </c>
      <c r="G6" s="103">
        <v>7</v>
      </c>
      <c r="H6" s="103">
        <v>8</v>
      </c>
      <c r="I6" s="103">
        <v>9</v>
      </c>
      <c r="J6" s="103">
        <v>10</v>
      </c>
      <c r="K6" s="103">
        <v>11</v>
      </c>
      <c r="L6" s="103">
        <v>12</v>
      </c>
      <c r="M6" s="104">
        <v>13</v>
      </c>
      <c r="N6" s="105" t="s">
        <v>39</v>
      </c>
    </row>
    <row r="7" spans="1:14" ht="15.75" thickTop="1">
      <c r="A7" s="112" t="s">
        <v>66</v>
      </c>
      <c r="B7" s="44">
        <v>30959.74</v>
      </c>
      <c r="C7" s="39">
        <v>75834.399999999994</v>
      </c>
      <c r="D7" s="39">
        <v>108635.76</v>
      </c>
      <c r="E7" s="39">
        <v>77655.12</v>
      </c>
      <c r="F7" s="39">
        <v>63923.72</v>
      </c>
      <c r="G7" s="39">
        <v>118702.88</v>
      </c>
      <c r="H7" s="39">
        <v>77715.75</v>
      </c>
      <c r="I7" s="39">
        <v>74435.509999999995</v>
      </c>
      <c r="J7" s="39">
        <v>108866.86</v>
      </c>
      <c r="K7" s="39">
        <v>95295.97</v>
      </c>
      <c r="L7" s="39">
        <v>164913.10999999999</v>
      </c>
      <c r="M7" s="72">
        <v>191188</v>
      </c>
      <c r="N7" s="76">
        <f t="shared" ref="N7:N8" si="0">M7+L7+K7+J7+I7+H7+G7+F7+E7+D7+C7+B7</f>
        <v>1188126.8199999998</v>
      </c>
    </row>
    <row r="8" spans="1:14" ht="15.75" thickBot="1">
      <c r="A8" s="113" t="s">
        <v>67</v>
      </c>
      <c r="B8" s="43">
        <v>13427.27</v>
      </c>
      <c r="C8" s="38">
        <v>6647.65</v>
      </c>
      <c r="D8" s="38">
        <v>9702.16</v>
      </c>
      <c r="E8" s="38">
        <v>5511.19</v>
      </c>
      <c r="F8" s="38">
        <v>4148.42</v>
      </c>
      <c r="G8" s="38">
        <v>6596.98</v>
      </c>
      <c r="H8" s="38">
        <v>5946.83</v>
      </c>
      <c r="I8" s="38">
        <v>17158.560000000001</v>
      </c>
      <c r="J8" s="38">
        <v>13375.66</v>
      </c>
      <c r="K8" s="38">
        <v>9704.07</v>
      </c>
      <c r="L8" s="38">
        <v>8904.3700000000008</v>
      </c>
      <c r="M8" s="55">
        <v>8152.19</v>
      </c>
      <c r="N8" s="76">
        <f t="shared" si="0"/>
        <v>109275.35</v>
      </c>
    </row>
    <row r="9" spans="1:14" ht="16.5" thickBot="1">
      <c r="A9" s="107" t="s">
        <v>93</v>
      </c>
      <c r="B9" s="106">
        <f>SUM(B7:B8)</f>
        <v>44387.01</v>
      </c>
      <c r="C9" s="85">
        <f t="shared" ref="C9:N9" si="1">SUM(C7:C8)</f>
        <v>82482.049999999988</v>
      </c>
      <c r="D9" s="85">
        <f t="shared" si="1"/>
        <v>118337.92</v>
      </c>
      <c r="E9" s="85">
        <f t="shared" si="1"/>
        <v>83166.31</v>
      </c>
      <c r="F9" s="85">
        <f t="shared" si="1"/>
        <v>68072.14</v>
      </c>
      <c r="G9" s="85">
        <f t="shared" si="1"/>
        <v>125299.86</v>
      </c>
      <c r="H9" s="85">
        <f t="shared" si="1"/>
        <v>83662.58</v>
      </c>
      <c r="I9" s="85">
        <f t="shared" si="1"/>
        <v>91594.069999999992</v>
      </c>
      <c r="J9" s="85">
        <f t="shared" si="1"/>
        <v>122242.52</v>
      </c>
      <c r="K9" s="85">
        <f t="shared" si="1"/>
        <v>105000.04000000001</v>
      </c>
      <c r="L9" s="85">
        <f t="shared" si="1"/>
        <v>173817.47999999998</v>
      </c>
      <c r="M9" s="86">
        <f t="shared" si="1"/>
        <v>199340.19</v>
      </c>
      <c r="N9" s="87">
        <f t="shared" si="1"/>
        <v>1297402.17</v>
      </c>
    </row>
    <row r="12" spans="1:14">
      <c r="A12" s="34"/>
      <c r="B12" s="20"/>
      <c r="C12" s="20"/>
      <c r="D12" s="20"/>
      <c r="E12" s="20"/>
      <c r="F12" s="20"/>
    </row>
    <row r="13" spans="1:14">
      <c r="A13" s="20"/>
      <c r="B13" s="20"/>
      <c r="C13" s="20"/>
      <c r="D13" s="20"/>
      <c r="E13" s="20"/>
      <c r="F13" s="20"/>
    </row>
  </sheetData>
  <mergeCells count="1">
    <mergeCell ref="B3:J3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dimension ref="A3:N13"/>
  <sheetViews>
    <sheetView topLeftCell="A3" workbookViewId="0">
      <selection activeCell="A12" sqref="A12"/>
    </sheetView>
  </sheetViews>
  <sheetFormatPr defaultRowHeight="15"/>
  <cols>
    <col min="1" max="1" width="27.7109375" style="1" customWidth="1"/>
    <col min="2" max="2" width="11" style="1" customWidth="1"/>
    <col min="3" max="3" width="10.42578125" style="1" customWidth="1"/>
    <col min="4" max="4" width="10.85546875" style="1" customWidth="1"/>
    <col min="5" max="5" width="10.7109375" style="1" customWidth="1"/>
    <col min="6" max="6" width="10.42578125" style="1" customWidth="1"/>
    <col min="7" max="9" width="12.140625" style="1" bestFit="1" customWidth="1"/>
    <col min="10" max="10" width="12.42578125" style="1" customWidth="1"/>
    <col min="11" max="11" width="12.140625" style="1" bestFit="1" customWidth="1"/>
    <col min="12" max="12" width="11.7109375" style="1" customWidth="1"/>
    <col min="13" max="13" width="12.140625" style="1" customWidth="1"/>
    <col min="14" max="14" width="11.7109375" style="1" customWidth="1"/>
    <col min="15" max="16384" width="9.140625" style="1"/>
  </cols>
  <sheetData>
    <row r="3" spans="1:14" ht="21" customHeight="1">
      <c r="A3" s="4"/>
      <c r="B3" s="126" t="s">
        <v>94</v>
      </c>
      <c r="C3" s="126"/>
      <c r="D3" s="126"/>
      <c r="E3" s="126"/>
      <c r="F3" s="126"/>
      <c r="G3" s="126"/>
      <c r="H3" s="126"/>
      <c r="I3" s="127"/>
      <c r="J3" s="127"/>
    </row>
    <row r="4" spans="1:14" ht="15.75" thickBot="1">
      <c r="M4" s="3"/>
      <c r="N4" s="3"/>
    </row>
    <row r="5" spans="1:14" ht="45.75" thickBot="1">
      <c r="A5" s="58" t="s">
        <v>1</v>
      </c>
      <c r="B5" s="59" t="s">
        <v>2</v>
      </c>
      <c r="C5" s="59" t="s">
        <v>3</v>
      </c>
      <c r="D5" s="59" t="s">
        <v>4</v>
      </c>
      <c r="E5" s="59" t="s">
        <v>5</v>
      </c>
      <c r="F5" s="59" t="s">
        <v>6</v>
      </c>
      <c r="G5" s="59" t="s">
        <v>7</v>
      </c>
      <c r="H5" s="59" t="s">
        <v>8</v>
      </c>
      <c r="I5" s="59" t="s">
        <v>9</v>
      </c>
      <c r="J5" s="59" t="s">
        <v>10</v>
      </c>
      <c r="K5" s="59" t="s">
        <v>11</v>
      </c>
      <c r="L5" s="59" t="s">
        <v>12</v>
      </c>
      <c r="M5" s="63" t="s">
        <v>13</v>
      </c>
      <c r="N5" s="62" t="s">
        <v>76</v>
      </c>
    </row>
    <row r="6" spans="1:14" ht="15.75" thickBot="1">
      <c r="A6" s="66">
        <v>1</v>
      </c>
      <c r="B6" s="67">
        <v>2</v>
      </c>
      <c r="C6" s="67">
        <v>3</v>
      </c>
      <c r="D6" s="67">
        <v>4</v>
      </c>
      <c r="E6" s="67">
        <v>5</v>
      </c>
      <c r="F6" s="67">
        <v>6</v>
      </c>
      <c r="G6" s="67">
        <v>7</v>
      </c>
      <c r="H6" s="67">
        <v>8</v>
      </c>
      <c r="I6" s="67">
        <v>9</v>
      </c>
      <c r="J6" s="67">
        <v>10</v>
      </c>
      <c r="K6" s="67">
        <v>11</v>
      </c>
      <c r="L6" s="67">
        <v>12</v>
      </c>
      <c r="M6" s="68">
        <v>13</v>
      </c>
      <c r="N6" s="61" t="s">
        <v>39</v>
      </c>
    </row>
    <row r="7" spans="1:14">
      <c r="A7" s="112" t="s">
        <v>66</v>
      </c>
      <c r="B7" s="40">
        <v>14415.53</v>
      </c>
      <c r="C7" s="40">
        <v>21996.32</v>
      </c>
      <c r="D7" s="40">
        <v>25754.39</v>
      </c>
      <c r="E7" s="38">
        <v>20434.72</v>
      </c>
      <c r="F7" s="38">
        <v>58010.71</v>
      </c>
      <c r="G7" s="38">
        <v>55946.67</v>
      </c>
      <c r="H7" s="40">
        <v>69600.97</v>
      </c>
      <c r="I7" s="38">
        <v>47246.79</v>
      </c>
      <c r="J7" s="40">
        <v>55399.27</v>
      </c>
      <c r="K7" s="40">
        <v>55920.04</v>
      </c>
      <c r="L7" s="43">
        <v>60848.480000000003</v>
      </c>
      <c r="M7" s="40">
        <v>109173.75</v>
      </c>
      <c r="N7" s="78">
        <f t="shared" ref="N7:N8" si="0">M7+L7+K7+J7+I7+H7+G7+F7+E7+D7+C7+B7</f>
        <v>594747.64</v>
      </c>
    </row>
    <row r="8" spans="1:14" ht="15.75" thickBot="1">
      <c r="A8" s="113" t="s">
        <v>67</v>
      </c>
      <c r="B8" s="40">
        <v>585.95000000000005</v>
      </c>
      <c r="C8" s="40">
        <v>590.1</v>
      </c>
      <c r="D8" s="40">
        <v>-358.39</v>
      </c>
      <c r="E8" s="38">
        <v>1539.87</v>
      </c>
      <c r="F8" s="38">
        <v>1014.77</v>
      </c>
      <c r="G8" s="38">
        <v>2070.86</v>
      </c>
      <c r="H8" s="40">
        <v>5812.24</v>
      </c>
      <c r="I8" s="38">
        <v>10731.36</v>
      </c>
      <c r="J8" s="40">
        <v>15489.05</v>
      </c>
      <c r="K8" s="40">
        <v>-627.45000000000005</v>
      </c>
      <c r="L8" s="43">
        <v>2394.1</v>
      </c>
      <c r="M8" s="40">
        <v>1995</v>
      </c>
      <c r="N8" s="78">
        <f t="shared" si="0"/>
        <v>41237.46</v>
      </c>
    </row>
    <row r="9" spans="1:14" ht="16.5" thickBot="1">
      <c r="A9" s="74" t="s">
        <v>93</v>
      </c>
      <c r="B9" s="88">
        <f>SUM(B7:B8)</f>
        <v>15001.480000000001</v>
      </c>
      <c r="C9" s="85">
        <f t="shared" ref="C9:N9" si="1">SUM(C7:C8)</f>
        <v>22586.42</v>
      </c>
      <c r="D9" s="85">
        <f t="shared" si="1"/>
        <v>25396</v>
      </c>
      <c r="E9" s="85">
        <f t="shared" si="1"/>
        <v>21974.59</v>
      </c>
      <c r="F9" s="85">
        <f t="shared" si="1"/>
        <v>59025.479999999996</v>
      </c>
      <c r="G9" s="85">
        <f t="shared" si="1"/>
        <v>58017.53</v>
      </c>
      <c r="H9" s="85">
        <f t="shared" si="1"/>
        <v>75413.210000000006</v>
      </c>
      <c r="I9" s="85">
        <f t="shared" si="1"/>
        <v>57978.15</v>
      </c>
      <c r="J9" s="85">
        <f t="shared" si="1"/>
        <v>70888.319999999992</v>
      </c>
      <c r="K9" s="85">
        <f t="shared" si="1"/>
        <v>55292.590000000004</v>
      </c>
      <c r="L9" s="85">
        <f t="shared" si="1"/>
        <v>63242.58</v>
      </c>
      <c r="M9" s="85">
        <f t="shared" si="1"/>
        <v>111168.75</v>
      </c>
      <c r="N9" s="89">
        <f t="shared" si="1"/>
        <v>635985.1</v>
      </c>
    </row>
    <row r="11" spans="1:14">
      <c r="B11" s="41"/>
    </row>
    <row r="12" spans="1:14">
      <c r="A12" s="34"/>
      <c r="B12" s="20"/>
      <c r="C12" s="20"/>
      <c r="D12" s="20"/>
      <c r="E12" s="20"/>
      <c r="F12" s="20"/>
    </row>
    <row r="13" spans="1:14">
      <c r="A13" s="20"/>
      <c r="B13" s="20"/>
      <c r="C13" s="20"/>
      <c r="D13" s="20"/>
      <c r="E13" s="20"/>
      <c r="F13" s="20"/>
    </row>
  </sheetData>
  <mergeCells count="1">
    <mergeCell ref="B3:J3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dimension ref="A3:N13"/>
  <sheetViews>
    <sheetView workbookViewId="0">
      <selection activeCell="A12" sqref="A12"/>
    </sheetView>
  </sheetViews>
  <sheetFormatPr defaultRowHeight="15"/>
  <cols>
    <col min="1" max="1" width="28.28515625" style="1" customWidth="1"/>
    <col min="2" max="2" width="12.140625" style="1" bestFit="1" customWidth="1"/>
    <col min="3" max="4" width="14" style="1" bestFit="1" customWidth="1"/>
    <col min="5" max="5" width="12.140625" style="1" bestFit="1" customWidth="1"/>
    <col min="6" max="6" width="11.5703125" style="1" customWidth="1"/>
    <col min="7" max="7" width="12.5703125" style="1" customWidth="1"/>
    <col min="8" max="8" width="14" style="1" bestFit="1" customWidth="1"/>
    <col min="9" max="9" width="12.140625" style="1" bestFit="1" customWidth="1"/>
    <col min="10" max="10" width="11.7109375" style="1" customWidth="1"/>
    <col min="11" max="13" width="14" style="1" bestFit="1" customWidth="1"/>
    <col min="14" max="14" width="15.140625" style="1" bestFit="1" customWidth="1"/>
    <col min="15" max="16384" width="9.140625" style="1"/>
  </cols>
  <sheetData>
    <row r="3" spans="1:14" ht="21" customHeight="1">
      <c r="A3" s="4"/>
      <c r="B3" s="126" t="s">
        <v>95</v>
      </c>
      <c r="C3" s="126"/>
      <c r="D3" s="126"/>
      <c r="E3" s="126"/>
      <c r="F3" s="126"/>
      <c r="G3" s="126"/>
      <c r="H3" s="126"/>
      <c r="I3" s="127"/>
      <c r="J3" s="127"/>
    </row>
    <row r="4" spans="1:14" ht="15.75" thickBot="1">
      <c r="M4" s="3"/>
      <c r="N4" s="3"/>
    </row>
    <row r="5" spans="1:14" ht="45">
      <c r="A5" s="116" t="s">
        <v>1</v>
      </c>
      <c r="B5" s="114" t="s">
        <v>2</v>
      </c>
      <c r="C5" s="91" t="s">
        <v>3</v>
      </c>
      <c r="D5" s="91" t="s">
        <v>4</v>
      </c>
      <c r="E5" s="91" t="s">
        <v>5</v>
      </c>
      <c r="F5" s="91" t="s">
        <v>6</v>
      </c>
      <c r="G5" s="91" t="s">
        <v>7</v>
      </c>
      <c r="H5" s="91" t="s">
        <v>8</v>
      </c>
      <c r="I5" s="91" t="s">
        <v>9</v>
      </c>
      <c r="J5" s="91" t="s">
        <v>10</v>
      </c>
      <c r="K5" s="91" t="s">
        <v>11</v>
      </c>
      <c r="L5" s="91" t="s">
        <v>12</v>
      </c>
      <c r="M5" s="92" t="s">
        <v>13</v>
      </c>
      <c r="N5" s="60" t="s">
        <v>76</v>
      </c>
    </row>
    <row r="6" spans="1:14" ht="15.75" thickBot="1">
      <c r="A6" s="117">
        <v>1</v>
      </c>
      <c r="B6" s="115">
        <v>2</v>
      </c>
      <c r="C6" s="94">
        <v>3</v>
      </c>
      <c r="D6" s="94">
        <v>4</v>
      </c>
      <c r="E6" s="94">
        <v>5</v>
      </c>
      <c r="F6" s="94">
        <v>6</v>
      </c>
      <c r="G6" s="94">
        <v>7</v>
      </c>
      <c r="H6" s="94">
        <v>8</v>
      </c>
      <c r="I6" s="94">
        <v>9</v>
      </c>
      <c r="J6" s="94">
        <v>10</v>
      </c>
      <c r="K6" s="94">
        <v>11</v>
      </c>
      <c r="L6" s="94">
        <v>12</v>
      </c>
      <c r="M6" s="95">
        <v>13</v>
      </c>
      <c r="N6" s="96" t="s">
        <v>39</v>
      </c>
    </row>
    <row r="7" spans="1:14" ht="15.75" thickTop="1">
      <c r="A7" s="112" t="s">
        <v>66</v>
      </c>
      <c r="B7" s="44">
        <f>325789.15-168000</f>
        <v>157789.15000000002</v>
      </c>
      <c r="C7" s="39">
        <v>414882.9</v>
      </c>
      <c r="D7" s="39">
        <v>398782.56</v>
      </c>
      <c r="E7" s="39">
        <f>470527.47-90000</f>
        <v>380527.47</v>
      </c>
      <c r="F7" s="39">
        <v>436323.68</v>
      </c>
      <c r="G7" s="39">
        <v>411399.05</v>
      </c>
      <c r="H7" s="39">
        <v>610168.52</v>
      </c>
      <c r="I7" s="39">
        <v>503767.56</v>
      </c>
      <c r="J7" s="39">
        <v>464495.39</v>
      </c>
      <c r="K7" s="39">
        <v>570246.14</v>
      </c>
      <c r="L7" s="39">
        <v>498467.95</v>
      </c>
      <c r="M7" s="97">
        <v>801042.12</v>
      </c>
      <c r="N7" s="78">
        <f t="shared" ref="N7:N8" si="0">M7+L7+K7+J7+I7+H7+G7+F7+E7+D7+C7+B7</f>
        <v>5647892.4900000002</v>
      </c>
    </row>
    <row r="8" spans="1:14" ht="15.75" thickBot="1">
      <c r="A8" s="113" t="s">
        <v>67</v>
      </c>
      <c r="B8" s="43">
        <v>633643.18000000005</v>
      </c>
      <c r="C8" s="38">
        <v>640681.99</v>
      </c>
      <c r="D8" s="38">
        <v>805465.12</v>
      </c>
      <c r="E8" s="38">
        <v>486850.65</v>
      </c>
      <c r="F8" s="38">
        <v>188766.81</v>
      </c>
      <c r="G8" s="38">
        <v>88932.88</v>
      </c>
      <c r="H8" s="38">
        <f>675878.59-200000</f>
        <v>475878.58999999997</v>
      </c>
      <c r="I8" s="38">
        <v>443716.05</v>
      </c>
      <c r="J8" s="38">
        <v>257968.25</v>
      </c>
      <c r="K8" s="38">
        <v>546108.15</v>
      </c>
      <c r="L8" s="38">
        <v>580005.59</v>
      </c>
      <c r="M8" s="64">
        <f>645464.38-150000</f>
        <v>495464.38</v>
      </c>
      <c r="N8" s="78">
        <f t="shared" si="0"/>
        <v>5643481.6399999997</v>
      </c>
    </row>
    <row r="9" spans="1:14" ht="16.5" thickBot="1">
      <c r="A9" s="107" t="s">
        <v>96</v>
      </c>
      <c r="B9" s="106">
        <f>SUM(B7:B8)</f>
        <v>791432.33000000007</v>
      </c>
      <c r="C9" s="85">
        <f t="shared" ref="C9:N9" si="1">SUM(C7:C8)</f>
        <v>1055564.8900000001</v>
      </c>
      <c r="D9" s="85">
        <f t="shared" si="1"/>
        <v>1204247.68</v>
      </c>
      <c r="E9" s="85">
        <f t="shared" si="1"/>
        <v>867378.12</v>
      </c>
      <c r="F9" s="85">
        <f t="shared" si="1"/>
        <v>625090.49</v>
      </c>
      <c r="G9" s="85">
        <f t="shared" si="1"/>
        <v>500331.93</v>
      </c>
      <c r="H9" s="85">
        <f t="shared" si="1"/>
        <v>1086047.1099999999</v>
      </c>
      <c r="I9" s="85">
        <f t="shared" si="1"/>
        <v>947483.61</v>
      </c>
      <c r="J9" s="85">
        <f t="shared" si="1"/>
        <v>722463.64</v>
      </c>
      <c r="K9" s="85">
        <f t="shared" si="1"/>
        <v>1116354.29</v>
      </c>
      <c r="L9" s="85">
        <f t="shared" si="1"/>
        <v>1078473.54</v>
      </c>
      <c r="M9" s="86">
        <f t="shared" si="1"/>
        <v>1296506.5</v>
      </c>
      <c r="N9" s="87">
        <f t="shared" si="1"/>
        <v>11291374.129999999</v>
      </c>
    </row>
    <row r="12" spans="1:14">
      <c r="A12" s="34"/>
      <c r="B12" s="20"/>
      <c r="C12" s="20"/>
      <c r="D12" s="20"/>
      <c r="E12" s="20"/>
      <c r="F12" s="20"/>
    </row>
    <row r="13" spans="1:14">
      <c r="A13" s="20"/>
      <c r="B13" s="20"/>
      <c r="C13" s="20"/>
      <c r="D13" s="20"/>
      <c r="E13" s="20"/>
      <c r="F13" s="20"/>
    </row>
  </sheetData>
  <mergeCells count="1">
    <mergeCell ref="B3:J3"/>
  </mergeCells>
  <pageMargins left="0.7" right="0.7" top="0.75" bottom="0.75" header="0.3" footer="0.3"/>
  <pageSetup paperSize="9" orientation="portrait" horizontalDpi="300" verticalDpi="300" r:id="rId1"/>
</worksheet>
</file>

<file path=xl/worksheets/sheet17.xml><?xml version="1.0" encoding="utf-8"?>
<worksheet xmlns="http://schemas.openxmlformats.org/spreadsheetml/2006/main" xmlns:r="http://schemas.openxmlformats.org/officeDocument/2006/relationships">
  <dimension ref="A3:N13"/>
  <sheetViews>
    <sheetView topLeftCell="C1" workbookViewId="0">
      <selection activeCell="A12" sqref="A12"/>
    </sheetView>
  </sheetViews>
  <sheetFormatPr defaultRowHeight="15"/>
  <cols>
    <col min="1" max="1" width="26.85546875" style="1" customWidth="1"/>
    <col min="2" max="13" width="15.140625" style="1" bestFit="1" customWidth="1"/>
    <col min="14" max="14" width="16.28515625" style="1" bestFit="1" customWidth="1"/>
    <col min="15" max="16384" width="9.140625" style="1"/>
  </cols>
  <sheetData>
    <row r="3" spans="1:14" ht="21" customHeight="1">
      <c r="A3" s="4"/>
      <c r="B3" s="126" t="s">
        <v>97</v>
      </c>
      <c r="C3" s="126"/>
      <c r="D3" s="126"/>
      <c r="E3" s="126"/>
      <c r="F3" s="126"/>
      <c r="G3" s="126"/>
      <c r="H3" s="126"/>
      <c r="I3" s="127"/>
      <c r="J3" s="127"/>
    </row>
    <row r="4" spans="1:14" ht="15.75" thickBot="1">
      <c r="M4" s="3"/>
      <c r="N4" s="3"/>
    </row>
    <row r="5" spans="1:14" ht="31.5">
      <c r="A5" s="116" t="s">
        <v>1</v>
      </c>
      <c r="B5" s="114" t="s">
        <v>2</v>
      </c>
      <c r="C5" s="91" t="s">
        <v>3</v>
      </c>
      <c r="D5" s="91" t="s">
        <v>4</v>
      </c>
      <c r="E5" s="91" t="s">
        <v>5</v>
      </c>
      <c r="F5" s="91" t="s">
        <v>6</v>
      </c>
      <c r="G5" s="91" t="s">
        <v>7</v>
      </c>
      <c r="H5" s="91" t="s">
        <v>8</v>
      </c>
      <c r="I5" s="91" t="s">
        <v>9</v>
      </c>
      <c r="J5" s="91" t="s">
        <v>10</v>
      </c>
      <c r="K5" s="91" t="s">
        <v>11</v>
      </c>
      <c r="L5" s="91" t="s">
        <v>12</v>
      </c>
      <c r="M5" s="92" t="s">
        <v>13</v>
      </c>
      <c r="N5" s="60" t="s">
        <v>76</v>
      </c>
    </row>
    <row r="6" spans="1:14" ht="15.75" thickBot="1">
      <c r="A6" s="117">
        <v>1</v>
      </c>
      <c r="B6" s="115">
        <v>2</v>
      </c>
      <c r="C6" s="94">
        <v>3</v>
      </c>
      <c r="D6" s="94">
        <v>4</v>
      </c>
      <c r="E6" s="94">
        <v>5</v>
      </c>
      <c r="F6" s="94">
        <v>6</v>
      </c>
      <c r="G6" s="94">
        <v>7</v>
      </c>
      <c r="H6" s="94">
        <v>8</v>
      </c>
      <c r="I6" s="94">
        <v>9</v>
      </c>
      <c r="J6" s="94">
        <v>10</v>
      </c>
      <c r="K6" s="94">
        <v>11</v>
      </c>
      <c r="L6" s="94">
        <v>12</v>
      </c>
      <c r="M6" s="95">
        <v>13</v>
      </c>
      <c r="N6" s="96" t="s">
        <v>39</v>
      </c>
    </row>
    <row r="7" spans="1:14" ht="15.75" thickTop="1">
      <c r="A7" s="112" t="s">
        <v>66</v>
      </c>
      <c r="B7" s="54">
        <f>2786625.38+1400000</f>
        <v>4186625.38</v>
      </c>
      <c r="C7" s="65">
        <f>5589360.11-127272.73</f>
        <v>5462087.3799999999</v>
      </c>
      <c r="D7" s="65">
        <f>5775071.77-127272.73</f>
        <v>5647799.0399999991</v>
      </c>
      <c r="E7" s="39">
        <f>5539268.83-127272.73</f>
        <v>5411996.0999999996</v>
      </c>
      <c r="F7" s="39">
        <f>5800165.4-127272.73</f>
        <v>5672892.6699999999</v>
      </c>
      <c r="G7" s="39">
        <f>5874724.6-127272.73</f>
        <v>5747451.8699999992</v>
      </c>
      <c r="H7" s="65">
        <f>5601082.22-127272.73</f>
        <v>5473809.4899999993</v>
      </c>
      <c r="I7" s="39">
        <f>5791958.46-127272.73</f>
        <v>5664685.7299999995</v>
      </c>
      <c r="J7" s="65">
        <f>5145958.21-127272.73</f>
        <v>5018685.4799999995</v>
      </c>
      <c r="K7" s="65">
        <f>5388378.44-127272.73</f>
        <v>5261105.71</v>
      </c>
      <c r="L7" s="44">
        <f>5396255.94-127272.73</f>
        <v>5268983.21</v>
      </c>
      <c r="M7" s="118">
        <f>9843128.76-127272.73</f>
        <v>9715856.0299999993</v>
      </c>
      <c r="N7" s="78">
        <f t="shared" ref="N7:N8" si="0">M7+L7+K7+J7+I7+H7+G7+F7+E7+D7+C7+B7</f>
        <v>68531978.090000004</v>
      </c>
    </row>
    <row r="8" spans="1:14" ht="15.75" thickBot="1">
      <c r="A8" s="113" t="s">
        <v>67</v>
      </c>
      <c r="B8" s="45">
        <f>16781037.06+4200000</f>
        <v>20981037.059999999</v>
      </c>
      <c r="C8" s="40">
        <f>10624272.08-466666.67</f>
        <v>10157605.41</v>
      </c>
      <c r="D8" s="40">
        <f>9492095.5-466666.67</f>
        <v>9025428.8300000001</v>
      </c>
      <c r="E8" s="38">
        <f>9982984.13-1000000</f>
        <v>8982984.1300000008</v>
      </c>
      <c r="F8" s="38">
        <f>10978396.03-466666.67</f>
        <v>10511729.359999999</v>
      </c>
      <c r="G8" s="38">
        <f>10070903.06-466666.67</f>
        <v>9604236.3900000006</v>
      </c>
      <c r="H8" s="40">
        <f>11657095.75-466666.67</f>
        <v>11190429.08</v>
      </c>
      <c r="I8" s="38">
        <f>15829555.96-466666.67</f>
        <v>15362889.290000001</v>
      </c>
      <c r="J8" s="40">
        <f>14386835.28-466666.67</f>
        <v>13920168.609999999</v>
      </c>
      <c r="K8" s="40">
        <f>13685809.88-466666.67</f>
        <v>13219143.210000001</v>
      </c>
      <c r="L8" s="43">
        <v>11901423.529999999</v>
      </c>
      <c r="M8" s="83">
        <f>12641958.21-466666.67</f>
        <v>12175291.540000001</v>
      </c>
      <c r="N8" s="78">
        <f t="shared" si="0"/>
        <v>147032366.44</v>
      </c>
    </row>
    <row r="9" spans="1:14" ht="16.5" thickBot="1">
      <c r="A9" s="107" t="s">
        <v>96</v>
      </c>
      <c r="B9" s="106">
        <f>SUM(B7:B8)</f>
        <v>25167662.439999998</v>
      </c>
      <c r="C9" s="85">
        <f t="shared" ref="C9:N9" si="1">SUM(C7:C8)</f>
        <v>15619692.789999999</v>
      </c>
      <c r="D9" s="85">
        <f t="shared" si="1"/>
        <v>14673227.869999999</v>
      </c>
      <c r="E9" s="85">
        <f t="shared" si="1"/>
        <v>14394980.23</v>
      </c>
      <c r="F9" s="85">
        <f t="shared" si="1"/>
        <v>16184622.029999999</v>
      </c>
      <c r="G9" s="85">
        <f t="shared" si="1"/>
        <v>15351688.26</v>
      </c>
      <c r="H9" s="85">
        <f t="shared" si="1"/>
        <v>16664238.57</v>
      </c>
      <c r="I9" s="85">
        <f t="shared" si="1"/>
        <v>21027575.02</v>
      </c>
      <c r="J9" s="85">
        <f t="shared" si="1"/>
        <v>18938854.09</v>
      </c>
      <c r="K9" s="85">
        <f t="shared" si="1"/>
        <v>18480248.920000002</v>
      </c>
      <c r="L9" s="85">
        <f t="shared" si="1"/>
        <v>17170406.739999998</v>
      </c>
      <c r="M9" s="86">
        <f t="shared" si="1"/>
        <v>21891147.57</v>
      </c>
      <c r="N9" s="87">
        <f t="shared" si="1"/>
        <v>215564344.53</v>
      </c>
    </row>
    <row r="12" spans="1:14">
      <c r="A12" s="34"/>
      <c r="B12" s="20"/>
      <c r="C12" s="20"/>
      <c r="D12" s="20"/>
      <c r="E12" s="20"/>
      <c r="F12" s="20"/>
    </row>
    <row r="13" spans="1:14">
      <c r="A13" s="20"/>
      <c r="B13" s="20"/>
      <c r="C13" s="20"/>
      <c r="D13" s="20"/>
      <c r="E13" s="20"/>
      <c r="F13" s="20"/>
    </row>
  </sheetData>
  <mergeCells count="1">
    <mergeCell ref="B3:J3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>
  <dimension ref="A3:N13"/>
  <sheetViews>
    <sheetView workbookViewId="0">
      <selection activeCell="A12" sqref="A12"/>
    </sheetView>
  </sheetViews>
  <sheetFormatPr defaultRowHeight="15"/>
  <cols>
    <col min="1" max="1" width="26.42578125" style="1" customWidth="1"/>
    <col min="2" max="4" width="11.42578125" style="1" customWidth="1"/>
    <col min="5" max="5" width="12.140625" style="1" bestFit="1" customWidth="1"/>
    <col min="6" max="6" width="11.7109375" style="1" customWidth="1"/>
    <col min="7" max="9" width="12.140625" style="1" bestFit="1" customWidth="1"/>
    <col min="10" max="10" width="11.5703125" style="1" customWidth="1"/>
    <col min="11" max="11" width="12.140625" style="1" bestFit="1" customWidth="1"/>
    <col min="12" max="12" width="12.42578125" style="1" customWidth="1"/>
    <col min="13" max="13" width="12.140625" style="1" customWidth="1"/>
    <col min="14" max="14" width="14" style="1" bestFit="1" customWidth="1"/>
    <col min="15" max="16384" width="9.140625" style="1"/>
  </cols>
  <sheetData>
    <row r="3" spans="1:14" ht="21" customHeight="1">
      <c r="A3" s="4"/>
      <c r="B3" s="126" t="s">
        <v>98</v>
      </c>
      <c r="C3" s="126"/>
      <c r="D3" s="126"/>
      <c r="E3" s="126"/>
      <c r="F3" s="126"/>
      <c r="G3" s="126"/>
      <c r="H3" s="126"/>
      <c r="I3" s="127"/>
      <c r="J3" s="127"/>
    </row>
    <row r="4" spans="1:14" ht="15.75" thickBot="1">
      <c r="M4" s="3"/>
      <c r="N4" s="3"/>
    </row>
    <row r="5" spans="1:14" ht="45">
      <c r="A5" s="116" t="s">
        <v>1</v>
      </c>
      <c r="B5" s="114" t="s">
        <v>2</v>
      </c>
      <c r="C5" s="91" t="s">
        <v>3</v>
      </c>
      <c r="D5" s="91" t="s">
        <v>4</v>
      </c>
      <c r="E5" s="91" t="s">
        <v>5</v>
      </c>
      <c r="F5" s="91" t="s">
        <v>6</v>
      </c>
      <c r="G5" s="91" t="s">
        <v>7</v>
      </c>
      <c r="H5" s="91" t="s">
        <v>8</v>
      </c>
      <c r="I5" s="91" t="s">
        <v>9</v>
      </c>
      <c r="J5" s="91" t="s">
        <v>10</v>
      </c>
      <c r="K5" s="91" t="s">
        <v>11</v>
      </c>
      <c r="L5" s="91" t="s">
        <v>12</v>
      </c>
      <c r="M5" s="92" t="s">
        <v>13</v>
      </c>
      <c r="N5" s="60" t="s">
        <v>76</v>
      </c>
    </row>
    <row r="6" spans="1:14" ht="15.75" thickBot="1">
      <c r="A6" s="117">
        <v>1</v>
      </c>
      <c r="B6" s="115">
        <v>2</v>
      </c>
      <c r="C6" s="94">
        <v>3</v>
      </c>
      <c r="D6" s="94">
        <v>4</v>
      </c>
      <c r="E6" s="94">
        <v>5</v>
      </c>
      <c r="F6" s="94">
        <v>6</v>
      </c>
      <c r="G6" s="94">
        <v>7</v>
      </c>
      <c r="H6" s="94">
        <v>8</v>
      </c>
      <c r="I6" s="94">
        <v>9</v>
      </c>
      <c r="J6" s="94">
        <v>10</v>
      </c>
      <c r="K6" s="94">
        <v>11</v>
      </c>
      <c r="L6" s="94">
        <v>12</v>
      </c>
      <c r="M6" s="95">
        <v>13</v>
      </c>
      <c r="N6" s="96" t="s">
        <v>39</v>
      </c>
    </row>
    <row r="7" spans="1:14" ht="15.75" thickTop="1">
      <c r="A7" s="112" t="s">
        <v>66</v>
      </c>
      <c r="B7" s="44">
        <v>33017.96</v>
      </c>
      <c r="C7" s="39">
        <v>166546.32999999999</v>
      </c>
      <c r="D7" s="39">
        <v>181417.14</v>
      </c>
      <c r="E7" s="39">
        <v>148098.26</v>
      </c>
      <c r="F7" s="39">
        <v>109653.06</v>
      </c>
      <c r="G7" s="39">
        <v>147674.16</v>
      </c>
      <c r="H7" s="39">
        <v>178667.93</v>
      </c>
      <c r="I7" s="39">
        <v>135004.51999999999</v>
      </c>
      <c r="J7" s="39">
        <v>122357.16</v>
      </c>
      <c r="K7" s="39">
        <v>321288.32000000001</v>
      </c>
      <c r="L7" s="39">
        <v>212389.06</v>
      </c>
      <c r="M7" s="97">
        <v>315548.78000000003</v>
      </c>
      <c r="N7" s="78">
        <f t="shared" ref="N7:N8" si="0">M7+L7+K7+J7+I7+H7+G7+F7+E7+D7+C7+B7</f>
        <v>2071662.6800000002</v>
      </c>
    </row>
    <row r="8" spans="1:14" ht="15.75" thickBot="1">
      <c r="A8" s="113" t="s">
        <v>67</v>
      </c>
      <c r="B8" s="43">
        <v>81966.92</v>
      </c>
      <c r="C8" s="38">
        <v>43806.48</v>
      </c>
      <c r="D8" s="38">
        <v>33843.699999999997</v>
      </c>
      <c r="E8" s="38">
        <v>58631.44</v>
      </c>
      <c r="F8" s="38">
        <v>19706.080000000002</v>
      </c>
      <c r="G8" s="38">
        <v>41376.449999999997</v>
      </c>
      <c r="H8" s="38">
        <v>36235.47</v>
      </c>
      <c r="I8" s="38">
        <v>95704.26</v>
      </c>
      <c r="J8" s="38">
        <v>104415.96</v>
      </c>
      <c r="K8" s="38">
        <v>62053.73</v>
      </c>
      <c r="L8" s="38">
        <v>60185.75</v>
      </c>
      <c r="M8" s="64">
        <v>46187.43</v>
      </c>
      <c r="N8" s="80">
        <f t="shared" si="0"/>
        <v>684113.67</v>
      </c>
    </row>
    <row r="9" spans="1:14" ht="16.5" thickBot="1">
      <c r="A9" s="107" t="s">
        <v>93</v>
      </c>
      <c r="B9" s="106">
        <f>SUM(B7:B8)</f>
        <v>114984.88</v>
      </c>
      <c r="C9" s="85">
        <f t="shared" ref="C9:N9" si="1">SUM(C7:C8)</f>
        <v>210352.81</v>
      </c>
      <c r="D9" s="85">
        <f t="shared" si="1"/>
        <v>215260.84000000003</v>
      </c>
      <c r="E9" s="85">
        <f t="shared" si="1"/>
        <v>206729.7</v>
      </c>
      <c r="F9" s="85">
        <f t="shared" si="1"/>
        <v>129359.14</v>
      </c>
      <c r="G9" s="85">
        <f t="shared" si="1"/>
        <v>189050.61</v>
      </c>
      <c r="H9" s="85">
        <f t="shared" si="1"/>
        <v>214903.4</v>
      </c>
      <c r="I9" s="85">
        <f t="shared" si="1"/>
        <v>230708.77999999997</v>
      </c>
      <c r="J9" s="85">
        <f t="shared" si="1"/>
        <v>226773.12</v>
      </c>
      <c r="K9" s="85">
        <f t="shared" si="1"/>
        <v>383342.05</v>
      </c>
      <c r="L9" s="85">
        <f t="shared" si="1"/>
        <v>272574.81</v>
      </c>
      <c r="M9" s="86">
        <f t="shared" si="1"/>
        <v>361736.21</v>
      </c>
      <c r="N9" s="87">
        <f t="shared" si="1"/>
        <v>2755776.35</v>
      </c>
    </row>
    <row r="12" spans="1:14">
      <c r="A12" s="34"/>
      <c r="B12" s="20"/>
      <c r="C12" s="20"/>
      <c r="D12" s="20"/>
      <c r="E12" s="20"/>
      <c r="F12" s="20"/>
    </row>
    <row r="13" spans="1:14">
      <c r="A13" s="20"/>
      <c r="B13" s="20"/>
      <c r="C13" s="20"/>
      <c r="D13" s="20"/>
      <c r="E13" s="20"/>
      <c r="F13" s="20"/>
    </row>
  </sheetData>
  <mergeCells count="1">
    <mergeCell ref="B3:J3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>
  <dimension ref="A3:N13"/>
  <sheetViews>
    <sheetView topLeftCell="A2" workbookViewId="0">
      <selection activeCell="A12" sqref="A12"/>
    </sheetView>
  </sheetViews>
  <sheetFormatPr defaultRowHeight="15"/>
  <cols>
    <col min="1" max="1" width="26" style="1" customWidth="1"/>
    <col min="2" max="2" width="10.5703125" style="1" customWidth="1"/>
    <col min="3" max="3" width="11" style="1" customWidth="1"/>
    <col min="4" max="4" width="10.5703125" style="1" customWidth="1"/>
    <col min="5" max="5" width="11" style="1" bestFit="1" customWidth="1"/>
    <col min="6" max="6" width="11.140625" style="1" customWidth="1"/>
    <col min="7" max="7" width="11" style="1" customWidth="1"/>
    <col min="8" max="8" width="11" style="1" bestFit="1" customWidth="1"/>
    <col min="9" max="9" width="11" style="1" customWidth="1"/>
    <col min="10" max="10" width="12" style="1" customWidth="1"/>
    <col min="11" max="11" width="10.7109375" style="1" customWidth="1"/>
    <col min="12" max="12" width="11.85546875" style="1" customWidth="1"/>
    <col min="13" max="13" width="11.28515625" style="1" customWidth="1"/>
    <col min="14" max="14" width="11.85546875" style="1" customWidth="1"/>
    <col min="15" max="16384" width="9.140625" style="1"/>
  </cols>
  <sheetData>
    <row r="3" spans="1:14" ht="21" customHeight="1">
      <c r="A3" s="4"/>
      <c r="B3" s="126" t="s">
        <v>99</v>
      </c>
      <c r="C3" s="126"/>
      <c r="D3" s="126"/>
      <c r="E3" s="126"/>
      <c r="F3" s="126"/>
      <c r="G3" s="126"/>
      <c r="H3" s="126"/>
      <c r="I3" s="127"/>
      <c r="J3" s="127"/>
    </row>
    <row r="4" spans="1:14" ht="15.75" thickBot="1">
      <c r="M4" s="3"/>
      <c r="N4" s="3"/>
    </row>
    <row r="5" spans="1:14" ht="45">
      <c r="A5" s="90" t="s">
        <v>1</v>
      </c>
      <c r="B5" s="91" t="s">
        <v>2</v>
      </c>
      <c r="C5" s="91" t="s">
        <v>3</v>
      </c>
      <c r="D5" s="91" t="s">
        <v>4</v>
      </c>
      <c r="E5" s="91" t="s">
        <v>5</v>
      </c>
      <c r="F5" s="91" t="s">
        <v>6</v>
      </c>
      <c r="G5" s="91" t="s">
        <v>7</v>
      </c>
      <c r="H5" s="91" t="s">
        <v>8</v>
      </c>
      <c r="I5" s="91" t="s">
        <v>9</v>
      </c>
      <c r="J5" s="91" t="s">
        <v>10</v>
      </c>
      <c r="K5" s="91" t="s">
        <v>11</v>
      </c>
      <c r="L5" s="91" t="s">
        <v>12</v>
      </c>
      <c r="M5" s="98" t="s">
        <v>13</v>
      </c>
      <c r="N5" s="60" t="s">
        <v>76</v>
      </c>
    </row>
    <row r="6" spans="1:14" ht="15.75" thickBot="1">
      <c r="A6" s="99">
        <v>1</v>
      </c>
      <c r="B6" s="94">
        <v>2</v>
      </c>
      <c r="C6" s="94">
        <v>3</v>
      </c>
      <c r="D6" s="94">
        <v>4</v>
      </c>
      <c r="E6" s="94">
        <v>5</v>
      </c>
      <c r="F6" s="94">
        <v>6</v>
      </c>
      <c r="G6" s="94">
        <v>7</v>
      </c>
      <c r="H6" s="94">
        <v>8</v>
      </c>
      <c r="I6" s="94">
        <v>9</v>
      </c>
      <c r="J6" s="94">
        <v>10</v>
      </c>
      <c r="K6" s="94">
        <v>11</v>
      </c>
      <c r="L6" s="94">
        <v>12</v>
      </c>
      <c r="M6" s="95">
        <v>13</v>
      </c>
      <c r="N6" s="96" t="s">
        <v>39</v>
      </c>
    </row>
    <row r="7" spans="1:14" ht="15.75" thickTop="1">
      <c r="A7" s="7" t="s">
        <v>66</v>
      </c>
      <c r="B7" s="65">
        <v>10769.62</v>
      </c>
      <c r="C7" s="65">
        <v>31437.01</v>
      </c>
      <c r="D7" s="65">
        <v>22746.5</v>
      </c>
      <c r="E7" s="39">
        <v>27689.29</v>
      </c>
      <c r="F7" s="39">
        <v>28883</v>
      </c>
      <c r="G7" s="39">
        <v>28247.13</v>
      </c>
      <c r="H7" s="65">
        <v>32021.14</v>
      </c>
      <c r="I7" s="39">
        <v>32348.42</v>
      </c>
      <c r="J7" s="65">
        <v>36326.36</v>
      </c>
      <c r="K7" s="65">
        <v>25263.59</v>
      </c>
      <c r="L7" s="44">
        <v>33576</v>
      </c>
      <c r="M7" s="119">
        <v>50958.42</v>
      </c>
      <c r="N7" s="78">
        <f t="shared" ref="N7:N8" si="0">M7+L7+K7+J7+I7+H7+G7+F7+E7+D7+C7+B7</f>
        <v>360266.48</v>
      </c>
    </row>
    <row r="8" spans="1:14" ht="15.75" thickBot="1">
      <c r="A8" s="6" t="s">
        <v>67</v>
      </c>
      <c r="B8" s="40">
        <v>1549.16</v>
      </c>
      <c r="C8" s="40">
        <v>1625.02</v>
      </c>
      <c r="D8" s="40">
        <v>2245.33</v>
      </c>
      <c r="E8" s="38">
        <v>1283.79</v>
      </c>
      <c r="F8" s="38">
        <v>1370.59</v>
      </c>
      <c r="G8" s="38">
        <v>2321.67</v>
      </c>
      <c r="H8" s="40">
        <v>3870.75</v>
      </c>
      <c r="I8" s="38">
        <v>3393.2</v>
      </c>
      <c r="J8" s="40">
        <v>9397.14</v>
      </c>
      <c r="K8" s="40">
        <v>7654.29</v>
      </c>
      <c r="L8" s="43">
        <v>3723.82</v>
      </c>
      <c r="M8" s="57">
        <v>2011.89</v>
      </c>
      <c r="N8" s="78">
        <f t="shared" si="0"/>
        <v>40446.65</v>
      </c>
    </row>
    <row r="9" spans="1:14" ht="16.5" thickBot="1">
      <c r="A9" s="74" t="s">
        <v>96</v>
      </c>
      <c r="B9" s="85">
        <f>SUM(B7:B8)</f>
        <v>12318.78</v>
      </c>
      <c r="C9" s="85">
        <f t="shared" ref="C9:N9" si="1">SUM(C7:C8)</f>
        <v>33062.03</v>
      </c>
      <c r="D9" s="85">
        <f t="shared" si="1"/>
        <v>24991.83</v>
      </c>
      <c r="E9" s="85">
        <f t="shared" si="1"/>
        <v>28973.08</v>
      </c>
      <c r="F9" s="85">
        <f t="shared" si="1"/>
        <v>30253.59</v>
      </c>
      <c r="G9" s="85">
        <f t="shared" si="1"/>
        <v>30568.800000000003</v>
      </c>
      <c r="H9" s="85">
        <f t="shared" si="1"/>
        <v>35891.89</v>
      </c>
      <c r="I9" s="85">
        <f t="shared" si="1"/>
        <v>35741.619999999995</v>
      </c>
      <c r="J9" s="85">
        <f t="shared" si="1"/>
        <v>45723.5</v>
      </c>
      <c r="K9" s="85">
        <f t="shared" si="1"/>
        <v>32917.879999999997</v>
      </c>
      <c r="L9" s="85">
        <f t="shared" si="1"/>
        <v>37299.82</v>
      </c>
      <c r="M9" s="86">
        <f t="shared" si="1"/>
        <v>52970.31</v>
      </c>
      <c r="N9" s="87">
        <f t="shared" si="1"/>
        <v>400713.13</v>
      </c>
    </row>
    <row r="12" spans="1:14">
      <c r="A12" s="34"/>
      <c r="B12" s="20"/>
      <c r="C12" s="20"/>
      <c r="D12" s="20"/>
      <c r="E12" s="20"/>
      <c r="F12" s="20"/>
    </row>
    <row r="13" spans="1:14">
      <c r="A13" s="20"/>
      <c r="B13" s="20"/>
      <c r="C13" s="20"/>
      <c r="D13" s="20"/>
      <c r="E13" s="20"/>
      <c r="F13" s="20"/>
    </row>
  </sheetData>
  <mergeCells count="1">
    <mergeCell ref="B3:J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3:N13"/>
  <sheetViews>
    <sheetView topLeftCell="A2" workbookViewId="0">
      <selection activeCell="A12" sqref="A12"/>
    </sheetView>
  </sheetViews>
  <sheetFormatPr defaultRowHeight="15"/>
  <cols>
    <col min="1" max="1" width="24.28515625" style="1" customWidth="1"/>
    <col min="2" max="8" width="12.5703125" style="1" bestFit="1" customWidth="1"/>
    <col min="9" max="9" width="12.28515625" style="1" customWidth="1"/>
    <col min="10" max="10" width="12.7109375" style="1" customWidth="1"/>
    <col min="11" max="11" width="12.5703125" style="1" bestFit="1" customWidth="1"/>
    <col min="12" max="12" width="12.140625" style="1" customWidth="1"/>
    <col min="13" max="13" width="12.5703125" style="1" bestFit="1" customWidth="1"/>
    <col min="14" max="14" width="13.7109375" style="1" bestFit="1" customWidth="1"/>
    <col min="15" max="16384" width="9.140625" style="1"/>
  </cols>
  <sheetData>
    <row r="3" spans="1:14" ht="21" customHeight="1">
      <c r="A3" s="4"/>
      <c r="B3" s="126" t="s">
        <v>77</v>
      </c>
      <c r="C3" s="126"/>
      <c r="D3" s="126"/>
      <c r="E3" s="126"/>
      <c r="F3" s="126"/>
      <c r="G3" s="126"/>
      <c r="H3" s="126"/>
      <c r="I3" s="127"/>
      <c r="J3" s="127"/>
    </row>
    <row r="4" spans="1:14" ht="15.75" thickBot="1">
      <c r="M4" s="3"/>
      <c r="N4" s="3"/>
    </row>
    <row r="5" spans="1:14" ht="31.5">
      <c r="A5" s="90" t="s">
        <v>1</v>
      </c>
      <c r="B5" s="91" t="s">
        <v>2</v>
      </c>
      <c r="C5" s="91" t="s">
        <v>3</v>
      </c>
      <c r="D5" s="91" t="s">
        <v>4</v>
      </c>
      <c r="E5" s="91" t="s">
        <v>5</v>
      </c>
      <c r="F5" s="91" t="s">
        <v>6</v>
      </c>
      <c r="G5" s="91" t="s">
        <v>7</v>
      </c>
      <c r="H5" s="91" t="s">
        <v>8</v>
      </c>
      <c r="I5" s="91" t="s">
        <v>9</v>
      </c>
      <c r="J5" s="91" t="s">
        <v>10</v>
      </c>
      <c r="K5" s="91" t="s">
        <v>11</v>
      </c>
      <c r="L5" s="91" t="s">
        <v>12</v>
      </c>
      <c r="M5" s="92" t="s">
        <v>13</v>
      </c>
      <c r="N5" s="60" t="s">
        <v>76</v>
      </c>
    </row>
    <row r="6" spans="1:14" ht="15.75" thickBot="1">
      <c r="A6" s="93">
        <v>1</v>
      </c>
      <c r="B6" s="94">
        <v>2</v>
      </c>
      <c r="C6" s="94">
        <v>3</v>
      </c>
      <c r="D6" s="94">
        <v>4</v>
      </c>
      <c r="E6" s="94">
        <v>5</v>
      </c>
      <c r="F6" s="94">
        <v>6</v>
      </c>
      <c r="G6" s="94">
        <v>7</v>
      </c>
      <c r="H6" s="94">
        <v>8</v>
      </c>
      <c r="I6" s="94">
        <v>9</v>
      </c>
      <c r="J6" s="94">
        <v>10</v>
      </c>
      <c r="K6" s="94">
        <v>11</v>
      </c>
      <c r="L6" s="94">
        <v>12</v>
      </c>
      <c r="M6" s="95">
        <v>13</v>
      </c>
      <c r="N6" s="96" t="s">
        <v>39</v>
      </c>
    </row>
    <row r="7" spans="1:14" ht="15.75" thickTop="1">
      <c r="A7" s="7" t="s">
        <v>66</v>
      </c>
      <c r="B7" s="39">
        <v>365776.82</v>
      </c>
      <c r="C7" s="39">
        <v>590704.73</v>
      </c>
      <c r="D7" s="39">
        <v>624563.06000000006</v>
      </c>
      <c r="E7" s="39">
        <v>719210.47</v>
      </c>
      <c r="F7" s="39">
        <v>704894.21</v>
      </c>
      <c r="G7" s="39">
        <v>681538.86</v>
      </c>
      <c r="H7" s="39">
        <v>866825.11</v>
      </c>
      <c r="I7" s="39">
        <v>1025633.74</v>
      </c>
      <c r="J7" s="39">
        <v>595726.9</v>
      </c>
      <c r="K7" s="39">
        <v>777357.26</v>
      </c>
      <c r="L7" s="44">
        <v>742683.87</v>
      </c>
      <c r="M7" s="39">
        <v>1200195.6599999999</v>
      </c>
      <c r="N7" s="78">
        <f t="shared" ref="N7:N8" si="0">M7+L7+K7+J7+I7+H7+G7+F7+E7+D7+C7+B7</f>
        <v>8895110.6900000013</v>
      </c>
    </row>
    <row r="8" spans="1:14" ht="15.75" thickBot="1">
      <c r="A8" s="6" t="s">
        <v>67</v>
      </c>
      <c r="B8" s="38">
        <v>642478.56999999995</v>
      </c>
      <c r="C8" s="38">
        <v>707200.17</v>
      </c>
      <c r="D8" s="38">
        <v>403090.8</v>
      </c>
      <c r="E8" s="38">
        <v>678078.78</v>
      </c>
      <c r="F8" s="38">
        <v>662762.28</v>
      </c>
      <c r="G8" s="38">
        <v>653613.26</v>
      </c>
      <c r="H8" s="38">
        <v>896133.06</v>
      </c>
      <c r="I8" s="38">
        <v>1176943.93</v>
      </c>
      <c r="J8" s="38">
        <v>1247638.76</v>
      </c>
      <c r="K8" s="38">
        <v>916268.2</v>
      </c>
      <c r="L8" s="43">
        <v>740491.22</v>
      </c>
      <c r="M8" s="38">
        <v>655758.38</v>
      </c>
      <c r="N8" s="78">
        <f t="shared" si="0"/>
        <v>9380457.4100000001</v>
      </c>
    </row>
    <row r="9" spans="1:14" ht="16.5" thickBot="1">
      <c r="A9" s="74" t="s">
        <v>87</v>
      </c>
      <c r="B9" s="75">
        <f>SUM(B7:B8)</f>
        <v>1008255.3899999999</v>
      </c>
      <c r="C9" s="75">
        <f t="shared" ref="C9:N9" si="1">SUM(C7:C8)</f>
        <v>1297904.8999999999</v>
      </c>
      <c r="D9" s="75">
        <f t="shared" si="1"/>
        <v>1027653.8600000001</v>
      </c>
      <c r="E9" s="75">
        <f t="shared" si="1"/>
        <v>1397289.25</v>
      </c>
      <c r="F9" s="75">
        <f t="shared" si="1"/>
        <v>1367656.49</v>
      </c>
      <c r="G9" s="75">
        <f t="shared" si="1"/>
        <v>1335152.1200000001</v>
      </c>
      <c r="H9" s="75">
        <f t="shared" si="1"/>
        <v>1762958.17</v>
      </c>
      <c r="I9" s="75">
        <f t="shared" si="1"/>
        <v>2202577.67</v>
      </c>
      <c r="J9" s="75">
        <f t="shared" si="1"/>
        <v>1843365.6600000001</v>
      </c>
      <c r="K9" s="75">
        <f t="shared" si="1"/>
        <v>1693625.46</v>
      </c>
      <c r="L9" s="75">
        <f t="shared" si="1"/>
        <v>1483175.0899999999</v>
      </c>
      <c r="M9" s="75">
        <f t="shared" si="1"/>
        <v>1855954.04</v>
      </c>
      <c r="N9" s="75">
        <f t="shared" si="1"/>
        <v>18275568.100000001</v>
      </c>
    </row>
    <row r="12" spans="1:14">
      <c r="A12" s="34"/>
      <c r="B12" s="20"/>
      <c r="C12" s="20"/>
      <c r="D12" s="20"/>
      <c r="E12" s="20"/>
      <c r="F12" s="20"/>
    </row>
    <row r="13" spans="1:14">
      <c r="A13" s="20"/>
      <c r="B13" s="20"/>
      <c r="C13" s="20"/>
      <c r="D13" s="20"/>
      <c r="E13" s="20"/>
      <c r="F13" s="20"/>
    </row>
  </sheetData>
  <mergeCells count="1">
    <mergeCell ref="B3:J3"/>
  </mergeCell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>
  <dimension ref="A3:N13"/>
  <sheetViews>
    <sheetView topLeftCell="C1" workbookViewId="0">
      <selection activeCell="A12" sqref="A12"/>
    </sheetView>
  </sheetViews>
  <sheetFormatPr defaultRowHeight="15"/>
  <cols>
    <col min="1" max="1" width="25.5703125" style="1" customWidth="1"/>
    <col min="2" max="2" width="12.140625" style="1" bestFit="1" customWidth="1"/>
    <col min="3" max="3" width="11.42578125" style="1" customWidth="1"/>
    <col min="4" max="5" width="12.140625" style="1" bestFit="1" customWidth="1"/>
    <col min="6" max="13" width="14" style="1" bestFit="1" customWidth="1"/>
    <col min="14" max="14" width="15.140625" style="1" bestFit="1" customWidth="1"/>
    <col min="15" max="16384" width="9.140625" style="1"/>
  </cols>
  <sheetData>
    <row r="3" spans="1:14" ht="21" customHeight="1">
      <c r="A3" s="4"/>
      <c r="B3" s="126" t="s">
        <v>100</v>
      </c>
      <c r="C3" s="126"/>
      <c r="D3" s="126"/>
      <c r="E3" s="126"/>
      <c r="F3" s="126"/>
      <c r="G3" s="126"/>
      <c r="H3" s="126"/>
      <c r="I3" s="127"/>
      <c r="J3" s="127"/>
    </row>
    <row r="4" spans="1:14" ht="15.75" thickBot="1">
      <c r="M4" s="3"/>
      <c r="N4" s="3"/>
    </row>
    <row r="5" spans="1:14" ht="31.5">
      <c r="A5" s="90" t="s">
        <v>1</v>
      </c>
      <c r="B5" s="91" t="s">
        <v>2</v>
      </c>
      <c r="C5" s="91" t="s">
        <v>3</v>
      </c>
      <c r="D5" s="91" t="s">
        <v>4</v>
      </c>
      <c r="E5" s="91" t="s">
        <v>5</v>
      </c>
      <c r="F5" s="91" t="s">
        <v>6</v>
      </c>
      <c r="G5" s="91" t="s">
        <v>7</v>
      </c>
      <c r="H5" s="91" t="s">
        <v>8</v>
      </c>
      <c r="I5" s="91" t="s">
        <v>9</v>
      </c>
      <c r="J5" s="91" t="s">
        <v>10</v>
      </c>
      <c r="K5" s="91" t="s">
        <v>11</v>
      </c>
      <c r="L5" s="91" t="s">
        <v>12</v>
      </c>
      <c r="M5" s="98" t="s">
        <v>13</v>
      </c>
      <c r="N5" s="60" t="s">
        <v>76</v>
      </c>
    </row>
    <row r="6" spans="1:14" ht="15.75" thickBot="1">
      <c r="A6" s="99">
        <v>1</v>
      </c>
      <c r="B6" s="94">
        <v>2</v>
      </c>
      <c r="C6" s="94">
        <v>3</v>
      </c>
      <c r="D6" s="94">
        <v>4</v>
      </c>
      <c r="E6" s="94">
        <v>5</v>
      </c>
      <c r="F6" s="94">
        <v>6</v>
      </c>
      <c r="G6" s="94">
        <v>7</v>
      </c>
      <c r="H6" s="94">
        <v>8</v>
      </c>
      <c r="I6" s="94">
        <v>9</v>
      </c>
      <c r="J6" s="94">
        <v>10</v>
      </c>
      <c r="K6" s="94">
        <v>11</v>
      </c>
      <c r="L6" s="94">
        <v>12</v>
      </c>
      <c r="M6" s="95">
        <v>13</v>
      </c>
      <c r="N6" s="96" t="s">
        <v>39</v>
      </c>
    </row>
    <row r="7" spans="1:14" ht="15.75" thickTop="1">
      <c r="A7" s="71" t="s">
        <v>66</v>
      </c>
      <c r="B7" s="39">
        <v>169077.56</v>
      </c>
      <c r="C7" s="39">
        <v>399936.2</v>
      </c>
      <c r="D7" s="39">
        <v>406415.74</v>
      </c>
      <c r="E7" s="39">
        <v>472759.34</v>
      </c>
      <c r="F7" s="39">
        <v>511271.44</v>
      </c>
      <c r="G7" s="39">
        <v>490209.83</v>
      </c>
      <c r="H7" s="39">
        <v>499982.42</v>
      </c>
      <c r="I7" s="39">
        <v>555435.82999999996</v>
      </c>
      <c r="J7" s="39">
        <v>416440.95</v>
      </c>
      <c r="K7" s="39">
        <v>354673.73</v>
      </c>
      <c r="L7" s="39">
        <v>435684.51</v>
      </c>
      <c r="M7" s="72">
        <v>1138249.19</v>
      </c>
      <c r="N7" s="76">
        <f t="shared" ref="N7:N8" si="0">M7+L7+K7+J7+I7+H7+G7+F7+E7+D7+C7+B7</f>
        <v>5850136.7400000002</v>
      </c>
    </row>
    <row r="8" spans="1:14" ht="15.75" thickBot="1">
      <c r="A8" s="56" t="s">
        <v>67</v>
      </c>
      <c r="B8" s="38">
        <v>811201.02</v>
      </c>
      <c r="C8" s="38">
        <v>348939.2</v>
      </c>
      <c r="D8" s="38">
        <v>137485.01</v>
      </c>
      <c r="E8" s="38">
        <v>508514.12</v>
      </c>
      <c r="F8" s="38">
        <v>735909.49</v>
      </c>
      <c r="G8" s="38">
        <v>673882.06</v>
      </c>
      <c r="H8" s="38">
        <v>1169060.17</v>
      </c>
      <c r="I8" s="38">
        <v>1394081</v>
      </c>
      <c r="J8" s="38">
        <v>1994642.23</v>
      </c>
      <c r="K8" s="38">
        <v>967830.37</v>
      </c>
      <c r="L8" s="38">
        <v>1044401.47</v>
      </c>
      <c r="M8" s="55">
        <v>554604</v>
      </c>
      <c r="N8" s="76">
        <f t="shared" si="0"/>
        <v>10340550.139999999</v>
      </c>
    </row>
    <row r="9" spans="1:14" ht="16.5" thickBot="1">
      <c r="A9" s="74" t="s">
        <v>96</v>
      </c>
      <c r="B9" s="85">
        <f>SUM(B7:B8)</f>
        <v>980278.58000000007</v>
      </c>
      <c r="C9" s="85">
        <f t="shared" ref="C9:N9" si="1">SUM(C7:C8)</f>
        <v>748875.4</v>
      </c>
      <c r="D9" s="85">
        <f t="shared" si="1"/>
        <v>543900.75</v>
      </c>
      <c r="E9" s="85">
        <f t="shared" si="1"/>
        <v>981273.46</v>
      </c>
      <c r="F9" s="85">
        <f t="shared" si="1"/>
        <v>1247180.93</v>
      </c>
      <c r="G9" s="85">
        <f t="shared" si="1"/>
        <v>1164091.8900000001</v>
      </c>
      <c r="H9" s="85">
        <f t="shared" si="1"/>
        <v>1669042.5899999999</v>
      </c>
      <c r="I9" s="85">
        <f t="shared" si="1"/>
        <v>1949516.83</v>
      </c>
      <c r="J9" s="85">
        <f t="shared" si="1"/>
        <v>2411083.1800000002</v>
      </c>
      <c r="K9" s="85">
        <f t="shared" si="1"/>
        <v>1322504.1000000001</v>
      </c>
      <c r="L9" s="85">
        <f t="shared" si="1"/>
        <v>1480085.98</v>
      </c>
      <c r="M9" s="85">
        <f t="shared" si="1"/>
        <v>1692853.19</v>
      </c>
      <c r="N9" s="85">
        <f t="shared" si="1"/>
        <v>16190686.879999999</v>
      </c>
    </row>
    <row r="12" spans="1:14">
      <c r="A12" s="34"/>
      <c r="B12" s="20"/>
      <c r="C12" s="20"/>
      <c r="D12" s="20"/>
      <c r="E12" s="20"/>
      <c r="F12" s="20"/>
    </row>
    <row r="13" spans="1:14">
      <c r="A13" s="20"/>
      <c r="B13" s="20"/>
      <c r="C13" s="20"/>
      <c r="D13" s="20"/>
      <c r="E13" s="20"/>
      <c r="F13" s="20"/>
    </row>
  </sheetData>
  <mergeCells count="1">
    <mergeCell ref="B3:J3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>
  <dimension ref="A3:N50"/>
  <sheetViews>
    <sheetView topLeftCell="C1" workbookViewId="0">
      <selection activeCell="A12" sqref="A12"/>
    </sheetView>
  </sheetViews>
  <sheetFormatPr defaultRowHeight="15"/>
  <cols>
    <col min="1" max="1" width="26.28515625" style="1" customWidth="1"/>
    <col min="2" max="5" width="12.140625" style="1" bestFit="1" customWidth="1"/>
    <col min="6" max="6" width="11.85546875" style="1" customWidth="1"/>
    <col min="7" max="8" width="12.140625" style="1" bestFit="1" customWidth="1"/>
    <col min="9" max="10" width="14" style="1" bestFit="1" customWidth="1"/>
    <col min="11" max="11" width="12.140625" style="1" bestFit="1" customWidth="1"/>
    <col min="12" max="12" width="12.5703125" style="1" customWidth="1"/>
    <col min="13" max="13" width="12" style="1" customWidth="1"/>
    <col min="14" max="14" width="14" style="1" bestFit="1" customWidth="1"/>
    <col min="15" max="16384" width="9.140625" style="1"/>
  </cols>
  <sheetData>
    <row r="3" spans="1:14" ht="21" customHeight="1">
      <c r="A3" s="4"/>
      <c r="B3" s="126" t="s">
        <v>101</v>
      </c>
      <c r="C3" s="126"/>
      <c r="D3" s="126"/>
      <c r="E3" s="126"/>
      <c r="F3" s="126"/>
      <c r="G3" s="126"/>
      <c r="H3" s="126"/>
      <c r="I3" s="127"/>
      <c r="J3" s="127"/>
    </row>
    <row r="4" spans="1:14" ht="15.75" thickBot="1">
      <c r="M4" s="3"/>
      <c r="N4" s="3"/>
    </row>
    <row r="5" spans="1:14" ht="31.5">
      <c r="A5" s="116" t="s">
        <v>1</v>
      </c>
      <c r="B5" s="114" t="s">
        <v>2</v>
      </c>
      <c r="C5" s="91" t="s">
        <v>3</v>
      </c>
      <c r="D5" s="91" t="s">
        <v>4</v>
      </c>
      <c r="E5" s="91" t="s">
        <v>5</v>
      </c>
      <c r="F5" s="91" t="s">
        <v>6</v>
      </c>
      <c r="G5" s="91" t="s">
        <v>7</v>
      </c>
      <c r="H5" s="91" t="s">
        <v>8</v>
      </c>
      <c r="I5" s="91" t="s">
        <v>9</v>
      </c>
      <c r="J5" s="91" t="s">
        <v>10</v>
      </c>
      <c r="K5" s="91" t="s">
        <v>11</v>
      </c>
      <c r="L5" s="91" t="s">
        <v>12</v>
      </c>
      <c r="M5" s="92" t="s">
        <v>13</v>
      </c>
      <c r="N5" s="60" t="s">
        <v>76</v>
      </c>
    </row>
    <row r="6" spans="1:14" ht="15.75" thickBot="1">
      <c r="A6" s="117">
        <v>1</v>
      </c>
      <c r="B6" s="115">
        <v>2</v>
      </c>
      <c r="C6" s="94">
        <v>3</v>
      </c>
      <c r="D6" s="94">
        <v>4</v>
      </c>
      <c r="E6" s="94">
        <v>5</v>
      </c>
      <c r="F6" s="94">
        <v>6</v>
      </c>
      <c r="G6" s="94">
        <v>7</v>
      </c>
      <c r="H6" s="94">
        <v>8</v>
      </c>
      <c r="I6" s="94">
        <v>9</v>
      </c>
      <c r="J6" s="94">
        <v>10</v>
      </c>
      <c r="K6" s="94">
        <v>11</v>
      </c>
      <c r="L6" s="94">
        <v>12</v>
      </c>
      <c r="M6" s="95">
        <v>13</v>
      </c>
      <c r="N6" s="96" t="s">
        <v>39</v>
      </c>
    </row>
    <row r="7" spans="1:14" ht="15.75" thickTop="1">
      <c r="A7" s="112" t="s">
        <v>66</v>
      </c>
      <c r="B7" s="54">
        <v>70802.240000000005</v>
      </c>
      <c r="C7" s="65">
        <v>138547.44</v>
      </c>
      <c r="D7" s="65">
        <v>222854.07</v>
      </c>
      <c r="E7" s="39">
        <v>180277.92</v>
      </c>
      <c r="F7" s="39">
        <v>249808.08</v>
      </c>
      <c r="G7" s="39">
        <v>247297.89</v>
      </c>
      <c r="H7" s="65">
        <v>268721.53000000003</v>
      </c>
      <c r="I7" s="39">
        <v>319238.75</v>
      </c>
      <c r="J7" s="65">
        <v>218735.42</v>
      </c>
      <c r="K7" s="65">
        <v>241320.98</v>
      </c>
      <c r="L7" s="44">
        <v>228938.19</v>
      </c>
      <c r="M7" s="119">
        <v>374342.58</v>
      </c>
      <c r="N7" s="78">
        <f t="shared" ref="N7:N8" si="0">M7+L7+K7+J7+I7+H7+G7+F7+E7+D7+C7+B7</f>
        <v>2760885.09</v>
      </c>
    </row>
    <row r="8" spans="1:14" ht="15.75" thickBot="1">
      <c r="A8" s="113" t="s">
        <v>67</v>
      </c>
      <c r="B8" s="45">
        <v>189203.4</v>
      </c>
      <c r="C8" s="40">
        <v>144648.43</v>
      </c>
      <c r="D8" s="40">
        <v>160184.6</v>
      </c>
      <c r="E8" s="38">
        <v>119113.34</v>
      </c>
      <c r="F8" s="38">
        <v>151566.59</v>
      </c>
      <c r="G8" s="38">
        <v>178731.82</v>
      </c>
      <c r="H8" s="40">
        <v>264822.36</v>
      </c>
      <c r="I8" s="38">
        <v>774709</v>
      </c>
      <c r="J8" s="40">
        <v>1010082.81</v>
      </c>
      <c r="K8" s="40">
        <v>427459.37</v>
      </c>
      <c r="L8" s="43">
        <v>168295.09</v>
      </c>
      <c r="M8" s="57">
        <v>157371.41</v>
      </c>
      <c r="N8" s="78">
        <f t="shared" si="0"/>
        <v>3746188.2199999997</v>
      </c>
    </row>
    <row r="9" spans="1:14" ht="16.5" thickBot="1">
      <c r="A9" s="107" t="s">
        <v>96</v>
      </c>
      <c r="B9" s="106">
        <f>SUM(B7:B8)</f>
        <v>260005.64</v>
      </c>
      <c r="C9" s="85">
        <f t="shared" ref="C9:N9" si="1">SUM(C7:C8)</f>
        <v>283195.87</v>
      </c>
      <c r="D9" s="85">
        <f t="shared" si="1"/>
        <v>383038.67000000004</v>
      </c>
      <c r="E9" s="85">
        <f t="shared" si="1"/>
        <v>299391.26</v>
      </c>
      <c r="F9" s="85">
        <f t="shared" si="1"/>
        <v>401374.67</v>
      </c>
      <c r="G9" s="85">
        <f t="shared" si="1"/>
        <v>426029.71</v>
      </c>
      <c r="H9" s="85">
        <f t="shared" si="1"/>
        <v>533543.89</v>
      </c>
      <c r="I9" s="85">
        <f t="shared" si="1"/>
        <v>1093947.75</v>
      </c>
      <c r="J9" s="85">
        <f t="shared" si="1"/>
        <v>1228818.23</v>
      </c>
      <c r="K9" s="85">
        <f t="shared" si="1"/>
        <v>668780.35</v>
      </c>
      <c r="L9" s="85">
        <f t="shared" si="1"/>
        <v>397233.28</v>
      </c>
      <c r="M9" s="86">
        <f t="shared" si="1"/>
        <v>531713.99</v>
      </c>
      <c r="N9" s="87">
        <f t="shared" si="1"/>
        <v>6507073.3099999996</v>
      </c>
    </row>
    <row r="12" spans="1:14">
      <c r="A12" s="34"/>
      <c r="B12" s="20"/>
      <c r="C12" s="20"/>
      <c r="D12" s="20"/>
      <c r="E12" s="20"/>
      <c r="F12" s="20"/>
    </row>
    <row r="13" spans="1:14">
      <c r="A13" s="20"/>
      <c r="B13" s="20"/>
      <c r="C13" s="20"/>
      <c r="D13" s="20"/>
      <c r="E13" s="20"/>
      <c r="F13" s="20"/>
    </row>
    <row r="15" spans="1:14">
      <c r="D15" s="47"/>
      <c r="E15" s="48"/>
      <c r="F15" s="48"/>
    </row>
    <row r="16" spans="1:14">
      <c r="D16" s="47"/>
      <c r="E16" s="48"/>
      <c r="F16" s="48"/>
    </row>
    <row r="17" spans="4:6">
      <c r="D17" s="49"/>
      <c r="E17" s="48"/>
      <c r="F17" s="48"/>
    </row>
    <row r="18" spans="4:6">
      <c r="D18" s="49"/>
      <c r="E18" s="48"/>
      <c r="F18" s="48"/>
    </row>
    <row r="19" spans="4:6">
      <c r="D19" s="49"/>
      <c r="E19" s="48"/>
      <c r="F19" s="48"/>
    </row>
    <row r="20" spans="4:6">
      <c r="D20" s="49"/>
      <c r="E20" s="48"/>
      <c r="F20" s="48"/>
    </row>
    <row r="21" spans="4:6">
      <c r="D21" s="49"/>
      <c r="E21" s="48"/>
      <c r="F21" s="48"/>
    </row>
    <row r="22" spans="4:6">
      <c r="D22" s="47"/>
      <c r="E22" s="48"/>
      <c r="F22" s="48"/>
    </row>
    <row r="23" spans="4:6">
      <c r="D23" s="47"/>
      <c r="E23" s="48"/>
      <c r="F23" s="48"/>
    </row>
    <row r="24" spans="4:6">
      <c r="D24" s="47"/>
      <c r="E24" s="48"/>
      <c r="F24" s="48"/>
    </row>
    <row r="25" spans="4:6">
      <c r="D25" s="49"/>
      <c r="E25" s="48"/>
      <c r="F25" s="48"/>
    </row>
    <row r="26" spans="4:6">
      <c r="D26" s="49"/>
      <c r="E26" s="48"/>
      <c r="F26" s="48"/>
    </row>
    <row r="27" spans="4:6">
      <c r="D27" s="47"/>
      <c r="E27" s="48"/>
      <c r="F27" s="48"/>
    </row>
    <row r="28" spans="4:6">
      <c r="D28" s="47"/>
      <c r="E28" s="48"/>
      <c r="F28" s="48"/>
    </row>
    <row r="29" spans="4:6">
      <c r="D29" s="47"/>
      <c r="E29" s="48"/>
      <c r="F29" s="48"/>
    </row>
    <row r="30" spans="4:6">
      <c r="D30" s="47"/>
      <c r="E30" s="48"/>
      <c r="F30" s="48"/>
    </row>
    <row r="31" spans="4:6">
      <c r="D31" s="47"/>
      <c r="E31" s="48"/>
      <c r="F31" s="48"/>
    </row>
    <row r="32" spans="4:6">
      <c r="D32" s="49"/>
      <c r="E32" s="48"/>
      <c r="F32" s="48"/>
    </row>
    <row r="33" spans="4:6">
      <c r="D33" s="49"/>
      <c r="E33" s="48"/>
      <c r="F33" s="48"/>
    </row>
    <row r="34" spans="4:6">
      <c r="D34" s="49"/>
      <c r="E34" s="48"/>
      <c r="F34" s="48"/>
    </row>
    <row r="35" spans="4:6" ht="16.5">
      <c r="D35" s="50"/>
      <c r="E35" s="48"/>
      <c r="F35" s="48"/>
    </row>
    <row r="36" spans="4:6">
      <c r="D36" s="47"/>
      <c r="E36" s="48"/>
      <c r="F36" s="48"/>
    </row>
    <row r="37" spans="4:6">
      <c r="D37" s="47"/>
      <c r="E37" s="48"/>
      <c r="F37" s="48"/>
    </row>
    <row r="38" spans="4:6">
      <c r="D38" s="47"/>
      <c r="E38" s="48"/>
      <c r="F38" s="48"/>
    </row>
    <row r="39" spans="4:6">
      <c r="D39" s="47"/>
      <c r="E39" s="48"/>
      <c r="F39" s="48"/>
    </row>
    <row r="40" spans="4:6">
      <c r="D40" s="47"/>
      <c r="E40" s="48"/>
      <c r="F40" s="48"/>
    </row>
    <row r="41" spans="4:6" ht="16.5">
      <c r="D41" s="51"/>
      <c r="E41" s="48"/>
      <c r="F41" s="48"/>
    </row>
    <row r="42" spans="4:6" ht="16.5">
      <c r="D42" s="51"/>
      <c r="E42" s="48"/>
      <c r="F42" s="48"/>
    </row>
    <row r="43" spans="4:6">
      <c r="D43" s="47"/>
      <c r="E43" s="48"/>
      <c r="F43" s="48"/>
    </row>
    <row r="44" spans="4:6">
      <c r="D44" s="49"/>
      <c r="E44" s="48"/>
      <c r="F44" s="48"/>
    </row>
    <row r="45" spans="4:6">
      <c r="D45" s="49"/>
      <c r="E45" s="48"/>
      <c r="F45" s="48"/>
    </row>
    <row r="46" spans="4:6">
      <c r="D46" s="47"/>
      <c r="E46" s="48"/>
      <c r="F46" s="48"/>
    </row>
    <row r="47" spans="4:6">
      <c r="D47" s="47"/>
      <c r="E47" s="48"/>
      <c r="F47" s="48"/>
    </row>
    <row r="48" spans="4:6">
      <c r="D48" s="47"/>
      <c r="E48" s="48"/>
      <c r="F48" s="48"/>
    </row>
    <row r="49" spans="4:6">
      <c r="D49" s="52"/>
      <c r="E49" s="48"/>
      <c r="F49" s="48"/>
    </row>
    <row r="50" spans="4:6" ht="16.5">
      <c r="D50" s="53"/>
      <c r="E50" s="48"/>
      <c r="F50" s="48"/>
    </row>
  </sheetData>
  <mergeCells count="1">
    <mergeCell ref="B3:J3"/>
  </mergeCells>
  <pageMargins left="0.7" right="0.7" top="0.75" bottom="0.75" header="0.3" footer="0.3"/>
  <pageSetup paperSize="9" scale="85" orientation="landscape" horizontalDpi="300" verticalDpi="300" r:id="rId1"/>
</worksheet>
</file>

<file path=xl/worksheets/sheet22.xml><?xml version="1.0" encoding="utf-8"?>
<worksheet xmlns="http://schemas.openxmlformats.org/spreadsheetml/2006/main" xmlns:r="http://schemas.openxmlformats.org/officeDocument/2006/relationships">
  <dimension ref="A3:N12"/>
  <sheetViews>
    <sheetView topLeftCell="C1" workbookViewId="0">
      <selection activeCell="A12" sqref="A12"/>
    </sheetView>
  </sheetViews>
  <sheetFormatPr defaultRowHeight="15"/>
  <cols>
    <col min="1" max="1" width="30.140625" style="1" customWidth="1"/>
    <col min="2" max="2" width="10.85546875" style="1" customWidth="1"/>
    <col min="3" max="3" width="11" style="1" customWidth="1"/>
    <col min="4" max="5" width="12.140625" style="1" bestFit="1" customWidth="1"/>
    <col min="6" max="6" width="11" style="1" customWidth="1"/>
    <col min="7" max="7" width="10.85546875" style="1" customWidth="1"/>
    <col min="8" max="9" width="12.140625" style="1" bestFit="1" customWidth="1"/>
    <col min="10" max="10" width="12.140625" style="1" customWidth="1"/>
    <col min="11" max="11" width="13.5703125" style="1" customWidth="1"/>
    <col min="12" max="12" width="12.28515625" style="1" customWidth="1"/>
    <col min="13" max="13" width="12" style="1" customWidth="1"/>
    <col min="14" max="14" width="14" style="1" bestFit="1" customWidth="1"/>
    <col min="15" max="15" width="12.42578125" style="1" customWidth="1"/>
    <col min="16" max="16384" width="9.140625" style="1"/>
  </cols>
  <sheetData>
    <row r="3" spans="1:14" ht="21" customHeight="1">
      <c r="A3" s="4"/>
      <c r="B3" s="126" t="s">
        <v>102</v>
      </c>
      <c r="C3" s="126"/>
      <c r="D3" s="126"/>
      <c r="E3" s="126"/>
      <c r="F3" s="126"/>
      <c r="G3" s="126"/>
      <c r="H3" s="126"/>
      <c r="I3" s="127"/>
      <c r="J3" s="127"/>
    </row>
    <row r="4" spans="1:14" ht="15.75" thickBot="1">
      <c r="M4" s="3"/>
      <c r="N4" s="3"/>
    </row>
    <row r="5" spans="1:14" ht="31.5">
      <c r="A5" s="90" t="s">
        <v>1</v>
      </c>
      <c r="B5" s="91" t="s">
        <v>2</v>
      </c>
      <c r="C5" s="91" t="s">
        <v>3</v>
      </c>
      <c r="D5" s="91" t="s">
        <v>4</v>
      </c>
      <c r="E5" s="91" t="s">
        <v>5</v>
      </c>
      <c r="F5" s="91" t="s">
        <v>6</v>
      </c>
      <c r="G5" s="91" t="s">
        <v>7</v>
      </c>
      <c r="H5" s="91" t="s">
        <v>8</v>
      </c>
      <c r="I5" s="91" t="s">
        <v>9</v>
      </c>
      <c r="J5" s="91" t="s">
        <v>10</v>
      </c>
      <c r="K5" s="91" t="s">
        <v>11</v>
      </c>
      <c r="L5" s="91" t="s">
        <v>12</v>
      </c>
      <c r="M5" s="98" t="s">
        <v>13</v>
      </c>
      <c r="N5" s="60" t="s">
        <v>76</v>
      </c>
    </row>
    <row r="6" spans="1:14" ht="15.75" thickBot="1">
      <c r="A6" s="99">
        <v>1</v>
      </c>
      <c r="B6" s="94">
        <v>2</v>
      </c>
      <c r="C6" s="94">
        <v>3</v>
      </c>
      <c r="D6" s="94">
        <v>4</v>
      </c>
      <c r="E6" s="94">
        <v>5</v>
      </c>
      <c r="F6" s="94">
        <v>6</v>
      </c>
      <c r="G6" s="94">
        <v>7</v>
      </c>
      <c r="H6" s="94">
        <v>8</v>
      </c>
      <c r="I6" s="94">
        <v>9</v>
      </c>
      <c r="J6" s="94">
        <v>10</v>
      </c>
      <c r="K6" s="94">
        <v>11</v>
      </c>
      <c r="L6" s="94">
        <v>12</v>
      </c>
      <c r="M6" s="95">
        <v>13</v>
      </c>
      <c r="N6" s="96" t="s">
        <v>39</v>
      </c>
    </row>
    <row r="7" spans="1:14" ht="15.75" thickTop="1">
      <c r="A7" s="71" t="s">
        <v>66</v>
      </c>
      <c r="B7" s="39">
        <v>26563.23</v>
      </c>
      <c r="C7" s="39">
        <v>52040.76</v>
      </c>
      <c r="D7" s="39">
        <v>252499.57</v>
      </c>
      <c r="E7" s="39">
        <v>66336.87</v>
      </c>
      <c r="F7" s="39">
        <v>7451.58</v>
      </c>
      <c r="G7" s="39">
        <v>58935.96</v>
      </c>
      <c r="H7" s="39">
        <v>79882.039999999994</v>
      </c>
      <c r="I7" s="39">
        <v>66095.97</v>
      </c>
      <c r="J7" s="39">
        <v>66648.42</v>
      </c>
      <c r="K7" s="39">
        <v>97407.59</v>
      </c>
      <c r="L7" s="39">
        <v>63735.34</v>
      </c>
      <c r="M7" s="72">
        <v>99660.35</v>
      </c>
      <c r="N7" s="76">
        <f t="shared" ref="N7:N8" si="0">M7+L7+K7+J7+I7+H7+G7+F7+E7+D7+C7+B7</f>
        <v>937257.67999999993</v>
      </c>
    </row>
    <row r="8" spans="1:14" ht="15.75" thickBot="1">
      <c r="A8" s="56" t="s">
        <v>67</v>
      </c>
      <c r="B8" s="38">
        <v>11424.94</v>
      </c>
      <c r="C8" s="38">
        <v>19953.689999999999</v>
      </c>
      <c r="D8" s="38">
        <v>12067.26</v>
      </c>
      <c r="E8" s="38">
        <v>33742.01</v>
      </c>
      <c r="F8" s="38">
        <v>10265.52</v>
      </c>
      <c r="G8" s="38">
        <v>11199.99</v>
      </c>
      <c r="H8" s="38">
        <v>23106.26</v>
      </c>
      <c r="I8" s="38">
        <v>85714.84</v>
      </c>
      <c r="J8" s="38">
        <v>84558.44</v>
      </c>
      <c r="K8" s="38">
        <v>70937.37</v>
      </c>
      <c r="L8" s="38">
        <v>23908.17</v>
      </c>
      <c r="M8" s="55">
        <v>11063.54</v>
      </c>
      <c r="N8" s="76">
        <f t="shared" si="0"/>
        <v>397942.03</v>
      </c>
    </row>
    <row r="9" spans="1:14" ht="16.5" thickBot="1">
      <c r="A9" s="74" t="s">
        <v>96</v>
      </c>
      <c r="B9" s="88">
        <f>SUM(B7:B8)</f>
        <v>37988.17</v>
      </c>
      <c r="C9" s="85">
        <f t="shared" ref="C9:N9" si="1">SUM(C7:C8)</f>
        <v>71994.45</v>
      </c>
      <c r="D9" s="85">
        <f t="shared" si="1"/>
        <v>264566.83</v>
      </c>
      <c r="E9" s="85">
        <f t="shared" si="1"/>
        <v>100078.88</v>
      </c>
      <c r="F9" s="85">
        <f t="shared" si="1"/>
        <v>17717.099999999999</v>
      </c>
      <c r="G9" s="85">
        <f t="shared" si="1"/>
        <v>70135.95</v>
      </c>
      <c r="H9" s="85">
        <f t="shared" si="1"/>
        <v>102988.29999999999</v>
      </c>
      <c r="I9" s="85">
        <f t="shared" si="1"/>
        <v>151810.81</v>
      </c>
      <c r="J9" s="85">
        <f t="shared" si="1"/>
        <v>151206.85999999999</v>
      </c>
      <c r="K9" s="85">
        <f t="shared" si="1"/>
        <v>168344.95999999999</v>
      </c>
      <c r="L9" s="85">
        <f t="shared" si="1"/>
        <v>87643.51</v>
      </c>
      <c r="M9" s="85">
        <f t="shared" si="1"/>
        <v>110723.89000000001</v>
      </c>
      <c r="N9" s="89">
        <f t="shared" si="1"/>
        <v>1335199.71</v>
      </c>
    </row>
    <row r="12" spans="1:14">
      <c r="A12" s="34"/>
      <c r="B12" s="20"/>
      <c r="C12" s="20"/>
      <c r="D12" s="20"/>
      <c r="E12" s="20"/>
      <c r="F12" s="20"/>
    </row>
  </sheetData>
  <mergeCells count="1">
    <mergeCell ref="B3:J3"/>
  </mergeCells>
  <pageMargins left="0.7" right="0.7" top="0.75" bottom="0.75" header="0.3" footer="0.3"/>
  <pageSetup paperSize="9" orientation="portrait" horizontalDpi="300" verticalDpi="300" r:id="rId1"/>
</worksheet>
</file>

<file path=xl/worksheets/sheet23.xml><?xml version="1.0" encoding="utf-8"?>
<worksheet xmlns="http://schemas.openxmlformats.org/spreadsheetml/2006/main" xmlns:r="http://schemas.openxmlformats.org/officeDocument/2006/relationships">
  <dimension ref="A2:O17"/>
  <sheetViews>
    <sheetView workbookViewId="0">
      <selection activeCell="A28" sqref="A28"/>
    </sheetView>
  </sheetViews>
  <sheetFormatPr defaultRowHeight="15"/>
  <cols>
    <col min="1" max="1" width="33.42578125" customWidth="1"/>
    <col min="2" max="2" width="13.42578125" customWidth="1"/>
    <col min="3" max="13" width="15.140625" bestFit="1" customWidth="1"/>
    <col min="14" max="14" width="16.28515625" bestFit="1" customWidth="1"/>
    <col min="15" max="15" width="16.42578125" customWidth="1"/>
  </cols>
  <sheetData>
    <row r="2" spans="1:15" ht="18.75">
      <c r="A2" s="46" t="s">
        <v>105</v>
      </c>
    </row>
    <row r="3" spans="1:15" ht="15.75" thickBot="1"/>
    <row r="4" spans="1:15" ht="31.5">
      <c r="A4" s="120" t="s">
        <v>1</v>
      </c>
      <c r="B4" s="121" t="s">
        <v>2</v>
      </c>
      <c r="C4" s="121" t="s">
        <v>3</v>
      </c>
      <c r="D4" s="121" t="s">
        <v>4</v>
      </c>
      <c r="E4" s="121" t="s">
        <v>5</v>
      </c>
      <c r="F4" s="121" t="s">
        <v>6</v>
      </c>
      <c r="G4" s="125" t="s">
        <v>103</v>
      </c>
      <c r="H4" s="121" t="s">
        <v>8</v>
      </c>
      <c r="I4" s="121" t="s">
        <v>9</v>
      </c>
      <c r="J4" s="121" t="s">
        <v>10</v>
      </c>
      <c r="K4" s="121" t="s">
        <v>11</v>
      </c>
      <c r="L4" s="121" t="s">
        <v>12</v>
      </c>
      <c r="M4" s="122" t="s">
        <v>13</v>
      </c>
      <c r="N4" s="19" t="s">
        <v>76</v>
      </c>
    </row>
    <row r="5" spans="1:15" ht="15.75" thickBot="1">
      <c r="A5" s="123">
        <v>1</v>
      </c>
      <c r="B5" s="9">
        <v>2</v>
      </c>
      <c r="C5" s="9">
        <v>3</v>
      </c>
      <c r="D5" s="9">
        <v>4</v>
      </c>
      <c r="E5" s="9">
        <v>5</v>
      </c>
      <c r="F5" s="9">
        <v>6</v>
      </c>
      <c r="G5" s="9">
        <v>7</v>
      </c>
      <c r="H5" s="9">
        <v>8</v>
      </c>
      <c r="I5" s="9">
        <v>9</v>
      </c>
      <c r="J5" s="9">
        <v>10</v>
      </c>
      <c r="K5" s="9">
        <v>11</v>
      </c>
      <c r="L5" s="9">
        <v>12</v>
      </c>
      <c r="M5" s="10">
        <v>13</v>
      </c>
      <c r="N5" s="11" t="s">
        <v>39</v>
      </c>
    </row>
    <row r="6" spans="1:15" ht="15.75" thickTop="1">
      <c r="A6" s="6" t="s">
        <v>66</v>
      </c>
      <c r="B6" s="38">
        <f>+[1]ANDRIJEVICA!B7+[1]BAR!B7+[1]BERANE!B7+'[1]BIJELO POLJE'!B7+[1]BUDVA!B7+[1]CETINJE!B7+[1]DANILOVGRAD!B7+'[1]HERCEG NOVI'!B7+[1]KOLAŠIN!B7+[1]KOTOR!B7+[1]MOJKOVAC!B7+[1]NIKŠIĆ!B7+[1]PETNJICA!B7+[1]PLAV!B7+[1]PLUŽINE!B7+[1]PLJEVLJA!B7+[1]PODGORICA!B7+[1]ROŽAJE!B7+[1]ŠAVNIK!B7+[1]TIVAT!B7+[1]ULCINJ!B7+[1]ŽABLJAK!B7</f>
        <v>563850.41999999993</v>
      </c>
      <c r="C6" s="38">
        <f>+[1]ANDRIJEVICA!C7+[1]BAR!C7+[1]BERANE!C7+'[1]BIJELO POLJE'!C7+[1]BUDVA!C7+[1]CETINJE!C7+[1]DANILOVGRAD!C7+'[1]HERCEG NOVI'!C7+[1]KOLAŠIN!C7+[1]KOTOR!C7+[1]MOJKOVAC!C7+[1]NIKŠIĆ!C7+[1]PETNJICA!C7+[1]PLAV!C7+[1]PLUŽINE!C7+[1]PLJEVLJA!C7+[1]PODGORICA!C7+[1]ROŽAJE!C7+[1]ŠAVNIK!C7+[1]TIVAT!C7+[1]ULCINJ!C7+[1]ŽABLJAK!C7</f>
        <v>1831072.46</v>
      </c>
      <c r="D6" s="38">
        <f>+[1]ANDRIJEVICA!D7+[1]BAR!D7+[1]BERANE!D7+'[1]BIJELO POLJE'!D7+[1]BUDVA!D7+[1]CETINJE!D7+[1]DANILOVGRAD!D7+'[1]HERCEG NOVI'!D7+[1]KOLAŠIN!D7+[1]KOTOR!D7+[1]MOJKOVAC!D7+[1]NIKŠIĆ!D7+[1]PETNJICA!D7+[1]PLAV!D7+[1]PLUŽINE!D7+[1]PLJEVLJA!D7+[1]PODGORICA!D7+[1]ROŽAJE!D7+[1]ŠAVNIK!D7+[1]TIVAT!D7+[1]ULCINJ!D7+[1]ŽABLJAK!D7</f>
        <v>31580148.729999997</v>
      </c>
      <c r="E6" s="38">
        <f>+[1]ANDRIJEVICA!E7+[1]BAR!E7+[1]BERANE!E7+'[1]BIJELO POLJE'!E7+[1]BUDVA!E7+[1]CETINJE!E7+[1]DANILOVGRAD!E7+'[1]HERCEG NOVI'!E7+[1]KOLAŠIN!E7+[1]KOTOR!E7+[1]MOJKOVAC!E7+[1]NIKŠIĆ!E7+[1]PETNJICA!E7+[1]PLAV!E7+[1]PLUŽINE!E7+[1]PLJEVLJA!E7+[1]PODGORICA!E7+[1]ROŽAJE!E7+[1]ŠAVNIK!E7+[1]TIVAT!E7+[1]ULCINJ!E7+[1]ŽABLJAK!E7</f>
        <v>9180174.790000001</v>
      </c>
      <c r="F6" s="38">
        <f>+[1]ANDRIJEVICA!F7+[1]BAR!F7+[1]BERANE!F7+'[1]BIJELO POLJE'!F7+[1]BUDVA!F7+[1]CETINJE!F7+[1]DANILOVGRAD!F7+'[1]HERCEG NOVI'!F7+[1]KOLAŠIN!F7+[1]KOTOR!F7+[1]MOJKOVAC!F7+[1]NIKŠIĆ!F7+[1]PETNJICA!F7+[1]PLAV!F7+[1]PLUŽINE!F7+[1]PLJEVLJA!F7+[1]PODGORICA!F7+[1]ROŽAJE!F7+[1]ŠAVNIK!F7+[1]TIVAT!F7+[1]ULCINJ!F7+[1]ŽABLJAK!F7</f>
        <v>3620482.17</v>
      </c>
      <c r="G6" s="38">
        <f>+[1]ANDRIJEVICA!G7+[1]BAR!G7+[1]BERANE!G7+'[1]BIJELO POLJE'!G7+[1]BUDVA!G7+[1]CETINJE!G7+[1]DANILOVGRAD!G7+'[1]HERCEG NOVI'!G7+[1]KOLAŠIN!G7+[1]KOTOR!G7+[1]MOJKOVAC!G7+[1]NIKŠIĆ!G7+[1]PETNJICA!G7+[1]PLAV!G7+[1]PLUŽINE!G7+[1]PLJEVLJA!G7+[1]PODGORICA!G7+[1]ROŽAJE!G7+[1]ŠAVNIK!G7+[1]TIVAT!G7+[1]ULCINJ!G7+[1]ŽABLJAK!G7</f>
        <v>4038755.399999999</v>
      </c>
      <c r="H6" s="38">
        <f>+[1]ANDRIJEVICA!H7+[1]BAR!H7+[1]BERANE!H7+'[1]BIJELO POLJE'!H7+[1]BUDVA!H7+[1]CETINJE!H7+[1]DANILOVGRAD!H7+'[1]HERCEG NOVI'!H7+[1]KOLAŠIN!H7+[1]KOTOR!H7+[1]MOJKOVAC!H7+[1]NIKŠIĆ!H7+[1]PETNJICA!H7+[1]PLAV!H7+[1]PLUŽINE!H7+[1]PLJEVLJA!H7+[1]PODGORICA!H7+[1]ROŽAJE!H7+[1]ŠAVNIK!H7+[1]TIVAT!H7+[1]ULCINJ!H7+[1]ŽABLJAK!H7</f>
        <v>3621044.42</v>
      </c>
      <c r="I6" s="38">
        <f>+[1]ANDRIJEVICA!I7+[1]BAR!I7+[1]BERANE!I7+'[1]BIJELO POLJE'!I7+[1]BUDVA!I7+[1]CETINJE!I7+[1]DANILOVGRAD!I7+'[1]HERCEG NOVI'!I7+[1]KOLAŠIN!I7+[1]KOTOR!I7+[1]MOJKOVAC!I7+[1]NIKŠIĆ!I7+[1]PETNJICA!I7+[1]PLAV!I7+[1]PLUŽINE!I7+[1]PLJEVLJA!I7+[1]PODGORICA!I7+[1]ROŽAJE!I7+[1]ŠAVNIK!I7+[1]TIVAT!I7+[1]ULCINJ!I7+[1]ŽABLJAK!I7</f>
        <v>3351492.1399999992</v>
      </c>
      <c r="J6" s="38">
        <f>+[1]ANDRIJEVICA!J7+[1]BAR!J7+[1]BERANE!J7+'[1]BIJELO POLJE'!J7+[1]BUDVA!J7+[1]CETINJE!J7+[1]DANILOVGRAD!J7+'[1]HERCEG NOVI'!J7+[1]KOLAŠIN!J7+[1]KOTOR!J7+[1]MOJKOVAC!J7+[1]NIKŠIĆ!J7+[1]PETNJICA!J7+[1]PLAV!J7+[1]PLUŽINE!J7+[1]PLJEVLJA!J7+[1]PODGORICA!J7+[1]ROŽAJE!J7+[1]ŠAVNIK!J7+[1]TIVAT!J7+[1]ULCINJ!J7+[1]ŽABLJAK!J7</f>
        <v>1989734.7299999995</v>
      </c>
      <c r="K6" s="38">
        <f>+[1]ANDRIJEVICA!K7+[1]BAR!K7+[1]BERANE!K7+'[1]BIJELO POLJE'!K7+[1]BUDVA!K7+[1]CETINJE!K7+[1]DANILOVGRAD!K7+'[1]HERCEG NOVI'!K7+[1]KOLAŠIN!K7+[1]KOTOR!K7+[1]MOJKOVAC!K7+[1]NIKŠIĆ!K7+[1]PETNJICA!K7+[1]PLAV!K7+[1]PLUŽINE!K7+[1]PLJEVLJA!K7+[1]PODGORICA!K7+[1]ROŽAJE!K7+[1]ŠAVNIK!K7+[1]TIVAT!K7+[1]ULCINJ!K7+[1]ŽABLJAK!K7</f>
        <v>1147056.44</v>
      </c>
      <c r="L6" s="38">
        <f>+[1]ANDRIJEVICA!L7+[1]BAR!L7+[1]BERANE!L7+'[1]BIJELO POLJE'!L7+[1]BUDVA!L7+[1]CETINJE!L7+[1]DANILOVGRAD!L7+'[1]HERCEG NOVI'!L7+[1]KOLAŠIN!L7+[1]KOTOR!L7+[1]MOJKOVAC!L7+[1]NIKŠIĆ!L7+[1]PETNJICA!L7+[1]PLAV!L7+[1]PLUŽINE!L7+[1]PLJEVLJA!L7+[1]PODGORICA!L7+[1]ROŽAJE!L7+[1]ŠAVNIK!L7+[1]TIVAT!L7+[1]ULCINJ!L7+[1]ŽABLJAK!L7</f>
        <v>897094.18</v>
      </c>
      <c r="M6" s="64">
        <f>+[1]ANDRIJEVICA!M7+[1]BAR!M7+[1]BERANE!M7+'[1]BIJELO POLJE'!M7+[1]BUDVA!M7+[1]CETINJE!M7+[1]DANILOVGRAD!M7+'[1]HERCEG NOVI'!M7+[1]KOLAŠIN!M7+[1]KOTOR!M7+[1]MOJKOVAC!M7+[1]NIKŠIĆ!M7+[1]PETNJICA!M7+[1]PLAV!M7+[1]PLUŽINE!M7+[1]PLJEVLJA!M7+[1]PODGORICA!M7+[1]ROŽAJE!M7+[1]ŠAVNIK!M7+[1]TIVAT!M7+[1]ULCINJ!M7+[1]ŽABLJAK!M7</f>
        <v>2081969.47</v>
      </c>
      <c r="N6" s="124">
        <f>+[1]ANDRIJEVICA!N7+[1]BAR!N7+[1]BERANE!N7+'[1]BIJELO POLJE'!N7+[1]BUDVA!N7+[1]CETINJE!N7+[1]DANILOVGRAD!N7+'[1]HERCEG NOVI'!N7+[1]KOLAŠIN!N7+[1]KOTOR!N7+[1]MOJKOVAC!N7+[1]NIKŠIĆ!N7+[1]PETNJICA!N7+[1]PLAV!N7+[1]PLUŽINE!N7+[1]PLJEVLJA!N7+[1]PODGORICA!N7+[1]ROŽAJE!N7+[1]ŠAVNIK!N7+[1]TIVAT!N7+[1]ULCINJ!N7+[1]ŽABLJAK!N7</f>
        <v>63902875.349999994</v>
      </c>
      <c r="O6" s="41"/>
    </row>
    <row r="7" spans="1:15" ht="15.75" thickBot="1">
      <c r="A7" s="6" t="s">
        <v>67</v>
      </c>
      <c r="B7" s="38">
        <f>+[1]ANDRIJEVICA!B8+[1]BAR!B8+[1]BERANE!B8+'[1]BIJELO POLJE'!B8+[1]BUDVA!B8+[1]CETINJE!B8+[1]DANILOVGRAD!B8+'[1]HERCEG NOVI'!B8+[1]KOLAŠIN!B8+[1]KOTOR!B8+[1]MOJKOVAC!B8+[1]NIKŠIĆ!B8+[1]PETNJICA!B8+[1]PLAV!B8+[1]PLUŽINE!B8+[1]PLJEVLJA!B8+[1]PODGORICA!B8+[1]ROŽAJE!B8+[1]ŠAVNIK!B8+[1]TIVAT!B8+[1]ULCINJ!B8+[1]ŽABLJAK!B8</f>
        <v>7255064.6800000006</v>
      </c>
      <c r="C7" s="38">
        <f>+[1]ANDRIJEVICA!C8+[1]BAR!C8+[1]BERANE!C8+'[1]BIJELO POLJE'!C8+[1]BUDVA!C8+[1]CETINJE!C8+[1]DANILOVGRAD!C8+'[1]HERCEG NOVI'!C8+[1]KOLAŠIN!C8+[1]KOTOR!C8+[1]MOJKOVAC!C8+[1]NIKŠIĆ!C8+[1]PETNJICA!C8+[1]PLAV!C8+[1]PLUŽINE!C8+[1]PLJEVLJA!C8+[1]PODGORICA!C8+[1]ROŽAJE!C8+[1]ŠAVNIK!C8+[1]TIVAT!C8+[1]ULCINJ!C8+[1]ŽABLJAK!C8</f>
        <v>11612452.43</v>
      </c>
      <c r="D7" s="38">
        <f>+[1]ANDRIJEVICA!D8+[1]BAR!D8+[1]BERANE!D8+'[1]BIJELO POLJE'!D8+[1]BUDVA!D8+[1]CETINJE!D8+[1]DANILOVGRAD!D8+'[1]HERCEG NOVI'!D8+[1]KOLAŠIN!D8+[1]KOTOR!D8+[1]MOJKOVAC!D8+[1]NIKŠIĆ!D8+[1]PETNJICA!D8+[1]PLAV!D8+[1]PLUŽINE!D8+[1]PLJEVLJA!D8+[1]PODGORICA!D8+[1]ROŽAJE!D8+[1]ŠAVNIK!D8+[1]TIVAT!D8+[1]ULCINJ!D8+[1]ŽABLJAK!D8</f>
        <v>13165728.210000001</v>
      </c>
      <c r="E7" s="38">
        <f>+[1]ANDRIJEVICA!E8+[1]BAR!E8+[1]BERANE!E8+'[1]BIJELO POLJE'!E8+[1]BUDVA!E8+[1]CETINJE!E8+[1]DANILOVGRAD!E8+'[1]HERCEG NOVI'!E8+[1]KOLAŠIN!E8+[1]KOTOR!E8+[1]MOJKOVAC!E8+[1]NIKŠIĆ!E8+[1]PETNJICA!E8+[1]PLAV!E8+[1]PLUŽINE!E8+[1]PLJEVLJA!E8+[1]PODGORICA!E8+[1]ROŽAJE!E8+[1]ŠAVNIK!E8+[1]TIVAT!E8+[1]ULCINJ!E8+[1]ŽABLJAK!E8</f>
        <v>12619617.899999997</v>
      </c>
      <c r="F7" s="38">
        <f>+[1]ANDRIJEVICA!F8+[1]BAR!F8+[1]BERANE!F8+'[1]BIJELO POLJE'!F8+[1]BUDVA!F8+[1]CETINJE!F8+[1]DANILOVGRAD!F8+'[1]HERCEG NOVI'!F8+[1]KOLAŠIN!F8+[1]KOTOR!F8+[1]MOJKOVAC!F8+[1]NIKŠIĆ!F8+[1]PETNJICA!F8+[1]PLAV!F8+[1]PLUŽINE!F8+[1]PLJEVLJA!F8+[1]PODGORICA!F8+[1]ROŽAJE!F8+[1]ŠAVNIK!F8+[1]TIVAT!F8+[1]ULCINJ!F8+[1]ŽABLJAK!F8</f>
        <v>13245521.029999999</v>
      </c>
      <c r="G7" s="38">
        <f>+[1]ANDRIJEVICA!G8+[1]BAR!G8+[1]BERANE!G8+'[1]BIJELO POLJE'!G8+[1]BUDVA!G8+[1]CETINJE!G8+[1]DANILOVGRAD!G8+'[1]HERCEG NOVI'!G8+[1]KOLAŠIN!G8+[1]KOTOR!G8+[1]MOJKOVAC!G8+[1]NIKŠIĆ!G8+[1]PETNJICA!G8+[1]PLAV!G8+[1]PLUŽINE!G8+[1]PLJEVLJA!G8+[1]PODGORICA!G8+[1]ROŽAJE!G8+[1]ŠAVNIK!G8+[1]TIVAT!G8+[1]ULCINJ!G8+[1]ŽABLJAK!G8</f>
        <v>13964713.510000002</v>
      </c>
      <c r="H7" s="38">
        <f>+[1]ANDRIJEVICA!H8+[1]BAR!H8+[1]BERANE!H8+'[1]BIJELO POLJE'!H8+[1]BUDVA!H8+[1]CETINJE!H8+[1]DANILOVGRAD!H8+'[1]HERCEG NOVI'!H8+[1]KOLAŠIN!H8+[1]KOTOR!H8+[1]MOJKOVAC!H8+[1]NIKŠIĆ!H8+[1]PETNJICA!H8+[1]PLAV!H8+[1]PLUŽINE!H8+[1]PLJEVLJA!H8+[1]PODGORICA!H8+[1]ROŽAJE!H8+[1]ŠAVNIK!H8+[1]TIVAT!H8+[1]ULCINJ!H8+[1]ŽABLJAK!H8</f>
        <v>14394807.589999996</v>
      </c>
      <c r="I7" s="38">
        <f>+[1]ANDRIJEVICA!I8+[1]BAR!I8+[1]BERANE!I8+'[1]BIJELO POLJE'!I8+[1]BUDVA!I8+[1]CETINJE!I8+[1]DANILOVGRAD!I8+'[1]HERCEG NOVI'!I8+[1]KOLAŠIN!I8+[1]KOTOR!I8+[1]MOJKOVAC!I8+[1]NIKŠIĆ!I8+[1]PETNJICA!I8+[1]PLAV!I8+[1]PLUŽINE!I8+[1]PLJEVLJA!I8+[1]PODGORICA!I8+[1]ROŽAJE!I8+[1]ŠAVNIK!I8+[1]TIVAT!I8+[1]ULCINJ!I8+[1]ŽABLJAK!I8</f>
        <v>14469824.970000001</v>
      </c>
      <c r="J7" s="38">
        <f>+[1]ANDRIJEVICA!J8+[1]BAR!J8+[1]BERANE!J8+'[1]BIJELO POLJE'!J8+[1]BUDVA!J8+[1]CETINJE!J8+[1]DANILOVGRAD!J8+'[1]HERCEG NOVI'!J8+[1]KOLAŠIN!J8+[1]KOTOR!J8+[1]MOJKOVAC!J8+[1]NIKŠIĆ!J8+[1]PETNJICA!J8+[1]PLAV!J8+[1]PLUŽINE!J8+[1]PLJEVLJA!J8+[1]PODGORICA!J8+[1]ROŽAJE!J8+[1]ŠAVNIK!J8+[1]TIVAT!J8+[1]ULCINJ!J8+[1]ŽABLJAK!J8</f>
        <v>12422674.749999998</v>
      </c>
      <c r="K7" s="38">
        <f>+[1]ANDRIJEVICA!K8+[1]BAR!K8+[1]BERANE!K8+'[1]BIJELO POLJE'!K8+[1]BUDVA!K8+[1]CETINJE!K8+[1]DANILOVGRAD!K8+'[1]HERCEG NOVI'!K8+[1]KOLAŠIN!K8+[1]KOTOR!K8+[1]MOJKOVAC!K8+[1]NIKŠIĆ!K8+[1]PETNJICA!K8+[1]PLAV!K8+[1]PLUŽINE!K8+[1]PLJEVLJA!K8+[1]PODGORICA!K8+[1]ROŽAJE!K8+[1]ŠAVNIK!K8+[1]TIVAT!K8+[1]ULCINJ!K8+[1]ŽABLJAK!K8</f>
        <v>13158501.02</v>
      </c>
      <c r="L7" s="38">
        <f>+[1]ANDRIJEVICA!L8+[1]BAR!L8+[1]BERANE!L8+'[1]BIJELO POLJE'!L8+[1]BUDVA!L8+[1]CETINJE!L8+[1]DANILOVGRAD!L8+'[1]HERCEG NOVI'!L8+[1]KOLAŠIN!L8+[1]KOTOR!L8+[1]MOJKOVAC!L8+[1]NIKŠIĆ!L8+[1]PETNJICA!L8+[1]PLAV!L8+[1]PLUŽINE!L8+[1]PLJEVLJA!L8+[1]PODGORICA!L8+[1]ROŽAJE!L8+[1]ŠAVNIK!L8+[1]TIVAT!L8+[1]ULCINJ!L8+[1]ŽABLJAK!L8</f>
        <v>13780247.16</v>
      </c>
      <c r="M7" s="64">
        <f>+[1]ANDRIJEVICA!M8+[1]BAR!M8+[1]BERANE!M8+'[1]BIJELO POLJE'!M8+[1]BUDVA!M8+[1]CETINJE!M8+[1]DANILOVGRAD!M8+'[1]HERCEG NOVI'!M8+[1]KOLAŠIN!M8+[1]KOTOR!M8+[1]MOJKOVAC!M8+[1]NIKŠIĆ!M8+[1]PETNJICA!M8+[1]PLAV!M8+[1]PLUŽINE!M8+[1]PLJEVLJA!M8+[1]PODGORICA!M8+[1]ROŽAJE!M8+[1]ŠAVNIK!M8+[1]TIVAT!M8+[1]ULCINJ!M8+[1]ŽABLJAK!M8</f>
        <v>23128145.460000005</v>
      </c>
      <c r="N7" s="124">
        <f>+[1]ANDRIJEVICA!N8+[1]BAR!N8+[1]BERANE!N8+'[1]BIJELO POLJE'!N8+[1]BUDVA!N8+[1]CETINJE!N8+[1]DANILOVGRAD!N8+'[1]HERCEG NOVI'!N8+[1]KOLAŠIN!N8+[1]KOTOR!N8+[1]MOJKOVAC!N8+[1]NIKŠIĆ!N8+[1]PETNJICA!N8+[1]PLAV!N8+[1]PLUŽINE!N8+[1]PLJEVLJA!N8+[1]PODGORICA!N8+[1]ROŽAJE!N8+[1]ŠAVNIK!N8+[1]TIVAT!N8+[1]ULCINJ!N8+[1]ŽABLJAK!N8</f>
        <v>163217298.71000001</v>
      </c>
      <c r="O7" s="41"/>
    </row>
    <row r="8" spans="1:15" ht="16.5" thickBot="1">
      <c r="A8" s="74" t="s">
        <v>96</v>
      </c>
      <c r="B8" s="85">
        <f>SUM(B6:B7)</f>
        <v>7818915.1000000006</v>
      </c>
      <c r="C8" s="85">
        <f t="shared" ref="C8:N8" si="0">SUM(C6:C7)</f>
        <v>13443524.890000001</v>
      </c>
      <c r="D8" s="85">
        <f t="shared" si="0"/>
        <v>44745876.939999998</v>
      </c>
      <c r="E8" s="85">
        <f t="shared" si="0"/>
        <v>21799792.689999998</v>
      </c>
      <c r="F8" s="85">
        <f t="shared" si="0"/>
        <v>16866003.199999999</v>
      </c>
      <c r="G8" s="85">
        <f t="shared" si="0"/>
        <v>18003468.91</v>
      </c>
      <c r="H8" s="85">
        <f t="shared" si="0"/>
        <v>18015852.009999998</v>
      </c>
      <c r="I8" s="85">
        <f t="shared" si="0"/>
        <v>17821317.109999999</v>
      </c>
      <c r="J8" s="85">
        <f t="shared" si="0"/>
        <v>14412409.479999997</v>
      </c>
      <c r="K8" s="85">
        <f t="shared" si="0"/>
        <v>14305557.459999999</v>
      </c>
      <c r="L8" s="85">
        <f t="shared" si="0"/>
        <v>14677341.34</v>
      </c>
      <c r="M8" s="86">
        <f t="shared" si="0"/>
        <v>25210114.930000003</v>
      </c>
      <c r="N8" s="87">
        <f t="shared" si="0"/>
        <v>227120174.06</v>
      </c>
      <c r="O8" s="41"/>
    </row>
    <row r="9" spans="1:15">
      <c r="B9" s="42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</row>
    <row r="10" spans="1:15">
      <c r="N10" s="42"/>
    </row>
    <row r="11" spans="1:15">
      <c r="A11" s="34"/>
      <c r="B11" s="20"/>
      <c r="C11" s="20"/>
      <c r="D11" s="20"/>
      <c r="E11" s="20"/>
      <c r="F11" s="20"/>
      <c r="L11" s="42"/>
      <c r="N11" s="42"/>
    </row>
    <row r="12" spans="1:15">
      <c r="B12" s="42"/>
      <c r="C12" s="42"/>
      <c r="N12" s="42"/>
    </row>
    <row r="13" spans="1:15">
      <c r="B13" s="42"/>
      <c r="C13" s="42"/>
      <c r="H13" s="42"/>
      <c r="L13" s="42"/>
      <c r="N13" s="42"/>
      <c r="O13" s="42"/>
    </row>
    <row r="14" spans="1:15">
      <c r="B14" s="42"/>
      <c r="L14" s="42"/>
      <c r="M14" s="42"/>
      <c r="N14" s="42"/>
    </row>
    <row r="15" spans="1:15">
      <c r="B15" s="42"/>
      <c r="D15" s="42"/>
      <c r="N15" s="42"/>
    </row>
    <row r="17" spans="12:12">
      <c r="L17" s="42"/>
    </row>
  </sheetData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3:N13"/>
  <sheetViews>
    <sheetView topLeftCell="A3" workbookViewId="0">
      <selection activeCell="A12" sqref="A12"/>
    </sheetView>
  </sheetViews>
  <sheetFormatPr defaultRowHeight="15"/>
  <cols>
    <col min="1" max="1" width="27.28515625" style="1" customWidth="1"/>
    <col min="2" max="3" width="11" style="1" bestFit="1" customWidth="1"/>
    <col min="4" max="4" width="10.85546875" style="1" customWidth="1"/>
    <col min="5" max="5" width="11.140625" style="1" bestFit="1" customWidth="1"/>
    <col min="6" max="6" width="11.140625" style="1" customWidth="1"/>
    <col min="7" max="7" width="11" style="1" customWidth="1"/>
    <col min="8" max="8" width="11.140625" style="1" bestFit="1" customWidth="1"/>
    <col min="9" max="9" width="11.140625" style="1" customWidth="1"/>
    <col min="10" max="10" width="12.42578125" style="1" customWidth="1"/>
    <col min="11" max="11" width="10.5703125" style="1" customWidth="1"/>
    <col min="12" max="12" width="12.28515625" style="1" customWidth="1"/>
    <col min="13" max="13" width="11.140625" style="1" bestFit="1" customWidth="1"/>
    <col min="14" max="14" width="12.5703125" style="1" bestFit="1" customWidth="1"/>
    <col min="15" max="16384" width="9.140625" style="1"/>
  </cols>
  <sheetData>
    <row r="3" spans="1:14" ht="21" customHeight="1">
      <c r="A3" s="4"/>
      <c r="B3" s="126" t="s">
        <v>83</v>
      </c>
      <c r="C3" s="126"/>
      <c r="D3" s="126"/>
      <c r="E3" s="126"/>
      <c r="F3" s="126"/>
      <c r="G3" s="126"/>
      <c r="H3" s="126"/>
      <c r="I3" s="127"/>
      <c r="J3" s="127"/>
    </row>
    <row r="4" spans="1:14" ht="15.75" thickBot="1">
      <c r="M4" s="3"/>
      <c r="N4" s="3"/>
    </row>
    <row r="5" spans="1:14" ht="45">
      <c r="A5" s="90" t="s">
        <v>1</v>
      </c>
      <c r="B5" s="91" t="s">
        <v>2</v>
      </c>
      <c r="C5" s="91" t="s">
        <v>3</v>
      </c>
      <c r="D5" s="91" t="s">
        <v>4</v>
      </c>
      <c r="E5" s="91" t="s">
        <v>5</v>
      </c>
      <c r="F5" s="91" t="s">
        <v>6</v>
      </c>
      <c r="G5" s="91" t="s">
        <v>7</v>
      </c>
      <c r="H5" s="91" t="s">
        <v>8</v>
      </c>
      <c r="I5" s="91" t="s">
        <v>9</v>
      </c>
      <c r="J5" s="91" t="s">
        <v>10</v>
      </c>
      <c r="K5" s="91" t="s">
        <v>11</v>
      </c>
      <c r="L5" s="91" t="s">
        <v>12</v>
      </c>
      <c r="M5" s="92" t="s">
        <v>13</v>
      </c>
      <c r="N5" s="60" t="s">
        <v>76</v>
      </c>
    </row>
    <row r="6" spans="1:14" ht="15.75" thickBot="1">
      <c r="A6" s="93">
        <v>1</v>
      </c>
      <c r="B6" s="94">
        <v>2</v>
      </c>
      <c r="C6" s="94">
        <v>3</v>
      </c>
      <c r="D6" s="94">
        <v>4</v>
      </c>
      <c r="E6" s="94">
        <v>5</v>
      </c>
      <c r="F6" s="94">
        <v>6</v>
      </c>
      <c r="G6" s="94">
        <v>7</v>
      </c>
      <c r="H6" s="94">
        <v>8</v>
      </c>
      <c r="I6" s="94">
        <v>9</v>
      </c>
      <c r="J6" s="94">
        <v>10</v>
      </c>
      <c r="K6" s="94">
        <v>11</v>
      </c>
      <c r="L6" s="94">
        <v>12</v>
      </c>
      <c r="M6" s="95">
        <v>13</v>
      </c>
      <c r="N6" s="96" t="s">
        <v>39</v>
      </c>
    </row>
    <row r="7" spans="1:14" ht="15.75" thickTop="1">
      <c r="A7" s="71" t="s">
        <v>66</v>
      </c>
      <c r="B7" s="39">
        <f>186726.76+4703.84</f>
        <v>191430.6</v>
      </c>
      <c r="C7" s="39">
        <f>268625.82+6468.39</f>
        <v>275094.21000000002</v>
      </c>
      <c r="D7" s="39">
        <f>383159.88+3626.57</f>
        <v>386786.45</v>
      </c>
      <c r="E7" s="39">
        <f>286538.32+3194</f>
        <v>289732.32</v>
      </c>
      <c r="F7" s="39">
        <f>408637.51+6275.31</f>
        <v>414912.82</v>
      </c>
      <c r="G7" s="39">
        <f>350494.07+2202.45</f>
        <v>352696.52</v>
      </c>
      <c r="H7" s="39">
        <f>332488.58+4686.05</f>
        <v>337174.63</v>
      </c>
      <c r="I7" s="39">
        <f>360065.22+3841.68</f>
        <v>363906.89999999997</v>
      </c>
      <c r="J7" s="39">
        <f>529778.39+3121.15</f>
        <v>532899.54</v>
      </c>
      <c r="K7" s="39">
        <f>405718.07+2099.88</f>
        <v>407817.95</v>
      </c>
      <c r="L7" s="39">
        <f>379502.06+10565.87</f>
        <v>390067.93</v>
      </c>
      <c r="M7" s="97">
        <f>632877.84+15636.07</f>
        <v>648513.90999999992</v>
      </c>
      <c r="N7" s="78">
        <f t="shared" ref="N7:N8" si="0">M7+L7+K7+J7+I7+H7+G7+F7+E7+D7+C7+B7</f>
        <v>4591033.7799999993</v>
      </c>
    </row>
    <row r="8" spans="1:14" ht="15.75" thickBot="1">
      <c r="A8" s="56" t="s">
        <v>67</v>
      </c>
      <c r="B8" s="38">
        <v>100727.39</v>
      </c>
      <c r="C8" s="38">
        <v>103932.47</v>
      </c>
      <c r="D8" s="38">
        <v>120262.43</v>
      </c>
      <c r="E8" s="38">
        <v>157104.15</v>
      </c>
      <c r="F8" s="38">
        <v>259465.53</v>
      </c>
      <c r="G8" s="38">
        <v>110555.61</v>
      </c>
      <c r="H8" s="38">
        <v>89668.83</v>
      </c>
      <c r="I8" s="38">
        <v>87756.53</v>
      </c>
      <c r="J8" s="38">
        <f>94567.86+215.4</f>
        <v>94783.26</v>
      </c>
      <c r="K8" s="38">
        <f>110828.65+2147.96</f>
        <v>112976.61</v>
      </c>
      <c r="L8" s="38">
        <f>91995.18+2443.93</f>
        <v>94439.109999999986</v>
      </c>
      <c r="M8" s="64">
        <f>119961.16+4925</f>
        <v>124886.16</v>
      </c>
      <c r="N8" s="81">
        <f t="shared" si="0"/>
        <v>1456558.0799999998</v>
      </c>
    </row>
    <row r="9" spans="1:14" ht="16.5" thickBot="1">
      <c r="A9" s="74" t="s">
        <v>85</v>
      </c>
      <c r="B9" s="75">
        <f>SUM(B7:B8)</f>
        <v>292157.99</v>
      </c>
      <c r="C9" s="75">
        <f t="shared" ref="C9:N9" si="1">SUM(C7:C8)</f>
        <v>379026.68000000005</v>
      </c>
      <c r="D9" s="75">
        <f t="shared" si="1"/>
        <v>507048.88</v>
      </c>
      <c r="E9" s="75">
        <f t="shared" si="1"/>
        <v>446836.47</v>
      </c>
      <c r="F9" s="75">
        <f t="shared" si="1"/>
        <v>674378.35</v>
      </c>
      <c r="G9" s="75">
        <f t="shared" si="1"/>
        <v>463252.13</v>
      </c>
      <c r="H9" s="75">
        <f t="shared" si="1"/>
        <v>426843.46</v>
      </c>
      <c r="I9" s="75">
        <f t="shared" si="1"/>
        <v>451663.42999999993</v>
      </c>
      <c r="J9" s="75">
        <f t="shared" si="1"/>
        <v>627682.80000000005</v>
      </c>
      <c r="K9" s="75">
        <f t="shared" si="1"/>
        <v>520794.56</v>
      </c>
      <c r="L9" s="75">
        <f t="shared" si="1"/>
        <v>484507.04</v>
      </c>
      <c r="M9" s="75">
        <f t="shared" si="1"/>
        <v>773400.07</v>
      </c>
      <c r="N9" s="82">
        <f t="shared" si="1"/>
        <v>6047591.8599999994</v>
      </c>
    </row>
    <row r="12" spans="1:14">
      <c r="A12" s="34"/>
      <c r="B12" s="20"/>
      <c r="C12" s="20"/>
      <c r="D12" s="20"/>
      <c r="E12" s="20"/>
      <c r="F12" s="20"/>
    </row>
    <row r="13" spans="1:14">
      <c r="A13" s="20"/>
      <c r="B13" s="20"/>
      <c r="C13" s="20"/>
      <c r="D13" s="20"/>
      <c r="E13" s="20"/>
      <c r="F13" s="20"/>
    </row>
  </sheetData>
  <mergeCells count="1">
    <mergeCell ref="B3:J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3:N13"/>
  <sheetViews>
    <sheetView workbookViewId="0">
      <selection activeCell="A12" sqref="A12"/>
    </sheetView>
  </sheetViews>
  <sheetFormatPr defaultRowHeight="15"/>
  <cols>
    <col min="1" max="1" width="24.85546875" style="1" customWidth="1"/>
    <col min="2" max="2" width="12" style="1" customWidth="1"/>
    <col min="3" max="3" width="11.42578125" style="1" bestFit="1" customWidth="1"/>
    <col min="4" max="4" width="12.5703125" style="1" bestFit="1" customWidth="1"/>
    <col min="5" max="5" width="11" style="1" bestFit="1" customWidth="1"/>
    <col min="6" max="6" width="11.28515625" style="1" customWidth="1"/>
    <col min="7" max="7" width="11.7109375" style="1" customWidth="1"/>
    <col min="8" max="8" width="10.7109375" style="1" customWidth="1"/>
    <col min="9" max="9" width="12.5703125" style="1" bestFit="1" customWidth="1"/>
    <col min="10" max="10" width="13.140625" style="1" customWidth="1"/>
    <col min="11" max="11" width="11.5703125" style="1" customWidth="1"/>
    <col min="12" max="12" width="12.42578125" style="1" customWidth="1"/>
    <col min="13" max="13" width="12" style="1" customWidth="1"/>
    <col min="14" max="14" width="13.7109375" style="1" bestFit="1" customWidth="1"/>
    <col min="15" max="16384" width="9.140625" style="1"/>
  </cols>
  <sheetData>
    <row r="3" spans="1:14" ht="21" customHeight="1">
      <c r="A3" s="4"/>
      <c r="B3" s="126" t="s">
        <v>78</v>
      </c>
      <c r="C3" s="126"/>
      <c r="D3" s="126"/>
      <c r="E3" s="126"/>
      <c r="F3" s="126"/>
      <c r="G3" s="126"/>
      <c r="H3" s="126"/>
      <c r="I3" s="127"/>
      <c r="J3" s="127"/>
    </row>
    <row r="4" spans="1:14" ht="15.75" thickBot="1">
      <c r="M4" s="3"/>
      <c r="N4" s="3"/>
    </row>
    <row r="5" spans="1:14" ht="31.5">
      <c r="A5" s="90" t="s">
        <v>1</v>
      </c>
      <c r="B5" s="91" t="s">
        <v>2</v>
      </c>
      <c r="C5" s="91" t="s">
        <v>3</v>
      </c>
      <c r="D5" s="91" t="s">
        <v>4</v>
      </c>
      <c r="E5" s="91" t="s">
        <v>5</v>
      </c>
      <c r="F5" s="91" t="s">
        <v>6</v>
      </c>
      <c r="G5" s="91" t="s">
        <v>7</v>
      </c>
      <c r="H5" s="91" t="s">
        <v>8</v>
      </c>
      <c r="I5" s="91" t="s">
        <v>9</v>
      </c>
      <c r="J5" s="91" t="s">
        <v>10</v>
      </c>
      <c r="K5" s="91" t="s">
        <v>11</v>
      </c>
      <c r="L5" s="91" t="s">
        <v>12</v>
      </c>
      <c r="M5" s="92" t="s">
        <v>13</v>
      </c>
      <c r="N5" s="60" t="s">
        <v>76</v>
      </c>
    </row>
    <row r="6" spans="1:14" ht="15.75" thickBot="1">
      <c r="A6" s="93">
        <v>1</v>
      </c>
      <c r="B6" s="94">
        <v>2</v>
      </c>
      <c r="C6" s="94">
        <v>3</v>
      </c>
      <c r="D6" s="94">
        <v>4</v>
      </c>
      <c r="E6" s="94">
        <v>5</v>
      </c>
      <c r="F6" s="94">
        <v>6</v>
      </c>
      <c r="G6" s="94">
        <v>7</v>
      </c>
      <c r="H6" s="94">
        <v>8</v>
      </c>
      <c r="I6" s="94">
        <v>9</v>
      </c>
      <c r="J6" s="94">
        <v>10</v>
      </c>
      <c r="K6" s="94">
        <v>11</v>
      </c>
      <c r="L6" s="94">
        <v>12</v>
      </c>
      <c r="M6" s="95">
        <v>13</v>
      </c>
      <c r="N6" s="96" t="s">
        <v>39</v>
      </c>
    </row>
    <row r="7" spans="1:14" ht="15.75" thickTop="1">
      <c r="A7" s="7" t="s">
        <v>66</v>
      </c>
      <c r="B7" s="39">
        <v>170520.18</v>
      </c>
      <c r="C7" s="39">
        <v>386107.55</v>
      </c>
      <c r="D7" s="39">
        <v>816930.47</v>
      </c>
      <c r="E7" s="39">
        <v>621008.68000000005</v>
      </c>
      <c r="F7" s="39">
        <v>463657.69</v>
      </c>
      <c r="G7" s="39">
        <f>719980.14-180000</f>
        <v>539980.14</v>
      </c>
      <c r="H7" s="39">
        <v>566889.78</v>
      </c>
      <c r="I7" s="39">
        <v>510167.08</v>
      </c>
      <c r="J7" s="39">
        <v>515244.4</v>
      </c>
      <c r="K7" s="39">
        <v>623798.84</v>
      </c>
      <c r="L7" s="44">
        <v>671662.81</v>
      </c>
      <c r="M7" s="97">
        <v>921961.17</v>
      </c>
      <c r="N7" s="78">
        <f t="shared" ref="N7:N8" si="0">M7+L7+K7+J7+I7+H7+G7+F7+E7+D7+C7+B7</f>
        <v>6807928.7899999991</v>
      </c>
    </row>
    <row r="8" spans="1:14" ht="15.75" thickBot="1">
      <c r="A8" s="6" t="s">
        <v>67</v>
      </c>
      <c r="B8" s="40">
        <v>545635.17000000004</v>
      </c>
      <c r="C8" s="40">
        <v>476917.66</v>
      </c>
      <c r="D8" s="40">
        <v>280447.67</v>
      </c>
      <c r="E8" s="40">
        <v>216815.77</v>
      </c>
      <c r="F8" s="54">
        <v>179957.47</v>
      </c>
      <c r="G8" s="40">
        <f>232318.04-74000</f>
        <v>158318.04</v>
      </c>
      <c r="H8" s="40">
        <v>129968.41</v>
      </c>
      <c r="I8" s="40">
        <v>505357.82</v>
      </c>
      <c r="J8" s="40">
        <v>401494.48</v>
      </c>
      <c r="K8" s="40">
        <v>348206.51</v>
      </c>
      <c r="L8" s="45">
        <v>288183.84999999998</v>
      </c>
      <c r="M8" s="83">
        <v>282511.34999999998</v>
      </c>
      <c r="N8" s="81">
        <f t="shared" si="0"/>
        <v>3813814.2</v>
      </c>
    </row>
    <row r="9" spans="1:14" ht="16.5" thickBot="1">
      <c r="A9" s="74" t="s">
        <v>87</v>
      </c>
      <c r="B9" s="84">
        <f>SUM(B7:B8)</f>
        <v>716155.35000000009</v>
      </c>
      <c r="C9" s="84">
        <f t="shared" ref="C9:N9" si="1">SUM(C7:C8)</f>
        <v>863025.21</v>
      </c>
      <c r="D9" s="84">
        <f t="shared" si="1"/>
        <v>1097378.1399999999</v>
      </c>
      <c r="E9" s="84">
        <f t="shared" si="1"/>
        <v>837824.45000000007</v>
      </c>
      <c r="F9" s="84">
        <f t="shared" si="1"/>
        <v>643615.16</v>
      </c>
      <c r="G9" s="84">
        <f t="shared" si="1"/>
        <v>698298.18</v>
      </c>
      <c r="H9" s="84">
        <f t="shared" si="1"/>
        <v>696858.19000000006</v>
      </c>
      <c r="I9" s="84">
        <f t="shared" si="1"/>
        <v>1015524.9</v>
      </c>
      <c r="J9" s="84">
        <f t="shared" si="1"/>
        <v>916738.88</v>
      </c>
      <c r="K9" s="84">
        <f t="shared" si="1"/>
        <v>972005.35</v>
      </c>
      <c r="L9" s="84">
        <f t="shared" si="1"/>
        <v>959846.66</v>
      </c>
      <c r="M9" s="84">
        <f t="shared" si="1"/>
        <v>1204472.52</v>
      </c>
      <c r="N9" s="84">
        <f t="shared" si="1"/>
        <v>10621742.989999998</v>
      </c>
    </row>
    <row r="10" spans="1:14">
      <c r="E10" s="42"/>
    </row>
    <row r="11" spans="1:14">
      <c r="E11" s="41"/>
    </row>
    <row r="12" spans="1:14">
      <c r="A12" s="34"/>
      <c r="B12" s="20"/>
      <c r="C12" s="20"/>
      <c r="D12" s="20"/>
      <c r="E12" s="20"/>
      <c r="F12" s="20"/>
    </row>
    <row r="13" spans="1:14">
      <c r="A13" s="20"/>
      <c r="B13" s="20"/>
      <c r="C13" s="20"/>
      <c r="D13" s="20"/>
      <c r="E13" s="20"/>
      <c r="F13" s="20"/>
    </row>
  </sheetData>
  <mergeCells count="1">
    <mergeCell ref="B3:J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3:N13"/>
  <sheetViews>
    <sheetView workbookViewId="0">
      <selection activeCell="A12" sqref="A12"/>
    </sheetView>
  </sheetViews>
  <sheetFormatPr defaultRowHeight="15"/>
  <cols>
    <col min="1" max="1" width="26" style="1" customWidth="1"/>
    <col min="2" max="2" width="11.85546875" style="1" customWidth="1"/>
    <col min="3" max="9" width="12.5703125" style="1" bestFit="1" customWidth="1"/>
    <col min="10" max="10" width="12.5703125" style="1" customWidth="1"/>
    <col min="11" max="11" width="12.5703125" style="1" bestFit="1" customWidth="1"/>
    <col min="12" max="12" width="12.42578125" style="1" customWidth="1"/>
    <col min="13" max="13" width="12.5703125" style="1" bestFit="1" customWidth="1"/>
    <col min="14" max="14" width="13.7109375" style="1" bestFit="1" customWidth="1"/>
    <col min="15" max="16384" width="9.140625" style="1"/>
  </cols>
  <sheetData>
    <row r="3" spans="1:14" ht="21" customHeight="1">
      <c r="A3" s="4"/>
      <c r="B3" s="126" t="s">
        <v>79</v>
      </c>
      <c r="C3" s="126"/>
      <c r="D3" s="126"/>
      <c r="E3" s="126"/>
      <c r="F3" s="126"/>
      <c r="G3" s="126"/>
      <c r="H3" s="126"/>
      <c r="I3" s="127"/>
      <c r="J3" s="127"/>
    </row>
    <row r="4" spans="1:14" ht="15.75" thickBot="1">
      <c r="M4" s="3"/>
      <c r="N4" s="3"/>
    </row>
    <row r="5" spans="1:14" ht="31.5">
      <c r="A5" s="90" t="s">
        <v>1</v>
      </c>
      <c r="B5" s="91" t="s">
        <v>2</v>
      </c>
      <c r="C5" s="91" t="s">
        <v>3</v>
      </c>
      <c r="D5" s="91" t="s">
        <v>4</v>
      </c>
      <c r="E5" s="91" t="s">
        <v>5</v>
      </c>
      <c r="F5" s="91" t="s">
        <v>6</v>
      </c>
      <c r="G5" s="91" t="s">
        <v>7</v>
      </c>
      <c r="H5" s="91" t="s">
        <v>8</v>
      </c>
      <c r="I5" s="91" t="s">
        <v>9</v>
      </c>
      <c r="J5" s="91" t="s">
        <v>10</v>
      </c>
      <c r="K5" s="91" t="s">
        <v>11</v>
      </c>
      <c r="L5" s="91" t="s">
        <v>12</v>
      </c>
      <c r="M5" s="92" t="s">
        <v>13</v>
      </c>
      <c r="N5" s="60" t="s">
        <v>76</v>
      </c>
    </row>
    <row r="6" spans="1:14" ht="15.75" thickBot="1">
      <c r="A6" s="93">
        <v>1</v>
      </c>
      <c r="B6" s="94">
        <v>2</v>
      </c>
      <c r="C6" s="94">
        <v>3</v>
      </c>
      <c r="D6" s="94">
        <v>4</v>
      </c>
      <c r="E6" s="94">
        <v>5</v>
      </c>
      <c r="F6" s="94">
        <v>6</v>
      </c>
      <c r="G6" s="94">
        <v>7</v>
      </c>
      <c r="H6" s="94">
        <v>8</v>
      </c>
      <c r="I6" s="94">
        <v>9</v>
      </c>
      <c r="J6" s="94">
        <v>10</v>
      </c>
      <c r="K6" s="94">
        <v>11</v>
      </c>
      <c r="L6" s="94">
        <v>12</v>
      </c>
      <c r="M6" s="95">
        <v>13</v>
      </c>
      <c r="N6" s="96" t="s">
        <v>39</v>
      </c>
    </row>
    <row r="7" spans="1:14" ht="15.75" thickTop="1">
      <c r="A7" s="71" t="s">
        <v>66</v>
      </c>
      <c r="B7" s="39">
        <v>340543.95</v>
      </c>
      <c r="C7" s="39">
        <v>572793.93000000005</v>
      </c>
      <c r="D7" s="39">
        <v>649671.52</v>
      </c>
      <c r="E7" s="39">
        <v>832978.55</v>
      </c>
      <c r="F7" s="39">
        <v>947965.31</v>
      </c>
      <c r="G7" s="39">
        <v>1030145.33</v>
      </c>
      <c r="H7" s="39">
        <v>1286661.54</v>
      </c>
      <c r="I7" s="39">
        <v>1223098.2</v>
      </c>
      <c r="J7" s="39">
        <v>1090579.69</v>
      </c>
      <c r="K7" s="39">
        <v>839076.42</v>
      </c>
      <c r="L7" s="39">
        <v>1340173.32</v>
      </c>
      <c r="M7" s="97">
        <v>1475600.29</v>
      </c>
      <c r="N7" s="78">
        <f t="shared" ref="N7:N8" si="0">M7+L7+K7+J7+I7+H7+G7+F7+E7+D7+C7+B7</f>
        <v>11629288.050000001</v>
      </c>
    </row>
    <row r="8" spans="1:14" ht="15.75" thickBot="1">
      <c r="A8" s="56" t="s">
        <v>67</v>
      </c>
      <c r="B8" s="38">
        <v>893489.49</v>
      </c>
      <c r="C8" s="38">
        <v>719416.63</v>
      </c>
      <c r="D8" s="38">
        <v>485240.33</v>
      </c>
      <c r="E8" s="38">
        <v>1020691.77</v>
      </c>
      <c r="F8" s="38">
        <v>1197068.6599999999</v>
      </c>
      <c r="G8" s="38">
        <v>105215.54</v>
      </c>
      <c r="H8" s="38">
        <v>1844545.42</v>
      </c>
      <c r="I8" s="38">
        <v>3825821.83</v>
      </c>
      <c r="J8" s="38">
        <v>5025448.5</v>
      </c>
      <c r="K8" s="38">
        <v>3439188.98</v>
      </c>
      <c r="L8" s="38">
        <v>1952546.37</v>
      </c>
      <c r="M8" s="64">
        <v>871145.34</v>
      </c>
      <c r="N8" s="81">
        <f t="shared" si="0"/>
        <v>21379818.859999992</v>
      </c>
    </row>
    <row r="9" spans="1:14" ht="16.5" thickBot="1">
      <c r="A9" s="74" t="s">
        <v>87</v>
      </c>
      <c r="B9" s="75">
        <f>SUM(B7:B8)</f>
        <v>1234033.44</v>
      </c>
      <c r="C9" s="75">
        <f t="shared" ref="C9:N9" si="1">SUM(C7:C8)</f>
        <v>1292210.56</v>
      </c>
      <c r="D9" s="75">
        <f t="shared" si="1"/>
        <v>1134911.8500000001</v>
      </c>
      <c r="E9" s="75">
        <f t="shared" si="1"/>
        <v>1853670.32</v>
      </c>
      <c r="F9" s="75">
        <f t="shared" si="1"/>
        <v>2145033.9699999997</v>
      </c>
      <c r="G9" s="75">
        <f t="shared" si="1"/>
        <v>1135360.8699999999</v>
      </c>
      <c r="H9" s="75">
        <f t="shared" si="1"/>
        <v>3131206.96</v>
      </c>
      <c r="I9" s="75">
        <f t="shared" si="1"/>
        <v>5048920.03</v>
      </c>
      <c r="J9" s="75">
        <f t="shared" si="1"/>
        <v>6116028.1899999995</v>
      </c>
      <c r="K9" s="75">
        <f t="shared" si="1"/>
        <v>4278265.4000000004</v>
      </c>
      <c r="L9" s="75">
        <f t="shared" si="1"/>
        <v>3292719.6900000004</v>
      </c>
      <c r="M9" s="75">
        <f t="shared" si="1"/>
        <v>2346745.63</v>
      </c>
      <c r="N9" s="75">
        <f t="shared" si="1"/>
        <v>33009106.909999993</v>
      </c>
    </row>
    <row r="12" spans="1:14">
      <c r="A12" s="34"/>
      <c r="B12" s="20"/>
      <c r="C12" s="20"/>
      <c r="D12" s="20"/>
      <c r="E12" s="20"/>
      <c r="F12" s="20"/>
    </row>
    <row r="13" spans="1:14">
      <c r="A13" s="20"/>
      <c r="B13" s="20"/>
      <c r="C13" s="20"/>
      <c r="D13" s="20"/>
      <c r="E13" s="20"/>
      <c r="F13" s="20"/>
    </row>
  </sheetData>
  <mergeCells count="1">
    <mergeCell ref="B3:J3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3:AS16"/>
  <sheetViews>
    <sheetView workbookViewId="0">
      <selection activeCell="V13" sqref="V13"/>
    </sheetView>
  </sheetViews>
  <sheetFormatPr defaultRowHeight="15"/>
  <cols>
    <col min="1" max="1" width="26.140625" style="1" customWidth="1"/>
    <col min="2" max="2" width="11.42578125" style="1" customWidth="1"/>
    <col min="3" max="9" width="12.140625" style="1" bestFit="1" customWidth="1"/>
    <col min="10" max="10" width="12" style="1" customWidth="1"/>
    <col min="11" max="11" width="12.140625" style="1" bestFit="1" customWidth="1"/>
    <col min="12" max="12" width="12.28515625" style="1" customWidth="1"/>
    <col min="13" max="13" width="11.5703125" style="1" customWidth="1"/>
    <col min="14" max="14" width="14" style="1" bestFit="1" customWidth="1"/>
    <col min="15" max="31" width="9.140625" style="1"/>
    <col min="32" max="32" width="10.7109375" style="1" bestFit="1" customWidth="1"/>
    <col min="33" max="44" width="9.140625" style="1"/>
    <col min="45" max="45" width="12.85546875" style="1" bestFit="1" customWidth="1"/>
    <col min="46" max="16384" width="9.140625" style="1"/>
  </cols>
  <sheetData>
    <row r="3" spans="1:45" ht="21">
      <c r="A3" s="4"/>
      <c r="B3" s="126" t="s">
        <v>80</v>
      </c>
      <c r="C3" s="126"/>
      <c r="D3" s="126"/>
      <c r="E3" s="126"/>
      <c r="F3" s="126"/>
      <c r="G3" s="126"/>
      <c r="H3" s="126"/>
      <c r="I3" s="127"/>
      <c r="J3" s="127"/>
      <c r="P3" s="35" t="s">
        <v>0</v>
      </c>
      <c r="Q3" s="35"/>
      <c r="R3" s="35"/>
      <c r="S3" s="35"/>
      <c r="T3" s="35"/>
      <c r="U3" s="35"/>
      <c r="AE3" s="128" t="s">
        <v>72</v>
      </c>
      <c r="AF3" s="129"/>
      <c r="AG3" s="129"/>
      <c r="AH3" s="129"/>
      <c r="AI3" s="129"/>
      <c r="AJ3" s="129"/>
      <c r="AK3" s="129"/>
      <c r="AL3" s="127"/>
    </row>
    <row r="4" spans="1:45" ht="15.75" thickBot="1">
      <c r="M4" s="3"/>
      <c r="N4" s="3"/>
    </row>
    <row r="5" spans="1:45" ht="75">
      <c r="A5" s="90" t="s">
        <v>1</v>
      </c>
      <c r="B5" s="91" t="s">
        <v>2</v>
      </c>
      <c r="C5" s="91" t="s">
        <v>3</v>
      </c>
      <c r="D5" s="91" t="s">
        <v>4</v>
      </c>
      <c r="E5" s="91" t="s">
        <v>5</v>
      </c>
      <c r="F5" s="91" t="s">
        <v>6</v>
      </c>
      <c r="G5" s="91" t="s">
        <v>7</v>
      </c>
      <c r="H5" s="91" t="s">
        <v>8</v>
      </c>
      <c r="I5" s="91" t="s">
        <v>9</v>
      </c>
      <c r="J5" s="91" t="s">
        <v>10</v>
      </c>
      <c r="K5" s="91" t="s">
        <v>11</v>
      </c>
      <c r="L5" s="91" t="s">
        <v>12</v>
      </c>
      <c r="M5" s="92" t="s">
        <v>13</v>
      </c>
      <c r="N5" s="60" t="s">
        <v>76</v>
      </c>
      <c r="P5" s="12" t="s">
        <v>1</v>
      </c>
      <c r="Q5" s="13" t="s">
        <v>14</v>
      </c>
      <c r="R5" s="13" t="s">
        <v>15</v>
      </c>
      <c r="S5" s="13" t="s">
        <v>16</v>
      </c>
      <c r="T5" s="13" t="s">
        <v>17</v>
      </c>
      <c r="U5" s="13" t="s">
        <v>18</v>
      </c>
      <c r="V5" s="13" t="s">
        <v>19</v>
      </c>
      <c r="W5" s="13" t="s">
        <v>20</v>
      </c>
      <c r="X5" s="13" t="s">
        <v>21</v>
      </c>
      <c r="Y5" s="13" t="s">
        <v>22</v>
      </c>
      <c r="Z5" s="13" t="s">
        <v>23</v>
      </c>
      <c r="AA5" s="13" t="s">
        <v>24</v>
      </c>
      <c r="AB5" s="13" t="s">
        <v>25</v>
      </c>
      <c r="AC5" s="14" t="s">
        <v>26</v>
      </c>
      <c r="AE5" s="27" t="s">
        <v>1</v>
      </c>
      <c r="AF5" s="28" t="s">
        <v>73</v>
      </c>
      <c r="AG5" s="28" t="s">
        <v>27</v>
      </c>
      <c r="AH5" s="28" t="s">
        <v>28</v>
      </c>
      <c r="AI5" s="28" t="s">
        <v>29</v>
      </c>
      <c r="AJ5" s="28" t="s">
        <v>30</v>
      </c>
      <c r="AK5" s="28" t="s">
        <v>31</v>
      </c>
      <c r="AL5" s="28" t="s">
        <v>32</v>
      </c>
      <c r="AM5" s="28" t="s">
        <v>33</v>
      </c>
      <c r="AN5" s="28" t="s">
        <v>34</v>
      </c>
      <c r="AO5" s="28" t="s">
        <v>35</v>
      </c>
      <c r="AP5" s="28" t="s">
        <v>36</v>
      </c>
      <c r="AQ5" s="28" t="s">
        <v>37</v>
      </c>
      <c r="AR5" s="28" t="s">
        <v>38</v>
      </c>
      <c r="AS5" s="29" t="s">
        <v>74</v>
      </c>
    </row>
    <row r="6" spans="1:45" ht="15.75" thickBot="1">
      <c r="A6" s="93">
        <v>1</v>
      </c>
      <c r="B6" s="94">
        <v>2</v>
      </c>
      <c r="C6" s="94">
        <v>3</v>
      </c>
      <c r="D6" s="94">
        <v>4</v>
      </c>
      <c r="E6" s="94">
        <v>5</v>
      </c>
      <c r="F6" s="94">
        <v>6</v>
      </c>
      <c r="G6" s="94">
        <v>7</v>
      </c>
      <c r="H6" s="94">
        <v>8</v>
      </c>
      <c r="I6" s="94">
        <v>9</v>
      </c>
      <c r="J6" s="94">
        <v>10</v>
      </c>
      <c r="K6" s="94">
        <v>11</v>
      </c>
      <c r="L6" s="94">
        <v>12</v>
      </c>
      <c r="M6" s="95">
        <v>13</v>
      </c>
      <c r="N6" s="96" t="s">
        <v>39</v>
      </c>
      <c r="P6" s="15"/>
      <c r="Q6" s="2" t="s">
        <v>40</v>
      </c>
      <c r="R6" s="2" t="s">
        <v>41</v>
      </c>
      <c r="S6" s="2" t="s">
        <v>42</v>
      </c>
      <c r="T6" s="2" t="s">
        <v>43</v>
      </c>
      <c r="U6" s="2" t="s">
        <v>44</v>
      </c>
      <c r="V6" s="2" t="s">
        <v>45</v>
      </c>
      <c r="W6" s="2" t="s">
        <v>46</v>
      </c>
      <c r="X6" s="2" t="s">
        <v>47</v>
      </c>
      <c r="Y6" s="2" t="s">
        <v>48</v>
      </c>
      <c r="Z6" s="2" t="s">
        <v>49</v>
      </c>
      <c r="AA6" s="2" t="s">
        <v>50</v>
      </c>
      <c r="AB6" s="2" t="s">
        <v>51</v>
      </c>
      <c r="AC6" s="32" t="s">
        <v>52</v>
      </c>
      <c r="AE6" s="21"/>
      <c r="AF6" s="18">
        <v>28</v>
      </c>
      <c r="AG6" s="18" t="s">
        <v>53</v>
      </c>
      <c r="AH6" s="18" t="s">
        <v>54</v>
      </c>
      <c r="AI6" s="18" t="s">
        <v>55</v>
      </c>
      <c r="AJ6" s="18" t="s">
        <v>56</v>
      </c>
      <c r="AK6" s="18" t="s">
        <v>57</v>
      </c>
      <c r="AL6" s="18" t="s">
        <v>58</v>
      </c>
      <c r="AM6" s="18" t="s">
        <v>59</v>
      </c>
      <c r="AN6" s="18" t="s">
        <v>60</v>
      </c>
      <c r="AO6" s="18" t="s">
        <v>61</v>
      </c>
      <c r="AP6" s="18" t="s">
        <v>62</v>
      </c>
      <c r="AQ6" s="18" t="s">
        <v>63</v>
      </c>
      <c r="AR6" s="18" t="s">
        <v>64</v>
      </c>
      <c r="AS6" s="22" t="s">
        <v>65</v>
      </c>
    </row>
    <row r="7" spans="1:45" ht="15.75" thickTop="1">
      <c r="A7" s="7" t="s">
        <v>66</v>
      </c>
      <c r="B7" s="39">
        <v>156959.45000000001</v>
      </c>
      <c r="C7" s="39">
        <v>332843.71999999997</v>
      </c>
      <c r="D7" s="39">
        <v>296611.48</v>
      </c>
      <c r="E7" s="39">
        <v>338715.11</v>
      </c>
      <c r="F7" s="39">
        <v>346695.77</v>
      </c>
      <c r="G7" s="39">
        <v>339400.91</v>
      </c>
      <c r="H7" s="39">
        <v>360252.55</v>
      </c>
      <c r="I7" s="39">
        <v>362981.63</v>
      </c>
      <c r="J7" s="39">
        <v>361525.5</v>
      </c>
      <c r="K7" s="39">
        <v>290727.63</v>
      </c>
      <c r="L7" s="44">
        <v>453534</v>
      </c>
      <c r="M7" s="39">
        <v>602417.91</v>
      </c>
      <c r="N7" s="78">
        <f t="shared" ref="N7:N8" si="0">M7+L7+K7+J7+I7+H7+G7+F7+E7+D7+C7+B7</f>
        <v>4242665.66</v>
      </c>
      <c r="P7" s="16" t="s">
        <v>66</v>
      </c>
      <c r="Q7" s="30">
        <f t="shared" ref="Q7:Q9" si="1">B7/N7*100</f>
        <v>3.6995479393961959</v>
      </c>
      <c r="R7" s="30">
        <f t="shared" ref="R7:R9" si="2">C7/N7*100</f>
        <v>7.8451555383697134</v>
      </c>
      <c r="S7" s="30">
        <f t="shared" ref="S7:S9" si="3">D7/N7*100</f>
        <v>6.9911584784175513</v>
      </c>
      <c r="T7" s="30">
        <f t="shared" ref="T7:T9" si="4">E7/N7*100</f>
        <v>7.9835447132546378</v>
      </c>
      <c r="U7" s="30">
        <f t="shared" ref="U7:U9" si="5">F7/N7*100</f>
        <v>8.1716495661833513</v>
      </c>
      <c r="V7" s="30">
        <f t="shared" ref="V7:V9" si="6">G7/N7*100</f>
        <v>7.999709079126446</v>
      </c>
      <c r="W7" s="30">
        <f t="shared" ref="W7:W9" si="7">H7/N7*100</f>
        <v>8.491184054319282</v>
      </c>
      <c r="X7" s="30">
        <f t="shared" ref="X7:X9" si="8">I7/N7*100</f>
        <v>8.5555087081738126</v>
      </c>
      <c r="Y7" s="30">
        <f t="shared" ref="Y7:Y9" si="9">J7/N7*100</f>
        <v>8.5211875969505453</v>
      </c>
      <c r="Z7" s="30">
        <f t="shared" ref="Z7:Z9" si="10">K7/N7*100</f>
        <v>6.852475620244844</v>
      </c>
      <c r="AA7" s="30">
        <f t="shared" ref="AA7:AA9" si="11">L7/N7*100</f>
        <v>10.689835974489679</v>
      </c>
      <c r="AB7" s="30">
        <f t="shared" ref="AB7:AB9" si="12">M7/N7*100</f>
        <v>14.199042731073936</v>
      </c>
      <c r="AC7" s="31">
        <f t="shared" ref="AC7:AC9" si="13">AB7+AA7+Z7+Y7+X7+W7+V7+U7+T7+S7+R7+Q7</f>
        <v>99.999999999999972</v>
      </c>
      <c r="AE7" s="23" t="s">
        <v>66</v>
      </c>
      <c r="AF7" s="8">
        <v>4016068.4538387065</v>
      </c>
      <c r="AG7" s="8">
        <f t="shared" ref="AG7:AG9" si="14">Q7*AF7/100</f>
        <v>148576.37772873053</v>
      </c>
      <c r="AH7" s="8">
        <f t="shared" ref="AH7:AH9" si="15">R7*AF7/100</f>
        <v>315066.81673104619</v>
      </c>
      <c r="AI7" s="8">
        <f t="shared" ref="AI7:AI9" si="16">S7*AF7/100</f>
        <v>280769.71020959737</v>
      </c>
      <c r="AJ7" s="8">
        <f t="shared" ref="AJ7:AJ9" si="17">T7*AF7/100</f>
        <v>320624.6207271273</v>
      </c>
      <c r="AK7" s="8">
        <f t="shared" ref="AK7:AK9" si="18">U7*AF7/100</f>
        <v>328179.04038573708</v>
      </c>
      <c r="AL7" s="8">
        <f t="shared" ref="AL7:AL9" si="19">V7*AF7/100</f>
        <v>321273.79272566811</v>
      </c>
      <c r="AM7" s="8">
        <f t="shared" ref="AM7:AM9" si="20">W7*AF7/100</f>
        <v>341011.76416289917</v>
      </c>
      <c r="AN7" s="8">
        <f t="shared" ref="AN7:AN9" si="21">X7*AF7/100</f>
        <v>343595.08629439189</v>
      </c>
      <c r="AO7" s="8">
        <f t="shared" ref="AO7:AO9" si="22">Y7*AF7/100</f>
        <v>342216.72697354743</v>
      </c>
      <c r="AP7" s="8">
        <f t="shared" ref="AP7:AP9" si="23">Z7*AF7/100</f>
        <v>275200.11169164145</v>
      </c>
      <c r="AQ7" s="8">
        <f t="shared" ref="AQ7:AQ9" si="24">AA7*AF7/100</f>
        <v>429311.13033858145</v>
      </c>
      <c r="AR7" s="8">
        <f t="shared" ref="AR7:AR9" si="25">AB7*AF7/100</f>
        <v>570243.27586973819</v>
      </c>
      <c r="AS7" s="24">
        <f t="shared" ref="AS7:AS9" si="26">AR7+AQ7+AP7+AO7+AN7+AM7+AL7+AK7+AJ7+AI7+AH7+AG7</f>
        <v>4016068.453838706</v>
      </c>
    </row>
    <row r="8" spans="1:45" ht="15.75" thickBot="1">
      <c r="A8" s="6" t="s">
        <v>67</v>
      </c>
      <c r="B8" s="38">
        <v>70698.289999999994</v>
      </c>
      <c r="C8" s="38">
        <v>93055.9</v>
      </c>
      <c r="D8" s="38">
        <v>78764.75</v>
      </c>
      <c r="E8" s="38">
        <v>50543.92</v>
      </c>
      <c r="F8" s="38">
        <v>143616.32999999999</v>
      </c>
      <c r="G8" s="38">
        <v>141816.03</v>
      </c>
      <c r="H8" s="38">
        <v>132333.39000000001</v>
      </c>
      <c r="I8" s="38">
        <v>178364.47</v>
      </c>
      <c r="J8" s="38">
        <v>205340.96</v>
      </c>
      <c r="K8" s="38">
        <v>130752.16</v>
      </c>
      <c r="L8" s="43">
        <v>229218.85</v>
      </c>
      <c r="M8" s="38">
        <v>207135.77</v>
      </c>
      <c r="N8" s="73">
        <f t="shared" si="0"/>
        <v>1661640.82</v>
      </c>
      <c r="P8" s="16" t="s">
        <v>67</v>
      </c>
      <c r="Q8" s="30">
        <f t="shared" si="1"/>
        <v>4.254727565010108</v>
      </c>
      <c r="R8" s="30">
        <f t="shared" si="2"/>
        <v>5.6002415732661159</v>
      </c>
      <c r="S8" s="30">
        <f t="shared" si="3"/>
        <v>4.7401790478401944</v>
      </c>
      <c r="T8" s="30">
        <f t="shared" si="4"/>
        <v>3.0418077957425238</v>
      </c>
      <c r="U8" s="30">
        <f t="shared" si="5"/>
        <v>8.6430429652059217</v>
      </c>
      <c r="V8" s="30">
        <f t="shared" si="6"/>
        <v>8.5346982508530331</v>
      </c>
      <c r="W8" s="30">
        <f t="shared" si="7"/>
        <v>7.9640189628947615</v>
      </c>
      <c r="X8" s="30">
        <f t="shared" si="8"/>
        <v>10.734237378689336</v>
      </c>
      <c r="Y8" s="30">
        <f t="shared" si="9"/>
        <v>12.357722410791521</v>
      </c>
      <c r="Z8" s="30">
        <f t="shared" si="10"/>
        <v>7.8688582048676441</v>
      </c>
      <c r="AA8" s="30">
        <f t="shared" si="11"/>
        <v>13.794729116007151</v>
      </c>
      <c r="AB8" s="30">
        <f t="shared" si="12"/>
        <v>12.465736728831684</v>
      </c>
      <c r="AC8" s="31">
        <f t="shared" si="13"/>
        <v>100</v>
      </c>
      <c r="AE8" s="23" t="s">
        <v>67</v>
      </c>
      <c r="AF8" s="8">
        <v>1686527.2258749786</v>
      </c>
      <c r="AG8" s="8">
        <f t="shared" si="14"/>
        <v>71757.138770703008</v>
      </c>
      <c r="AH8" s="8">
        <f t="shared" si="15"/>
        <v>94449.598847902293</v>
      </c>
      <c r="AI8" s="8">
        <f t="shared" si="16"/>
        <v>79944.410197046207</v>
      </c>
      <c r="AJ8" s="8">
        <f t="shared" si="17"/>
        <v>51300.916633985216</v>
      </c>
      <c r="AK8" s="8">
        <f t="shared" si="18"/>
        <v>145767.27275226993</v>
      </c>
      <c r="AL8" s="8">
        <f t="shared" si="19"/>
        <v>143940.00964691199</v>
      </c>
      <c r="AM8" s="8">
        <f t="shared" si="20"/>
        <v>134315.34808306626</v>
      </c>
      <c r="AN8" s="8">
        <f t="shared" si="21"/>
        <v>181035.83588164428</v>
      </c>
      <c r="AO8" s="8">
        <f t="shared" si="22"/>
        <v>208416.35295605275</v>
      </c>
      <c r="AP8" s="8">
        <f t="shared" si="23"/>
        <v>132710.4359905899</v>
      </c>
      <c r="AQ8" s="8">
        <f t="shared" si="24"/>
        <v>232651.86227716334</v>
      </c>
      <c r="AR8" s="8">
        <f t="shared" si="25"/>
        <v>210238.04383764332</v>
      </c>
      <c r="AS8" s="24">
        <f t="shared" si="26"/>
        <v>1686527.2258749784</v>
      </c>
    </row>
    <row r="9" spans="1:45" ht="16.5" thickBot="1">
      <c r="A9" s="74" t="s">
        <v>87</v>
      </c>
      <c r="B9" s="85">
        <f>SUM(B7:B8)</f>
        <v>227657.74</v>
      </c>
      <c r="C9" s="85">
        <f t="shared" ref="C9:N9" si="27">SUM(C7:C8)</f>
        <v>425899.62</v>
      </c>
      <c r="D9" s="85">
        <f t="shared" si="27"/>
        <v>375376.23</v>
      </c>
      <c r="E9" s="85">
        <f t="shared" si="27"/>
        <v>389259.02999999997</v>
      </c>
      <c r="F9" s="85">
        <f t="shared" si="27"/>
        <v>490312.1</v>
      </c>
      <c r="G9" s="85">
        <f t="shared" si="27"/>
        <v>481216.93999999994</v>
      </c>
      <c r="H9" s="85">
        <f t="shared" si="27"/>
        <v>492585.94</v>
      </c>
      <c r="I9" s="85">
        <f t="shared" si="27"/>
        <v>541346.1</v>
      </c>
      <c r="J9" s="85">
        <f t="shared" si="27"/>
        <v>566866.46</v>
      </c>
      <c r="K9" s="85">
        <f t="shared" si="27"/>
        <v>421479.79000000004</v>
      </c>
      <c r="L9" s="85">
        <f t="shared" si="27"/>
        <v>682752.85</v>
      </c>
      <c r="M9" s="86">
        <f t="shared" si="27"/>
        <v>809553.68</v>
      </c>
      <c r="N9" s="87">
        <f t="shared" si="27"/>
        <v>5904306.4800000004</v>
      </c>
      <c r="P9" s="17" t="s">
        <v>68</v>
      </c>
      <c r="Q9" s="30">
        <f t="shared" si="1"/>
        <v>3.8557913748406905</v>
      </c>
      <c r="R9" s="30">
        <f t="shared" si="2"/>
        <v>7.2133725009478162</v>
      </c>
      <c r="S9" s="30">
        <f t="shared" si="3"/>
        <v>6.3576684454225676</v>
      </c>
      <c r="T9" s="30">
        <f t="shared" si="4"/>
        <v>6.592798516109549</v>
      </c>
      <c r="U9" s="30">
        <f t="shared" si="5"/>
        <v>8.3043131595702668</v>
      </c>
      <c r="V9" s="30">
        <f t="shared" si="6"/>
        <v>8.1502703430124104</v>
      </c>
      <c r="W9" s="30">
        <f t="shared" si="7"/>
        <v>8.3428247105492392</v>
      </c>
      <c r="X9" s="30">
        <f t="shared" si="8"/>
        <v>9.1686653095284445</v>
      </c>
      <c r="Y9" s="30">
        <f t="shared" si="9"/>
        <v>9.6008982921225314</v>
      </c>
      <c r="Z9" s="30">
        <f t="shared" si="10"/>
        <v>7.138514767614164</v>
      </c>
      <c r="AA9" s="30">
        <f t="shared" si="11"/>
        <v>11.563641764070484</v>
      </c>
      <c r="AB9" s="30">
        <f t="shared" si="12"/>
        <v>13.711240816211831</v>
      </c>
      <c r="AC9" s="31">
        <f t="shared" si="13"/>
        <v>99.999999999999986</v>
      </c>
      <c r="AE9" s="25" t="s">
        <v>69</v>
      </c>
      <c r="AF9" s="26">
        <v>13951505.435580358</v>
      </c>
      <c r="AG9" s="36">
        <f t="shared" si="14"/>
        <v>537940.94324553746</v>
      </c>
      <c r="AH9" s="36">
        <f t="shared" si="15"/>
        <v>1006374.0565583934</v>
      </c>
      <c r="AI9" s="36">
        <f t="shared" si="16"/>
        <v>886990.45873930678</v>
      </c>
      <c r="AJ9" s="36">
        <f t="shared" si="17"/>
        <v>919794.64333188487</v>
      </c>
      <c r="AK9" s="36">
        <f t="shared" si="18"/>
        <v>1158576.7018450608</v>
      </c>
      <c r="AL9" s="36">
        <f t="shared" si="19"/>
        <v>1137085.4099198703</v>
      </c>
      <c r="AM9" s="36">
        <f t="shared" si="20"/>
        <v>1163949.6429732183</v>
      </c>
      <c r="AN9" s="36">
        <f t="shared" si="21"/>
        <v>1279166.8390290316</v>
      </c>
      <c r="AO9" s="36">
        <f t="shared" si="22"/>
        <v>1339469.8470900168</v>
      </c>
      <c r="AP9" s="36">
        <f t="shared" si="23"/>
        <v>995930.27582339663</v>
      </c>
      <c r="AQ9" s="36">
        <f t="shared" si="24"/>
        <v>1613302.109265334</v>
      </c>
      <c r="AR9" s="36">
        <f t="shared" si="25"/>
        <v>1912924.5077593061</v>
      </c>
      <c r="AS9" s="37">
        <f t="shared" si="26"/>
        <v>13951505.435580358</v>
      </c>
    </row>
    <row r="12" spans="1:45" ht="15.75">
      <c r="A12" s="34"/>
      <c r="B12" s="20"/>
      <c r="C12" s="20"/>
      <c r="D12" s="20"/>
      <c r="E12" s="20"/>
      <c r="F12" s="20"/>
      <c r="AE12" s="33" t="s">
        <v>70</v>
      </c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20"/>
    </row>
    <row r="13" spans="1:45" ht="15.75">
      <c r="A13" s="20"/>
      <c r="B13" s="20"/>
      <c r="C13" s="20"/>
      <c r="D13" s="20"/>
      <c r="E13" s="20"/>
      <c r="F13" s="20"/>
      <c r="AE13" s="5" t="s">
        <v>75</v>
      </c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20"/>
    </row>
    <row r="16" spans="1:45">
      <c r="AE16" s="20" t="s">
        <v>71</v>
      </c>
    </row>
  </sheetData>
  <mergeCells count="2">
    <mergeCell ref="B3:J3"/>
    <mergeCell ref="AE3:AL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3:N13"/>
  <sheetViews>
    <sheetView workbookViewId="0">
      <selection activeCell="A12" sqref="A12"/>
    </sheetView>
  </sheetViews>
  <sheetFormatPr defaultRowHeight="15"/>
  <cols>
    <col min="1" max="1" width="26" style="1" customWidth="1"/>
    <col min="2" max="2" width="12.140625" style="1" bestFit="1" customWidth="1"/>
    <col min="3" max="3" width="11.42578125" style="1" customWidth="1"/>
    <col min="4" max="4" width="12.140625" style="1" customWidth="1"/>
    <col min="5" max="7" width="12.140625" style="1" bestFit="1" customWidth="1"/>
    <col min="8" max="8" width="12.140625" style="1" customWidth="1"/>
    <col min="9" max="9" width="12.140625" style="1" bestFit="1" customWidth="1"/>
    <col min="10" max="10" width="12.85546875" style="1" customWidth="1"/>
    <col min="11" max="11" width="12.140625" style="1" bestFit="1" customWidth="1"/>
    <col min="12" max="12" width="11.7109375" style="1" customWidth="1"/>
    <col min="13" max="13" width="12" style="1" customWidth="1"/>
    <col min="14" max="14" width="14" style="1" bestFit="1" customWidth="1"/>
    <col min="15" max="16384" width="9.140625" style="1"/>
  </cols>
  <sheetData>
    <row r="3" spans="1:14" ht="21" customHeight="1">
      <c r="A3" s="4"/>
      <c r="B3" s="130" t="s">
        <v>81</v>
      </c>
      <c r="C3" s="130"/>
      <c r="D3" s="130"/>
      <c r="E3" s="130"/>
      <c r="F3" s="130"/>
      <c r="G3" s="130"/>
      <c r="H3" s="130"/>
      <c r="I3" s="131"/>
      <c r="J3" s="131"/>
      <c r="K3" s="132"/>
    </row>
    <row r="4" spans="1:14" ht="15.75" thickBot="1">
      <c r="M4" s="3"/>
      <c r="N4" s="3"/>
    </row>
    <row r="5" spans="1:14" ht="45">
      <c r="A5" s="90" t="s">
        <v>1</v>
      </c>
      <c r="B5" s="91" t="s">
        <v>2</v>
      </c>
      <c r="C5" s="91" t="s">
        <v>3</v>
      </c>
      <c r="D5" s="91" t="s">
        <v>4</v>
      </c>
      <c r="E5" s="91" t="s">
        <v>5</v>
      </c>
      <c r="F5" s="91" t="s">
        <v>6</v>
      </c>
      <c r="G5" s="91" t="s">
        <v>7</v>
      </c>
      <c r="H5" s="91" t="s">
        <v>8</v>
      </c>
      <c r="I5" s="91" t="s">
        <v>9</v>
      </c>
      <c r="J5" s="91" t="s">
        <v>10</v>
      </c>
      <c r="K5" s="91" t="s">
        <v>11</v>
      </c>
      <c r="L5" s="91" t="s">
        <v>12</v>
      </c>
      <c r="M5" s="92" t="s">
        <v>13</v>
      </c>
      <c r="N5" s="60" t="s">
        <v>76</v>
      </c>
    </row>
    <row r="6" spans="1:14" ht="15.75" thickBot="1">
      <c r="A6" s="93">
        <v>1</v>
      </c>
      <c r="B6" s="94">
        <v>2</v>
      </c>
      <c r="C6" s="94">
        <v>3</v>
      </c>
      <c r="D6" s="94">
        <v>4</v>
      </c>
      <c r="E6" s="94">
        <v>5</v>
      </c>
      <c r="F6" s="94">
        <v>6</v>
      </c>
      <c r="G6" s="94">
        <v>7</v>
      </c>
      <c r="H6" s="94">
        <v>8</v>
      </c>
      <c r="I6" s="94">
        <v>9</v>
      </c>
      <c r="J6" s="94">
        <v>10</v>
      </c>
      <c r="K6" s="94">
        <v>11</v>
      </c>
      <c r="L6" s="94">
        <v>19</v>
      </c>
      <c r="M6" s="95">
        <v>13</v>
      </c>
      <c r="N6" s="96" t="s">
        <v>39</v>
      </c>
    </row>
    <row r="7" spans="1:14" ht="15.75" thickTop="1">
      <c r="A7" s="71" t="s">
        <v>66</v>
      </c>
      <c r="B7" s="39">
        <v>140452.72</v>
      </c>
      <c r="C7" s="39">
        <v>276512.53000000003</v>
      </c>
      <c r="D7" s="39">
        <v>415134.82</v>
      </c>
      <c r="E7" s="39">
        <v>337005.02</v>
      </c>
      <c r="F7" s="39">
        <v>300312.58</v>
      </c>
      <c r="G7" s="39">
        <v>315536.21000000002</v>
      </c>
      <c r="H7" s="39">
        <v>370981.47</v>
      </c>
      <c r="I7" s="39">
        <v>280773.18</v>
      </c>
      <c r="J7" s="39">
        <v>301614.53000000003</v>
      </c>
      <c r="K7" s="39">
        <v>294906.78999999998</v>
      </c>
      <c r="L7" s="39">
        <v>243461.03</v>
      </c>
      <c r="M7" s="97">
        <v>540963.98</v>
      </c>
      <c r="N7" s="78">
        <f t="shared" ref="N7:N8" si="0">M7+L7+K7+J7+I7+H7+G7+F7+E7+D7+C7+B7</f>
        <v>3817654.86</v>
      </c>
    </row>
    <row r="8" spans="1:14" ht="15.75" thickBot="1">
      <c r="A8" s="56" t="s">
        <v>67</v>
      </c>
      <c r="B8" s="38">
        <v>422860.32</v>
      </c>
      <c r="C8" s="38">
        <v>240493.36</v>
      </c>
      <c r="D8" s="38">
        <v>201464.89</v>
      </c>
      <c r="E8" s="38">
        <v>100987.55</v>
      </c>
      <c r="F8" s="38">
        <v>249746.49</v>
      </c>
      <c r="G8" s="38">
        <v>316696.77</v>
      </c>
      <c r="H8" s="38">
        <v>200356.92</v>
      </c>
      <c r="I8" s="38">
        <v>417116.22</v>
      </c>
      <c r="J8" s="38">
        <v>196008.95999999999</v>
      </c>
      <c r="K8" s="38">
        <v>501665.15</v>
      </c>
      <c r="L8" s="38">
        <v>226546.15</v>
      </c>
      <c r="M8" s="64">
        <v>267645.46999999997</v>
      </c>
      <c r="N8" s="81">
        <f t="shared" si="0"/>
        <v>3341588.2499999995</v>
      </c>
    </row>
    <row r="9" spans="1:14" ht="16.5" thickBot="1">
      <c r="A9" s="74" t="s">
        <v>87</v>
      </c>
      <c r="B9" s="88">
        <f>SUM(B7:B8)</f>
        <v>563313.04</v>
      </c>
      <c r="C9" s="85">
        <f t="shared" ref="C9:N9" si="1">SUM(C7:C8)</f>
        <v>517005.89</v>
      </c>
      <c r="D9" s="85">
        <f t="shared" si="1"/>
        <v>616599.71</v>
      </c>
      <c r="E9" s="85">
        <f t="shared" si="1"/>
        <v>437992.57</v>
      </c>
      <c r="F9" s="85">
        <f t="shared" si="1"/>
        <v>550059.07000000007</v>
      </c>
      <c r="G9" s="85">
        <f t="shared" si="1"/>
        <v>632232.98</v>
      </c>
      <c r="H9" s="85">
        <f t="shared" si="1"/>
        <v>571338.39</v>
      </c>
      <c r="I9" s="85">
        <f t="shared" si="1"/>
        <v>697889.39999999991</v>
      </c>
      <c r="J9" s="85">
        <f t="shared" si="1"/>
        <v>497623.49</v>
      </c>
      <c r="K9" s="85">
        <f t="shared" si="1"/>
        <v>796571.94</v>
      </c>
      <c r="L9" s="85">
        <f t="shared" si="1"/>
        <v>470007.18</v>
      </c>
      <c r="M9" s="86">
        <f t="shared" si="1"/>
        <v>808609.45</v>
      </c>
      <c r="N9" s="87">
        <f t="shared" si="1"/>
        <v>7159243.1099999994</v>
      </c>
    </row>
    <row r="12" spans="1:14">
      <c r="A12" s="34"/>
      <c r="B12" s="20"/>
      <c r="C12" s="20"/>
      <c r="D12" s="20"/>
      <c r="E12" s="20"/>
      <c r="F12" s="20"/>
    </row>
    <row r="13" spans="1:14">
      <c r="A13" s="20"/>
      <c r="B13" s="20"/>
      <c r="C13" s="20"/>
      <c r="D13" s="20"/>
      <c r="E13" s="20"/>
      <c r="F13" s="20"/>
    </row>
  </sheetData>
  <mergeCells count="1">
    <mergeCell ref="B3:K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3:N13"/>
  <sheetViews>
    <sheetView workbookViewId="0">
      <selection activeCell="A12" sqref="A12"/>
    </sheetView>
  </sheetViews>
  <sheetFormatPr defaultRowHeight="15"/>
  <cols>
    <col min="1" max="1" width="26.42578125" style="1" customWidth="1"/>
    <col min="2" max="2" width="14" style="1" bestFit="1" customWidth="1"/>
    <col min="3" max="3" width="11.42578125" style="1" customWidth="1"/>
    <col min="4" max="13" width="14" style="1" bestFit="1" customWidth="1"/>
    <col min="14" max="14" width="15.140625" style="1" bestFit="1" customWidth="1"/>
    <col min="15" max="16384" width="9.140625" style="1"/>
  </cols>
  <sheetData>
    <row r="3" spans="1:14" ht="21" customHeight="1">
      <c r="A3" s="4"/>
      <c r="B3" s="126" t="s">
        <v>82</v>
      </c>
      <c r="C3" s="126"/>
      <c r="D3" s="126"/>
      <c r="E3" s="126"/>
      <c r="F3" s="126"/>
      <c r="G3" s="126"/>
      <c r="H3" s="126"/>
      <c r="I3" s="127"/>
      <c r="J3" s="127"/>
    </row>
    <row r="4" spans="1:14" ht="15.75" thickBot="1">
      <c r="M4" s="3"/>
      <c r="N4" s="3"/>
    </row>
    <row r="5" spans="1:14" ht="31.5">
      <c r="A5" s="90" t="s">
        <v>1</v>
      </c>
      <c r="B5" s="91" t="s">
        <v>2</v>
      </c>
      <c r="C5" s="91" t="s">
        <v>3</v>
      </c>
      <c r="D5" s="91" t="s">
        <v>4</v>
      </c>
      <c r="E5" s="91" t="s">
        <v>5</v>
      </c>
      <c r="F5" s="91" t="s">
        <v>6</v>
      </c>
      <c r="G5" s="91" t="s">
        <v>7</v>
      </c>
      <c r="H5" s="91" t="s">
        <v>8</v>
      </c>
      <c r="I5" s="91" t="s">
        <v>9</v>
      </c>
      <c r="J5" s="91" t="s">
        <v>10</v>
      </c>
      <c r="K5" s="91" t="s">
        <v>11</v>
      </c>
      <c r="L5" s="91" t="s">
        <v>12</v>
      </c>
      <c r="M5" s="92" t="s">
        <v>13</v>
      </c>
      <c r="N5" s="60" t="s">
        <v>76</v>
      </c>
    </row>
    <row r="6" spans="1:14" ht="15.75" thickBot="1">
      <c r="A6" s="93">
        <v>1</v>
      </c>
      <c r="B6" s="94">
        <v>2</v>
      </c>
      <c r="C6" s="94">
        <v>3</v>
      </c>
      <c r="D6" s="94">
        <v>4</v>
      </c>
      <c r="E6" s="94">
        <v>5</v>
      </c>
      <c r="F6" s="94">
        <v>6</v>
      </c>
      <c r="G6" s="94">
        <v>7</v>
      </c>
      <c r="H6" s="94">
        <v>8</v>
      </c>
      <c r="I6" s="94">
        <v>9</v>
      </c>
      <c r="J6" s="94">
        <v>10</v>
      </c>
      <c r="K6" s="94">
        <v>11</v>
      </c>
      <c r="L6" s="94">
        <v>12</v>
      </c>
      <c r="M6" s="95">
        <v>13</v>
      </c>
      <c r="N6" s="96" t="s">
        <v>39</v>
      </c>
    </row>
    <row r="7" spans="1:14" ht="15.75" thickTop="1">
      <c r="A7" s="7" t="s">
        <v>66</v>
      </c>
      <c r="B7" s="39">
        <v>168619.25</v>
      </c>
      <c r="C7" s="39">
        <v>331894.92</v>
      </c>
      <c r="D7" s="39">
        <v>503311.53</v>
      </c>
      <c r="E7" s="39">
        <v>527395.61</v>
      </c>
      <c r="F7" s="39">
        <v>657597.76</v>
      </c>
      <c r="G7" s="39">
        <v>801677.73</v>
      </c>
      <c r="H7" s="39">
        <v>770166.84</v>
      </c>
      <c r="I7" s="39">
        <v>797502.88</v>
      </c>
      <c r="J7" s="39">
        <v>626970.74</v>
      </c>
      <c r="K7" s="39">
        <v>579668.34</v>
      </c>
      <c r="L7" s="44">
        <v>565614.56999999995</v>
      </c>
      <c r="M7" s="39">
        <v>905565.9</v>
      </c>
      <c r="N7" s="78">
        <f t="shared" ref="N7:N8" si="0">B7+C7+D7+E7+F7+G7+H7+I7+J7+K7+L7+M7</f>
        <v>7235986.0700000012</v>
      </c>
    </row>
    <row r="8" spans="1:14" ht="15.75" thickBot="1">
      <c r="A8" s="6" t="s">
        <v>67</v>
      </c>
      <c r="B8" s="38">
        <v>2366185.89</v>
      </c>
      <c r="C8" s="38">
        <v>628230.19999999995</v>
      </c>
      <c r="D8" s="38">
        <v>687257.82</v>
      </c>
      <c r="E8" s="38">
        <v>1987716.54</v>
      </c>
      <c r="F8" s="38">
        <v>865613.99</v>
      </c>
      <c r="G8" s="38">
        <v>770033.1</v>
      </c>
      <c r="H8" s="38">
        <v>2630465.48</v>
      </c>
      <c r="I8" s="38">
        <v>1559221.42</v>
      </c>
      <c r="J8" s="38">
        <v>2754253.35</v>
      </c>
      <c r="K8" s="38">
        <v>1721427.83</v>
      </c>
      <c r="L8" s="43">
        <v>981300.16</v>
      </c>
      <c r="M8" s="38">
        <v>851156.8</v>
      </c>
      <c r="N8" s="78">
        <f t="shared" si="0"/>
        <v>17802862.579999998</v>
      </c>
    </row>
    <row r="9" spans="1:14" ht="16.5" thickBot="1">
      <c r="A9" s="74" t="s">
        <v>87</v>
      </c>
      <c r="B9" s="88">
        <f>SUM(B7:B8)</f>
        <v>2534805.14</v>
      </c>
      <c r="C9" s="85">
        <f t="shared" ref="C9:N9" si="1">SUM(C7:C8)</f>
        <v>960125.11999999988</v>
      </c>
      <c r="D9" s="85">
        <f t="shared" si="1"/>
        <v>1190569.3500000001</v>
      </c>
      <c r="E9" s="85">
        <f t="shared" si="1"/>
        <v>2515112.15</v>
      </c>
      <c r="F9" s="85">
        <f t="shared" si="1"/>
        <v>1523211.75</v>
      </c>
      <c r="G9" s="85">
        <f t="shared" si="1"/>
        <v>1571710.83</v>
      </c>
      <c r="H9" s="85">
        <f t="shared" si="1"/>
        <v>3400632.3199999998</v>
      </c>
      <c r="I9" s="85">
        <f t="shared" si="1"/>
        <v>2356724.2999999998</v>
      </c>
      <c r="J9" s="85">
        <f t="shared" si="1"/>
        <v>3381224.09</v>
      </c>
      <c r="K9" s="85">
        <f t="shared" si="1"/>
        <v>2301096.17</v>
      </c>
      <c r="L9" s="85">
        <f t="shared" si="1"/>
        <v>1546914.73</v>
      </c>
      <c r="M9" s="85">
        <f t="shared" si="1"/>
        <v>1756722.7000000002</v>
      </c>
      <c r="N9" s="89">
        <f t="shared" si="1"/>
        <v>25038848.649999999</v>
      </c>
    </row>
    <row r="12" spans="1:14">
      <c r="A12" s="34"/>
      <c r="B12" s="20"/>
      <c r="C12" s="20"/>
      <c r="D12" s="20"/>
      <c r="E12" s="20"/>
      <c r="F12" s="20"/>
    </row>
    <row r="13" spans="1:14">
      <c r="A13" s="20"/>
      <c r="B13" s="20"/>
      <c r="C13" s="20"/>
      <c r="D13" s="20"/>
      <c r="E13" s="20"/>
      <c r="F13" s="20"/>
    </row>
  </sheetData>
  <mergeCells count="1">
    <mergeCell ref="B3:J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3:N13"/>
  <sheetViews>
    <sheetView workbookViewId="0">
      <selection activeCell="A12" sqref="A12"/>
    </sheetView>
  </sheetViews>
  <sheetFormatPr defaultRowHeight="15"/>
  <cols>
    <col min="1" max="1" width="26.28515625" style="1" customWidth="1"/>
    <col min="2" max="2" width="11.42578125" style="1" customWidth="1"/>
    <col min="3" max="3" width="12.140625" style="1" bestFit="1" customWidth="1"/>
    <col min="4" max="4" width="11.42578125" style="1" customWidth="1"/>
    <col min="5" max="9" width="12.140625" style="1" bestFit="1" customWidth="1"/>
    <col min="10" max="10" width="12.5703125" style="1" customWidth="1"/>
    <col min="11" max="11" width="12.140625" style="1" bestFit="1" customWidth="1"/>
    <col min="12" max="12" width="12.42578125" style="1" customWidth="1"/>
    <col min="13" max="13" width="12.140625" style="1" bestFit="1" customWidth="1"/>
    <col min="14" max="14" width="14" style="1" bestFit="1" customWidth="1"/>
    <col min="15" max="16384" width="9.140625" style="1"/>
  </cols>
  <sheetData>
    <row r="3" spans="1:14" ht="21" customHeight="1">
      <c r="A3" s="4"/>
      <c r="B3" s="126" t="s">
        <v>104</v>
      </c>
      <c r="C3" s="126"/>
      <c r="D3" s="126"/>
      <c r="E3" s="126"/>
      <c r="F3" s="126"/>
      <c r="G3" s="126"/>
      <c r="H3" s="126"/>
      <c r="I3" s="127"/>
      <c r="J3" s="127"/>
    </row>
    <row r="4" spans="1:14" ht="15.75" thickBot="1">
      <c r="M4" s="3"/>
      <c r="N4" s="3"/>
    </row>
    <row r="5" spans="1:14" ht="31.5">
      <c r="A5" s="90" t="s">
        <v>1</v>
      </c>
      <c r="B5" s="91" t="s">
        <v>2</v>
      </c>
      <c r="C5" s="91" t="s">
        <v>3</v>
      </c>
      <c r="D5" s="91" t="s">
        <v>4</v>
      </c>
      <c r="E5" s="91" t="s">
        <v>5</v>
      </c>
      <c r="F5" s="91" t="s">
        <v>6</v>
      </c>
      <c r="G5" s="91" t="s">
        <v>7</v>
      </c>
      <c r="H5" s="91" t="s">
        <v>8</v>
      </c>
      <c r="I5" s="91" t="s">
        <v>9</v>
      </c>
      <c r="J5" s="91" t="s">
        <v>10</v>
      </c>
      <c r="K5" s="91" t="s">
        <v>11</v>
      </c>
      <c r="L5" s="91" t="s">
        <v>12</v>
      </c>
      <c r="M5" s="92" t="s">
        <v>13</v>
      </c>
      <c r="N5" s="60" t="s">
        <v>76</v>
      </c>
    </row>
    <row r="6" spans="1:14" ht="15.75" thickBot="1">
      <c r="A6" s="93">
        <v>1</v>
      </c>
      <c r="B6" s="94">
        <v>2</v>
      </c>
      <c r="C6" s="94">
        <v>3</v>
      </c>
      <c r="D6" s="94">
        <v>4</v>
      </c>
      <c r="E6" s="94">
        <v>5</v>
      </c>
      <c r="F6" s="94">
        <v>6</v>
      </c>
      <c r="G6" s="94">
        <v>7</v>
      </c>
      <c r="H6" s="94">
        <v>8</v>
      </c>
      <c r="I6" s="94">
        <v>9</v>
      </c>
      <c r="J6" s="94">
        <v>10</v>
      </c>
      <c r="K6" s="94">
        <v>11</v>
      </c>
      <c r="L6" s="94">
        <v>12</v>
      </c>
      <c r="M6" s="95">
        <v>13</v>
      </c>
      <c r="N6" s="96" t="s">
        <v>39</v>
      </c>
    </row>
    <row r="7" spans="1:14" ht="15.75" thickTop="1">
      <c r="A7" s="71" t="s">
        <v>66</v>
      </c>
      <c r="B7" s="39">
        <v>60725.7</v>
      </c>
      <c r="C7" s="39">
        <v>137283.54</v>
      </c>
      <c r="D7" s="39">
        <v>164064.14000000001</v>
      </c>
      <c r="E7" s="39">
        <v>146725.29</v>
      </c>
      <c r="F7" s="39">
        <v>116482.15</v>
      </c>
      <c r="G7" s="39">
        <v>132297.18</v>
      </c>
      <c r="H7" s="39">
        <v>154129.46</v>
      </c>
      <c r="I7" s="39">
        <v>162984.5</v>
      </c>
      <c r="J7" s="39">
        <v>142927.69</v>
      </c>
      <c r="K7" s="39">
        <v>153110.54999999999</v>
      </c>
      <c r="L7" s="39">
        <v>177372.48</v>
      </c>
      <c r="M7" s="72">
        <v>288432.42</v>
      </c>
      <c r="N7" s="76">
        <f t="shared" ref="N7:N8" si="0">M7+L7+K7+J7+I7+H7+G7+F7+E7+D7+C7+B7</f>
        <v>1836535.0999999999</v>
      </c>
    </row>
    <row r="8" spans="1:14" ht="15.75" thickBot="1">
      <c r="A8" s="56" t="s">
        <v>67</v>
      </c>
      <c r="B8" s="38">
        <v>28262.09</v>
      </c>
      <c r="C8" s="38">
        <v>28237.51</v>
      </c>
      <c r="D8" s="38">
        <v>63001.16</v>
      </c>
      <c r="E8" s="38">
        <v>29297.7</v>
      </c>
      <c r="F8" s="38">
        <v>19324.46</v>
      </c>
      <c r="G8" s="38">
        <v>21861.23</v>
      </c>
      <c r="H8" s="38">
        <v>48612.74</v>
      </c>
      <c r="I8" s="38">
        <v>80154.13</v>
      </c>
      <c r="J8" s="38">
        <v>52761.97</v>
      </c>
      <c r="K8" s="38">
        <v>55293.71</v>
      </c>
      <c r="L8" s="38">
        <v>30127.06</v>
      </c>
      <c r="M8" s="55">
        <v>25793.19</v>
      </c>
      <c r="N8" s="76">
        <f t="shared" si="0"/>
        <v>482726.95</v>
      </c>
    </row>
    <row r="9" spans="1:14" ht="16.5" thickBot="1">
      <c r="A9" s="74" t="s">
        <v>87</v>
      </c>
      <c r="B9" s="88">
        <f>SUM(B7:B8)</f>
        <v>88987.79</v>
      </c>
      <c r="C9" s="85">
        <f t="shared" ref="C9:N9" si="1">SUM(C7:C8)</f>
        <v>165521.05000000002</v>
      </c>
      <c r="D9" s="85">
        <f t="shared" si="1"/>
        <v>227065.30000000002</v>
      </c>
      <c r="E9" s="85">
        <f t="shared" si="1"/>
        <v>176022.99000000002</v>
      </c>
      <c r="F9" s="85">
        <f t="shared" si="1"/>
        <v>135806.60999999999</v>
      </c>
      <c r="G9" s="85">
        <f t="shared" si="1"/>
        <v>154158.41</v>
      </c>
      <c r="H9" s="85">
        <f t="shared" si="1"/>
        <v>202742.19999999998</v>
      </c>
      <c r="I9" s="85">
        <f t="shared" si="1"/>
        <v>243138.63</v>
      </c>
      <c r="J9" s="85">
        <f t="shared" si="1"/>
        <v>195689.66</v>
      </c>
      <c r="K9" s="85">
        <f t="shared" si="1"/>
        <v>208404.25999999998</v>
      </c>
      <c r="L9" s="85">
        <f t="shared" si="1"/>
        <v>207499.54</v>
      </c>
      <c r="M9" s="86">
        <f t="shared" si="1"/>
        <v>314225.61</v>
      </c>
      <c r="N9" s="87">
        <f t="shared" si="1"/>
        <v>2319262.0499999998</v>
      </c>
    </row>
    <row r="10" spans="1:14">
      <c r="J10" s="1" t="s">
        <v>84</v>
      </c>
    </row>
    <row r="12" spans="1:14">
      <c r="A12" s="34"/>
      <c r="B12" s="20"/>
      <c r="C12" s="20"/>
      <c r="D12" s="20"/>
      <c r="E12" s="20"/>
      <c r="F12" s="20"/>
    </row>
    <row r="13" spans="1:14">
      <c r="A13" s="20"/>
      <c r="B13" s="20"/>
      <c r="C13" s="20"/>
      <c r="D13" s="20"/>
      <c r="E13" s="20"/>
      <c r="F13" s="20"/>
    </row>
  </sheetData>
  <mergeCells count="1">
    <mergeCell ref="B3:J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23</vt:i4>
      </vt:variant>
    </vt:vector>
  </HeadingPairs>
  <TitlesOfParts>
    <vt:vector size="23" baseType="lpstr">
      <vt:lpstr>ANDRIJEVICA</vt:lpstr>
      <vt:lpstr>BAR</vt:lpstr>
      <vt:lpstr>BERANE</vt:lpstr>
      <vt:lpstr>BIJELO POLJE</vt:lpstr>
      <vt:lpstr>BUDVA</vt:lpstr>
      <vt:lpstr>CETINJE</vt:lpstr>
      <vt:lpstr>DANILOVGRAD</vt:lpstr>
      <vt:lpstr>HERCEG NOVI</vt:lpstr>
      <vt:lpstr>KOLAŠIN</vt:lpstr>
      <vt:lpstr>KOTOR</vt:lpstr>
      <vt:lpstr>MOJKOVAC</vt:lpstr>
      <vt:lpstr>NIKŠIĆ</vt:lpstr>
      <vt:lpstr>PETNJICA</vt:lpstr>
      <vt:lpstr>PLAV</vt:lpstr>
      <vt:lpstr>PLUŽINE</vt:lpstr>
      <vt:lpstr>PLJEVLJA</vt:lpstr>
      <vt:lpstr>PODGORICA</vt:lpstr>
      <vt:lpstr>ROŽAJE</vt:lpstr>
      <vt:lpstr>ŠAVNIK</vt:lpstr>
      <vt:lpstr>TIVAT</vt:lpstr>
      <vt:lpstr>ULCINJ</vt:lpstr>
      <vt:lpstr>ŽABLJAK</vt:lpstr>
      <vt:lpstr>CRNA GORA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natasa.durkovic</dc:creator>
  <cp:lastModifiedBy>suzana.dzekic</cp:lastModifiedBy>
  <cp:lastPrinted>2018-02-19T08:05:32Z</cp:lastPrinted>
  <dcterms:created xsi:type="dcterms:W3CDTF">2018-02-13T09:41:54Z</dcterms:created>
  <dcterms:modified xsi:type="dcterms:W3CDTF">2020-04-23T09:00:00Z</dcterms:modified>
</cp:coreProperties>
</file>