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ica.rahovic\Desktop\Izvještaji Ministarstvo finansija\Izvještaji o izvršenju budžeta za 2024\SEPTEMBAR 2024\Konačni\"/>
    </mc:Choice>
  </mc:AlternateContent>
  <xr:revisionPtr revIDLastSave="0" documentId="13_ncr:1_{03B7A73F-696C-4BD2-B7D5-CDCA9C734A3B}" xr6:coauthVersionLast="36" xr6:coauthVersionMax="36" xr10:uidLastSave="{00000000-0000-0000-0000-000000000000}"/>
  <workbookProtection workbookAlgorithmName="SHA-512" workbookHashValue="O9Ct7Hjjg8zjD9WeQzBe1qeDs23Lm0NrJslliS3dnT2ZZWNOW5G5oWwE3JrnFBoj/z6M3k1bOfnFHoeIesuv5A==" workbookSaltValue="etkNxdKz+ReUiXWYfICRcQ==" workbookSpinCount="100000" lockStructure="1"/>
  <bookViews>
    <workbookView xWindow="0" yWindow="0" windowWidth="24000" windowHeight="9525" tabRatio="587" firstSheet="1" activeTab="1" xr2:uid="{00000000-000D-0000-FFFF-FFFF00000000}"/>
  </bookViews>
  <sheets>
    <sheet name="Analitika - 2014" sheetId="3" state="hidden" r:id="rId1"/>
    <sheet name="Pregled" sheetId="1" r:id="rId2"/>
    <sheet name="Analitika 2024" sheetId="11" r:id="rId3"/>
    <sheet name="2024" sheetId="26" r:id="rId4"/>
    <sheet name="2023" sheetId="27" state="hidden" r:id="rId5"/>
    <sheet name="2022" sheetId="25" state="hidden" r:id="rId6"/>
    <sheet name="2021" sheetId="22" state="hidden" r:id="rId7"/>
    <sheet name="2020" sheetId="19" state="hidden" r:id="rId8"/>
    <sheet name="2019" sheetId="20" state="hidden" r:id="rId9"/>
    <sheet name="2018" sheetId="21" state="hidden" r:id="rId10"/>
    <sheet name="DataEx" sheetId="6" state="hidden" r:id="rId11"/>
    <sheet name="Master" sheetId="2" state="hidden" r:id="rId12"/>
  </sheets>
  <externalReferences>
    <externalReference r:id="rId13"/>
  </externalReferences>
  <definedNames>
    <definedName name="_2015plan" localSheetId="9">'2018'!$A$103:$A$162</definedName>
    <definedName name="_2015plan" localSheetId="8">'2019'!$A$100:$A$159</definedName>
    <definedName name="_2015plan" localSheetId="7">'2020'!$A$100:$A$157</definedName>
    <definedName name="_2015plan" localSheetId="6">'2021'!$A$81:$A$138</definedName>
    <definedName name="_2015plan" localSheetId="5">'2022'!$A$83:$A$140</definedName>
    <definedName name="_2015plan" localSheetId="4">'2023'!$A$83:$A$142</definedName>
    <definedName name="_2015plan" localSheetId="3">'2024'!$A$83:$A$142</definedName>
  </definedNames>
  <calcPr calcId="191029"/>
</workbook>
</file>

<file path=xl/calcChain.xml><?xml version="1.0" encoding="utf-8"?>
<calcChain xmlns="http://schemas.openxmlformats.org/spreadsheetml/2006/main">
  <c r="R12" i="11" l="1"/>
  <c r="R13" i="11"/>
  <c r="R14" i="11"/>
  <c r="R15" i="11"/>
  <c r="R16" i="11"/>
  <c r="R17" i="11"/>
  <c r="R18" i="11"/>
  <c r="R20" i="11"/>
  <c r="R21" i="11"/>
  <c r="R22" i="11"/>
  <c r="R23" i="11"/>
  <c r="R24" i="11"/>
  <c r="R25" i="11"/>
  <c r="R26" i="11"/>
  <c r="R27" i="11"/>
  <c r="R28" i="11"/>
  <c r="R31" i="11"/>
  <c r="R32" i="11"/>
  <c r="R33" i="11"/>
  <c r="R34" i="11"/>
  <c r="R35" i="11"/>
  <c r="R36" i="11"/>
  <c r="R37" i="11"/>
  <c r="R38" i="11"/>
  <c r="R39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6" i="11"/>
  <c r="R57" i="11"/>
  <c r="R58" i="11"/>
  <c r="R59" i="11"/>
  <c r="R62" i="11"/>
  <c r="R63" i="11"/>
  <c r="R64" i="11"/>
  <c r="R65" i="11"/>
  <c r="O12" i="11"/>
  <c r="O13" i="11"/>
  <c r="O14" i="11"/>
  <c r="O15" i="11"/>
  <c r="O16" i="11"/>
  <c r="O17" i="11"/>
  <c r="O18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6" i="11"/>
  <c r="O57" i="11"/>
  <c r="O58" i="11"/>
  <c r="O59" i="11"/>
  <c r="O62" i="11"/>
  <c r="O63" i="11"/>
  <c r="O64" i="11"/>
  <c r="O65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59" i="11"/>
  <c r="N62" i="11"/>
  <c r="N63" i="11"/>
  <c r="N64" i="11"/>
  <c r="N65" i="11"/>
  <c r="K12" i="11"/>
  <c r="K13" i="11"/>
  <c r="K14" i="11"/>
  <c r="K15" i="11"/>
  <c r="K16" i="11"/>
  <c r="K17" i="11"/>
  <c r="K18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6" i="11"/>
  <c r="K57" i="11"/>
  <c r="K58" i="11"/>
  <c r="K59" i="11"/>
  <c r="K62" i="11"/>
  <c r="K63" i="11"/>
  <c r="K64" i="11"/>
  <c r="K65" i="11"/>
  <c r="H12" i="11"/>
  <c r="H13" i="11"/>
  <c r="H14" i="11"/>
  <c r="H15" i="11"/>
  <c r="H16" i="11"/>
  <c r="H17" i="11"/>
  <c r="H18" i="11"/>
  <c r="H20" i="11"/>
  <c r="H21" i="11"/>
  <c r="H22" i="11"/>
  <c r="H23" i="11"/>
  <c r="H24" i="11"/>
  <c r="H25" i="11"/>
  <c r="H26" i="11"/>
  <c r="H27" i="11"/>
  <c r="H28" i="11"/>
  <c r="H31" i="11"/>
  <c r="H32" i="11"/>
  <c r="H33" i="11"/>
  <c r="H34" i="11"/>
  <c r="H35" i="11"/>
  <c r="H36" i="11"/>
  <c r="H37" i="11"/>
  <c r="H38" i="11"/>
  <c r="H39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6" i="11"/>
  <c r="H57" i="11"/>
  <c r="H58" i="11"/>
  <c r="H59" i="11"/>
  <c r="H62" i="11"/>
  <c r="H63" i="11"/>
  <c r="H64" i="11"/>
  <c r="H65" i="11"/>
  <c r="G19" i="26" l="1"/>
  <c r="H19" i="26"/>
  <c r="G55" i="26" l="1"/>
  <c r="I19" i="26" l="1"/>
  <c r="A142" i="27" l="1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R115" i="27"/>
  <c r="S115" i="27" s="1"/>
  <c r="T115" i="27" s="1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Q86" i="27" s="1"/>
  <c r="P87" i="27"/>
  <c r="O87" i="27"/>
  <c r="N87" i="27"/>
  <c r="M87" i="27"/>
  <c r="M86" i="27" s="1"/>
  <c r="L87" i="27"/>
  <c r="K87" i="27"/>
  <c r="J87" i="27"/>
  <c r="I87" i="27"/>
  <c r="I86" i="27" s="1"/>
  <c r="H87" i="27"/>
  <c r="H86" i="27" s="1"/>
  <c r="G87" i="27"/>
  <c r="A87" i="27"/>
  <c r="P86" i="27"/>
  <c r="L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R55" i="11" s="1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R40" i="11" s="1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R30" i="11" s="1"/>
  <c r="N30" i="27"/>
  <c r="M30" i="27"/>
  <c r="M29" i="27" s="1"/>
  <c r="L30" i="27"/>
  <c r="L29" i="27" s="1"/>
  <c r="K30" i="27"/>
  <c r="J30" i="27"/>
  <c r="I30" i="27"/>
  <c r="I29" i="27" s="1"/>
  <c r="H30" i="27"/>
  <c r="G30" i="27"/>
  <c r="K30" i="11" s="1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R19" i="11" s="1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P10" i="27" s="1"/>
  <c r="O11" i="27"/>
  <c r="N11" i="27"/>
  <c r="N10" i="27" s="1"/>
  <c r="M11" i="27"/>
  <c r="M10" i="27" s="1"/>
  <c r="L11" i="27"/>
  <c r="K11" i="27"/>
  <c r="K10" i="27" s="1"/>
  <c r="J11" i="27"/>
  <c r="J10" i="27" s="1"/>
  <c r="I11" i="27"/>
  <c r="I10" i="27" s="1"/>
  <c r="H11" i="27"/>
  <c r="G11" i="27"/>
  <c r="R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K40" i="11" l="1"/>
  <c r="K55" i="11"/>
  <c r="J105" i="27"/>
  <c r="K19" i="11"/>
  <c r="K11" i="11"/>
  <c r="O10" i="27"/>
  <c r="R10" i="11" s="1"/>
  <c r="R11" i="11"/>
  <c r="J86" i="27"/>
  <c r="J129" i="27" s="1"/>
  <c r="N86" i="27"/>
  <c r="R86" i="27"/>
  <c r="H10" i="27"/>
  <c r="H105" i="27"/>
  <c r="H129" i="27" s="1"/>
  <c r="H130" i="27" s="1"/>
  <c r="L105" i="27"/>
  <c r="P105" i="27"/>
  <c r="P129" i="27" s="1"/>
  <c r="H29" i="27"/>
  <c r="K29" i="27"/>
  <c r="K53" i="27" s="1"/>
  <c r="K60" i="27" s="1"/>
  <c r="K66" i="27" s="1"/>
  <c r="K61" i="27" s="1"/>
  <c r="P29" i="27"/>
  <c r="J29" i="27"/>
  <c r="N129" i="27"/>
  <c r="N136" i="27" s="1"/>
  <c r="N142" i="27" s="1"/>
  <c r="N137" i="27" s="1"/>
  <c r="G86" i="27"/>
  <c r="K86" i="27"/>
  <c r="O86" i="27"/>
  <c r="S123" i="27"/>
  <c r="T123" i="27" s="1"/>
  <c r="I105" i="27"/>
  <c r="M105" i="27"/>
  <c r="M129" i="27" s="1"/>
  <c r="Q105" i="27"/>
  <c r="Q129" i="27" s="1"/>
  <c r="L10" i="27"/>
  <c r="R106" i="27"/>
  <c r="R105" i="27" s="1"/>
  <c r="R129" i="27" s="1"/>
  <c r="G105" i="27"/>
  <c r="G129" i="27" s="1"/>
  <c r="K105" i="27"/>
  <c r="K129" i="27" s="1"/>
  <c r="K130" i="27" s="1"/>
  <c r="O105" i="27"/>
  <c r="L129" i="27"/>
  <c r="L130" i="27" s="1"/>
  <c r="G29" i="27"/>
  <c r="O29" i="27"/>
  <c r="G10" i="27"/>
  <c r="K10" i="11" s="1"/>
  <c r="S95" i="27"/>
  <c r="T95" i="27" s="1"/>
  <c r="S87" i="27"/>
  <c r="T87" i="27" s="1"/>
  <c r="S131" i="27"/>
  <c r="T131" i="27" s="1"/>
  <c r="S55" i="27"/>
  <c r="T55" i="27" s="1"/>
  <c r="I53" i="27"/>
  <c r="I60" i="27" s="1"/>
  <c r="I66" i="27" s="1"/>
  <c r="I61" i="27" s="1"/>
  <c r="P53" i="27"/>
  <c r="P54" i="27" s="1"/>
  <c r="L53" i="27"/>
  <c r="L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S40" i="27"/>
  <c r="T40" i="27" s="1"/>
  <c r="L136" i="27"/>
  <c r="L142" i="27" s="1"/>
  <c r="L137" i="27" s="1"/>
  <c r="S11" i="27"/>
  <c r="T11" i="27" s="1"/>
  <c r="I129" i="27"/>
  <c r="S116" i="27"/>
  <c r="T116" i="27" s="1"/>
  <c r="S109" i="27"/>
  <c r="T109" i="27" s="1"/>
  <c r="J130" i="27" l="1"/>
  <c r="J136" i="27"/>
  <c r="J142" i="27" s="1"/>
  <c r="J137" i="27" s="1"/>
  <c r="G53" i="27"/>
  <c r="K29" i="11"/>
  <c r="N130" i="27"/>
  <c r="O53" i="27"/>
  <c r="R29" i="11"/>
  <c r="P130" i="27"/>
  <c r="P136" i="27"/>
  <c r="P142" i="27" s="1"/>
  <c r="P137" i="27" s="1"/>
  <c r="S10" i="27"/>
  <c r="T10" i="27" s="1"/>
  <c r="S86" i="27"/>
  <c r="T86" i="27" s="1"/>
  <c r="H53" i="27"/>
  <c r="H60" i="27" s="1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N54" i="27"/>
  <c r="N60" i="27"/>
  <c r="N66" i="27" s="1"/>
  <c r="N61" i="27" s="1"/>
  <c r="R54" i="27"/>
  <c r="R60" i="27"/>
  <c r="R66" i="27" s="1"/>
  <c r="R61" i="27" s="1"/>
  <c r="O54" i="27"/>
  <c r="R54" i="11" s="1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60" i="27"/>
  <c r="S53" i="27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K53" i="11" l="1"/>
  <c r="O60" i="27"/>
  <c r="R53" i="11"/>
  <c r="H66" i="27"/>
  <c r="H54" i="27"/>
  <c r="K54" i="11" s="1"/>
  <c r="O130" i="27"/>
  <c r="S130" i="27" s="1"/>
  <c r="T130" i="27" s="1"/>
  <c r="O136" i="27"/>
  <c r="O142" i="27" s="1"/>
  <c r="O137" i="27" s="1"/>
  <c r="G66" i="27"/>
  <c r="G142" i="27"/>
  <c r="S136" i="27"/>
  <c r="T136" i="27" s="1"/>
  <c r="S60" i="27"/>
  <c r="T53" i="27"/>
  <c r="S59" i="11"/>
  <c r="P59" i="11"/>
  <c r="O66" i="27" l="1"/>
  <c r="R60" i="11"/>
  <c r="K66" i="11"/>
  <c r="K60" i="11"/>
  <c r="S54" i="27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K61" i="11" l="1"/>
  <c r="O61" i="27"/>
  <c r="R61" i="11" s="1"/>
  <c r="R66" i="11"/>
  <c r="T141" i="26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10" i="26" s="1"/>
  <c r="H8" i="26"/>
  <c r="H84" i="26" s="1"/>
  <c r="H5" i="26"/>
  <c r="G131" i="26"/>
  <c r="G116" i="26"/>
  <c r="G106" i="26"/>
  <c r="G95" i="26"/>
  <c r="G87" i="26"/>
  <c r="G82" i="26"/>
  <c r="G11" i="26"/>
  <c r="G10" i="26" s="1"/>
  <c r="G8" i="26"/>
  <c r="G84" i="26" s="1"/>
  <c r="G5" i="26"/>
  <c r="J10" i="26" l="1"/>
  <c r="L86" i="26"/>
  <c r="L29" i="26"/>
  <c r="J29" i="26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L137" i="26" s="1"/>
  <c r="I129" i="26"/>
  <c r="H129" i="26"/>
  <c r="L53" i="26"/>
  <c r="J129" i="26"/>
  <c r="J53" i="26"/>
  <c r="K53" i="26"/>
  <c r="G129" i="26"/>
  <c r="K129" i="26"/>
  <c r="K136" i="26" s="1"/>
  <c r="K142" i="26" s="1"/>
  <c r="I130" i="26"/>
  <c r="L130" i="26" l="1"/>
  <c r="G136" i="26"/>
  <c r="L54" i="26"/>
  <c r="K54" i="26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K60" i="26"/>
  <c r="G130" i="26"/>
  <c r="K130" i="26"/>
  <c r="T65" i="11"/>
  <c r="S65" i="11"/>
  <c r="G142" i="26" l="1"/>
  <c r="L66" i="26"/>
  <c r="K66" i="26"/>
  <c r="J66" i="26"/>
  <c r="H142" i="26"/>
  <c r="K137" i="26"/>
  <c r="S59" i="26"/>
  <c r="G59" i="11" s="1"/>
  <c r="S65" i="26"/>
  <c r="G65" i="11" s="1"/>
  <c r="S59" i="25"/>
  <c r="S65" i="25"/>
  <c r="L61" i="26" l="1"/>
  <c r="K61" i="26"/>
  <c r="J61" i="26"/>
  <c r="H137" i="26"/>
  <c r="G137" i="26"/>
  <c r="T59" i="26"/>
  <c r="T65" i="26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O55" i="11" s="1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O40" i="11" s="1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O30" i="11" s="1"/>
  <c r="N106" i="26"/>
  <c r="M106" i="26"/>
  <c r="H30" i="11" s="1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O19" i="11" s="1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O11" i="11" s="1"/>
  <c r="N87" i="26"/>
  <c r="M87" i="26"/>
  <c r="A87" i="26"/>
  <c r="A86" i="26"/>
  <c r="T84" i="26"/>
  <c r="R82" i="26"/>
  <c r="Q82" i="26"/>
  <c r="P82" i="26"/>
  <c r="O82" i="26"/>
  <c r="N82" i="26"/>
  <c r="M82" i="26"/>
  <c r="S64" i="26"/>
  <c r="G64" i="11" s="1"/>
  <c r="S63" i="26"/>
  <c r="G63" i="11" s="1"/>
  <c r="S62" i="26"/>
  <c r="G62" i="11" s="1"/>
  <c r="S58" i="26"/>
  <c r="G58" i="11" s="1"/>
  <c r="S57" i="26"/>
  <c r="G57" i="11" s="1"/>
  <c r="S56" i="26"/>
  <c r="G56" i="11" s="1"/>
  <c r="R55" i="26"/>
  <c r="Q55" i="26"/>
  <c r="P55" i="26"/>
  <c r="O55" i="26"/>
  <c r="N55" i="11" s="1"/>
  <c r="N55" i="26"/>
  <c r="M55" i="26"/>
  <c r="S52" i="26"/>
  <c r="G52" i="11" s="1"/>
  <c r="S51" i="26"/>
  <c r="G51" i="11" s="1"/>
  <c r="S48" i="26"/>
  <c r="G48" i="11" s="1"/>
  <c r="Q40" i="26"/>
  <c r="P40" i="26"/>
  <c r="O40" i="26"/>
  <c r="N40" i="11" s="1"/>
  <c r="N40" i="26"/>
  <c r="M40" i="26"/>
  <c r="R30" i="26"/>
  <c r="Q30" i="26"/>
  <c r="P30" i="26"/>
  <c r="O30" i="26"/>
  <c r="N30" i="11" s="1"/>
  <c r="N30" i="26"/>
  <c r="M30" i="26"/>
  <c r="S28" i="26"/>
  <c r="G28" i="11" s="1"/>
  <c r="S27" i="26"/>
  <c r="G27" i="11" s="1"/>
  <c r="S26" i="26"/>
  <c r="G26" i="11" s="1"/>
  <c r="S25" i="26"/>
  <c r="G25" i="11" s="1"/>
  <c r="S24" i="26"/>
  <c r="G24" i="11" s="1"/>
  <c r="S23" i="26"/>
  <c r="G23" i="11" s="1"/>
  <c r="S22" i="26"/>
  <c r="G22" i="11" s="1"/>
  <c r="S21" i="26"/>
  <c r="G21" i="11" s="1"/>
  <c r="S20" i="26"/>
  <c r="G20" i="11" s="1"/>
  <c r="R19" i="26"/>
  <c r="Q19" i="26"/>
  <c r="P19" i="26"/>
  <c r="O19" i="26"/>
  <c r="N19" i="11" s="1"/>
  <c r="N19" i="26"/>
  <c r="M19" i="26"/>
  <c r="S18" i="26"/>
  <c r="G18" i="11" s="1"/>
  <c r="S17" i="26"/>
  <c r="G17" i="11" s="1"/>
  <c r="S16" i="26"/>
  <c r="G16" i="11" s="1"/>
  <c r="S15" i="26"/>
  <c r="G15" i="11" s="1"/>
  <c r="S14" i="26"/>
  <c r="G14" i="11" s="1"/>
  <c r="S13" i="26"/>
  <c r="G13" i="11" s="1"/>
  <c r="S12" i="26"/>
  <c r="G12" i="11" s="1"/>
  <c r="R11" i="26"/>
  <c r="Q11" i="26"/>
  <c r="P11" i="26"/>
  <c r="O11" i="26"/>
  <c r="N11" i="11" s="1"/>
  <c r="N11" i="26"/>
  <c r="M11" i="26"/>
  <c r="R5" i="26"/>
  <c r="Q5" i="26"/>
  <c r="P5" i="26"/>
  <c r="O5" i="26"/>
  <c r="N5" i="26"/>
  <c r="M5" i="26"/>
  <c r="H11" i="11" l="1"/>
  <c r="H40" i="11"/>
  <c r="H19" i="11"/>
  <c r="H55" i="11"/>
  <c r="Q29" i="26"/>
  <c r="N29" i="26"/>
  <c r="M29" i="26"/>
  <c r="Q10" i="26"/>
  <c r="N105" i="26"/>
  <c r="T58" i="26"/>
  <c r="T52" i="26"/>
  <c r="T64" i="26"/>
  <c r="T63" i="26"/>
  <c r="T62" i="26"/>
  <c r="T57" i="26"/>
  <c r="T56" i="26"/>
  <c r="T51" i="26"/>
  <c r="T48" i="26"/>
  <c r="T28" i="26"/>
  <c r="T27" i="26"/>
  <c r="T26" i="26"/>
  <c r="T25" i="26"/>
  <c r="T24" i="26"/>
  <c r="T20" i="26"/>
  <c r="T21" i="26"/>
  <c r="T23" i="26"/>
  <c r="T22" i="26"/>
  <c r="T18" i="26"/>
  <c r="T15" i="26"/>
  <c r="T14" i="26"/>
  <c r="T12" i="26"/>
  <c r="L12" i="11"/>
  <c r="T16" i="26"/>
  <c r="T13" i="26"/>
  <c r="T17" i="26"/>
  <c r="O29" i="26"/>
  <c r="N29" i="11" s="1"/>
  <c r="R105" i="26"/>
  <c r="N10" i="26"/>
  <c r="R10" i="26"/>
  <c r="P29" i="26"/>
  <c r="P86" i="26"/>
  <c r="S19" i="26"/>
  <c r="G19" i="11" s="1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" i="11" s="1"/>
  <c r="O105" i="26"/>
  <c r="O29" i="11" s="1"/>
  <c r="Q105" i="26"/>
  <c r="M105" i="26"/>
  <c r="H29" i="11" s="1"/>
  <c r="S131" i="26"/>
  <c r="T131" i="26" s="1"/>
  <c r="P105" i="26"/>
  <c r="S116" i="26"/>
  <c r="T116" i="26" s="1"/>
  <c r="S106" i="26"/>
  <c r="M86" i="26"/>
  <c r="Q86" i="26"/>
  <c r="R29" i="26"/>
  <c r="S55" i="26"/>
  <c r="G55" i="11" s="1"/>
  <c r="O10" i="26"/>
  <c r="N10" i="11" s="1"/>
  <c r="P10" i="26"/>
  <c r="M10" i="26"/>
  <c r="S11" i="26"/>
  <c r="G11" i="11" s="1"/>
  <c r="S87" i="26"/>
  <c r="T87" i="26" s="1"/>
  <c r="H10" i="11" l="1"/>
  <c r="N53" i="26"/>
  <c r="D12" i="1"/>
  <c r="E12" i="1" s="1"/>
  <c r="Q53" i="26"/>
  <c r="Q60" i="26" s="1"/>
  <c r="O129" i="26"/>
  <c r="M53" i="26"/>
  <c r="N129" i="26"/>
  <c r="R53" i="26"/>
  <c r="R129" i="26"/>
  <c r="P53" i="26"/>
  <c r="T55" i="26"/>
  <c r="T19" i="26"/>
  <c r="T11" i="26"/>
  <c r="O53" i="26"/>
  <c r="N53" i="11" s="1"/>
  <c r="P129" i="26"/>
  <c r="P136" i="26" s="1"/>
  <c r="P142" i="26" s="1"/>
  <c r="T106" i="26"/>
  <c r="Q129" i="26"/>
  <c r="M129" i="26"/>
  <c r="S105" i="26"/>
  <c r="S86" i="26"/>
  <c r="T86" i="26" s="1"/>
  <c r="S10" i="26"/>
  <c r="G10" i="11" s="1"/>
  <c r="H53" i="11" l="1"/>
  <c r="O136" i="26"/>
  <c r="O53" i="11"/>
  <c r="M136" i="26"/>
  <c r="N136" i="26"/>
  <c r="N54" i="26"/>
  <c r="M60" i="26"/>
  <c r="R130" i="26"/>
  <c r="R136" i="26"/>
  <c r="R142" i="26" s="1"/>
  <c r="R137" i="26" s="1"/>
  <c r="Q136" i="26"/>
  <c r="Q142" i="26" s="1"/>
  <c r="Q137" i="26" s="1"/>
  <c r="P130" i="26"/>
  <c r="P60" i="26"/>
  <c r="O130" i="26"/>
  <c r="O54" i="11" s="1"/>
  <c r="O60" i="26"/>
  <c r="N60" i="11" s="1"/>
  <c r="N130" i="26"/>
  <c r="Q54" i="26"/>
  <c r="N60" i="26"/>
  <c r="M54" i="26"/>
  <c r="R54" i="26"/>
  <c r="R60" i="26"/>
  <c r="R66" i="26" s="1"/>
  <c r="R61" i="26" s="1"/>
  <c r="P54" i="26"/>
  <c r="O54" i="26"/>
  <c r="N54" i="11" s="1"/>
  <c r="Q66" i="26"/>
  <c r="Q61" i="26" s="1"/>
  <c r="T10" i="26"/>
  <c r="G12" i="1"/>
  <c r="H12" i="1" s="1"/>
  <c r="T105" i="26"/>
  <c r="Q130" i="26"/>
  <c r="M130" i="26"/>
  <c r="S129" i="26"/>
  <c r="T129" i="26" s="1"/>
  <c r="G11" i="2"/>
  <c r="H60" i="11" l="1"/>
  <c r="H54" i="11"/>
  <c r="O142" i="26"/>
  <c r="O66" i="11" s="1"/>
  <c r="O60" i="11"/>
  <c r="N142" i="26"/>
  <c r="M142" i="26"/>
  <c r="M66" i="26"/>
  <c r="P66" i="26"/>
  <c r="P61" i="26" s="1"/>
  <c r="O66" i="26"/>
  <c r="N66" i="26"/>
  <c r="I10" i="11"/>
  <c r="S130" i="26"/>
  <c r="T130" i="26" s="1"/>
  <c r="S136" i="26"/>
  <c r="T136" i="26" s="1"/>
  <c r="H66" i="11" l="1"/>
  <c r="O61" i="26"/>
  <c r="N61" i="11" s="1"/>
  <c r="N66" i="11"/>
  <c r="N61" i="26"/>
  <c r="M61" i="26"/>
  <c r="P137" i="26"/>
  <c r="O137" i="26"/>
  <c r="O61" i="11" s="1"/>
  <c r="N137" i="26"/>
  <c r="M137" i="26"/>
  <c r="Q65" i="11"/>
  <c r="J65" i="11"/>
  <c r="I65" i="11"/>
  <c r="P65" i="11"/>
  <c r="S142" i="26"/>
  <c r="T142" i="26" s="1"/>
  <c r="J19" i="25"/>
  <c r="J11" i="25"/>
  <c r="H61" i="11" l="1"/>
  <c r="J10" i="25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M61" i="25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62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L30" i="20" l="1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P29" i="20" s="1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I29" i="20" l="1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M217" i="6" l="1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B83" i="27" s="1"/>
  <c r="G252" i="2"/>
  <c r="G249" i="2"/>
  <c r="S7" i="27" s="1"/>
  <c r="S83" i="27" s="1"/>
  <c r="G243" i="2"/>
  <c r="G242" i="2"/>
  <c r="G241" i="2"/>
  <c r="P8" i="27" s="1"/>
  <c r="P84" i="27" s="1"/>
  <c r="G240" i="2"/>
  <c r="G239" i="2"/>
  <c r="G238" i="2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G7" i="2"/>
  <c r="G6" i="2"/>
  <c r="E2" i="27" s="1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CX49" i="6" s="1"/>
  <c r="DI49" i="6"/>
  <c r="DH49" i="6"/>
  <c r="DG49" i="6"/>
  <c r="DF49" i="6"/>
  <c r="DE49" i="6"/>
  <c r="DD49" i="6"/>
  <c r="DC49" i="6"/>
  <c r="CZ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CS350" i="6" l="1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T9" i="27" s="1"/>
  <c r="T85" i="27" s="1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7" l="1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18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l="1"/>
  <c r="T105" i="25" s="1"/>
  <c r="R129" i="25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G31" i="11" s="1"/>
  <c r="S43" i="26"/>
  <c r="G43" i="11" s="1"/>
  <c r="T43" i="26" l="1"/>
  <c r="T31" i="26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66" i="26" s="1"/>
  <c r="G61" i="26" s="1"/>
  <c r="G54" i="26"/>
  <c r="Q37" i="11" l="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T46" i="11" l="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T40" i="11"/>
  <c r="S40" i="11"/>
  <c r="P40" i="11"/>
  <c r="Q41" i="11"/>
  <c r="T41" i="11"/>
  <c r="P41" i="11"/>
  <c r="S41" i="11"/>
  <c r="S42" i="26" l="1"/>
  <c r="G42" i="11" s="1"/>
  <c r="S36" i="26"/>
  <c r="G36" i="11" s="1"/>
  <c r="S35" i="26"/>
  <c r="G35" i="11" s="1"/>
  <c r="S49" i="26"/>
  <c r="G49" i="11" s="1"/>
  <c r="S34" i="26"/>
  <c r="G34" i="11" s="1"/>
  <c r="S33" i="26"/>
  <c r="G33" i="11" s="1"/>
  <c r="S41" i="26"/>
  <c r="G41" i="11" s="1"/>
  <c r="S47" i="26"/>
  <c r="G47" i="11" s="1"/>
  <c r="S44" i="26"/>
  <c r="G44" i="11" s="1"/>
  <c r="S39" i="26"/>
  <c r="G39" i="11" s="1"/>
  <c r="I53" i="26"/>
  <c r="S45" i="26"/>
  <c r="G45" i="11" s="1"/>
  <c r="S50" i="26"/>
  <c r="G50" i="11" s="1"/>
  <c r="S38" i="26"/>
  <c r="G38" i="11" s="1"/>
  <c r="S37" i="26"/>
  <c r="G37" i="11" s="1"/>
  <c r="Q30" i="11"/>
  <c r="T30" i="11"/>
  <c r="S30" i="11"/>
  <c r="P30" i="11"/>
  <c r="T37" i="26" l="1"/>
  <c r="T50" i="26"/>
  <c r="D16" i="1"/>
  <c r="E16" i="1" s="1"/>
  <c r="T29" i="11"/>
  <c r="S29" i="11"/>
  <c r="P29" i="11"/>
  <c r="Q29" i="11"/>
  <c r="T44" i="26"/>
  <c r="T41" i="26"/>
  <c r="T34" i="26"/>
  <c r="H30" i="26"/>
  <c r="S32" i="26"/>
  <c r="G32" i="11" s="1"/>
  <c r="T36" i="26"/>
  <c r="S46" i="26"/>
  <c r="G46" i="11" s="1"/>
  <c r="I60" i="26"/>
  <c r="I54" i="26"/>
  <c r="H40" i="26"/>
  <c r="S40" i="26" s="1"/>
  <c r="G40" i="11" s="1"/>
  <c r="T38" i="26"/>
  <c r="T45" i="26"/>
  <c r="T39" i="26"/>
  <c r="T47" i="26"/>
  <c r="T33" i="26"/>
  <c r="T49" i="26"/>
  <c r="T35" i="26"/>
  <c r="T42" i="26"/>
  <c r="I49" i="11" l="1"/>
  <c r="J49" i="11"/>
  <c r="M49" i="11"/>
  <c r="L49" i="11"/>
  <c r="T54" i="11"/>
  <c r="S54" i="11"/>
  <c r="P54" i="11"/>
  <c r="Q54" i="11"/>
  <c r="H29" i="26"/>
  <c r="S30" i="26"/>
  <c r="G30" i="11" s="1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D20" i="1"/>
  <c r="E20" i="1" s="1"/>
  <c r="T53" i="11"/>
  <c r="S53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T40" i="26"/>
  <c r="T46" i="26"/>
  <c r="T32" i="26"/>
  <c r="I41" i="11"/>
  <c r="J41" i="11"/>
  <c r="M41" i="11"/>
  <c r="L41" i="11"/>
  <c r="I61" i="26" l="1"/>
  <c r="I32" i="11"/>
  <c r="J32" i="11"/>
  <c r="M32" i="11"/>
  <c r="L32" i="11"/>
  <c r="J40" i="11"/>
  <c r="I40" i="11"/>
  <c r="M40" i="11"/>
  <c r="L40" i="11"/>
  <c r="T30" i="26"/>
  <c r="M46" i="11"/>
  <c r="L46" i="11"/>
  <c r="I46" i="11"/>
  <c r="J46" i="11"/>
  <c r="P60" i="11"/>
  <c r="T60" i="11"/>
  <c r="S60" i="11"/>
  <c r="Q60" i="11"/>
  <c r="H53" i="26"/>
  <c r="S29" i="26"/>
  <c r="G29" i="11" s="1"/>
  <c r="J30" i="11" l="1"/>
  <c r="I30" i="11"/>
  <c r="L30" i="11"/>
  <c r="M30" i="11"/>
  <c r="T29" i="26"/>
  <c r="T66" i="11"/>
  <c r="S66" i="11"/>
  <c r="Q66" i="11"/>
  <c r="P66" i="11"/>
  <c r="H54" i="26"/>
  <c r="S54" i="26" s="1"/>
  <c r="G54" i="11" s="1"/>
  <c r="H60" i="26"/>
  <c r="H66" i="26" s="1"/>
  <c r="H61" i="26" s="1"/>
  <c r="S61" i="26" s="1"/>
  <c r="G61" i="11" s="1"/>
  <c r="S53" i="26"/>
  <c r="G53" i="11" s="1"/>
  <c r="P61" i="11"/>
  <c r="T61" i="11"/>
  <c r="S61" i="11"/>
  <c r="Q61" i="11"/>
  <c r="T61" i="26" l="1"/>
  <c r="T54" i="26"/>
  <c r="S60" i="26"/>
  <c r="G60" i="11" s="1"/>
  <c r="T53" i="26"/>
  <c r="G16" i="1"/>
  <c r="H16" i="1" s="1"/>
  <c r="M29" i="11"/>
  <c r="L29" i="11"/>
  <c r="J29" i="11"/>
  <c r="I29" i="11"/>
  <c r="M54" i="11" l="1"/>
  <c r="L54" i="11"/>
  <c r="J54" i="11"/>
  <c r="I54" i="11"/>
  <c r="G20" i="1"/>
  <c r="H20" i="1" s="1"/>
  <c r="L53" i="11"/>
  <c r="M53" i="11"/>
  <c r="I53" i="11"/>
  <c r="J53" i="11"/>
  <c r="L61" i="11"/>
  <c r="M61" i="11"/>
  <c r="J61" i="11"/>
  <c r="I61" i="11"/>
  <c r="S66" i="26"/>
  <c r="G66" i="11" s="1"/>
  <c r="T60" i="26"/>
  <c r="L60" i="11" l="1"/>
  <c r="M60" i="11"/>
  <c r="J60" i="11"/>
  <c r="I60" i="11"/>
  <c r="T66" i="26"/>
  <c r="L66" i="11" l="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<sst xmlns="http://schemas.openxmlformats.org/spreadsheetml/2006/main" count="1866" uniqueCount="869">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</sst>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6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67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6">
    <cellStyle name="1 indent" xfId="42" xr:uid="{00000000-0005-0000-0000-000000000000}"/>
    <cellStyle name="1 indent 2" xfId="111" xr:uid="{00000000-0005-0000-0000-000001000000}"/>
    <cellStyle name="2 indents" xfId="43" xr:uid="{00000000-0005-0000-0000-000002000000}"/>
    <cellStyle name="2 indents 2" xfId="112" xr:uid="{00000000-0005-0000-0000-000003000000}"/>
    <cellStyle name="20% - Accent1" xfId="19" builtinId="30" customBuiltin="1"/>
    <cellStyle name="20% - Accent1 2" xfId="99" xr:uid="{00000000-0005-0000-0000-000005000000}"/>
    <cellStyle name="20% - Accent1 2 2" xfId="170" xr:uid="{00000000-0005-0000-0000-000006000000}"/>
    <cellStyle name="20% - Accent1 3" xfId="136" xr:uid="{00000000-0005-0000-0000-000007000000}"/>
    <cellStyle name="20% - Accent2" xfId="23" builtinId="34" customBuiltin="1"/>
    <cellStyle name="20% - Accent2 2" xfId="101" xr:uid="{00000000-0005-0000-0000-000009000000}"/>
    <cellStyle name="20% - Accent2 2 2" xfId="172" xr:uid="{00000000-0005-0000-0000-00000A000000}"/>
    <cellStyle name="20% - Accent2 3" xfId="138" xr:uid="{00000000-0005-0000-0000-00000B000000}"/>
    <cellStyle name="20% - Accent3" xfId="27" builtinId="38" customBuiltin="1"/>
    <cellStyle name="20% - Accent3 2" xfId="103" xr:uid="{00000000-0005-0000-0000-00000D000000}"/>
    <cellStyle name="20% - Accent3 2 2" xfId="174" xr:uid="{00000000-0005-0000-0000-00000E000000}"/>
    <cellStyle name="20% - Accent3 3" xfId="140" xr:uid="{00000000-0005-0000-0000-00000F000000}"/>
    <cellStyle name="20% - Accent4" xfId="31" builtinId="42" customBuiltin="1"/>
    <cellStyle name="20% - Accent4 2" xfId="105" xr:uid="{00000000-0005-0000-0000-000011000000}"/>
    <cellStyle name="20% - Accent4 2 2" xfId="176" xr:uid="{00000000-0005-0000-0000-000012000000}"/>
    <cellStyle name="20% - Accent4 3" xfId="142" xr:uid="{00000000-0005-0000-0000-000013000000}"/>
    <cellStyle name="20% - Accent5" xfId="35" builtinId="46" customBuiltin="1"/>
    <cellStyle name="20% - Accent5 2" xfId="107" xr:uid="{00000000-0005-0000-0000-000015000000}"/>
    <cellStyle name="20% - Accent5 2 2" xfId="178" xr:uid="{00000000-0005-0000-0000-000016000000}"/>
    <cellStyle name="20% - Accent5 3" xfId="144" xr:uid="{00000000-0005-0000-0000-000017000000}"/>
    <cellStyle name="20% - Accent6" xfId="39" builtinId="50" customBuiltin="1"/>
    <cellStyle name="20% - Accent6 2" xfId="109" xr:uid="{00000000-0005-0000-0000-000019000000}"/>
    <cellStyle name="20% - Accent6 2 2" xfId="180" xr:uid="{00000000-0005-0000-0000-00001A000000}"/>
    <cellStyle name="20% - Accent6 3" xfId="146" xr:uid="{00000000-0005-0000-0000-00001B000000}"/>
    <cellStyle name="3 indents" xfId="44" xr:uid="{00000000-0005-0000-0000-00001C000000}"/>
    <cellStyle name="3 indents 2" xfId="113" xr:uid="{00000000-0005-0000-0000-00001D000000}"/>
    <cellStyle name="4 indents" xfId="45" xr:uid="{00000000-0005-0000-0000-00001E000000}"/>
    <cellStyle name="4 indents 2" xfId="122" xr:uid="{00000000-0005-0000-0000-00001F000000}"/>
    <cellStyle name="40% - Accent1" xfId="20" builtinId="31" customBuiltin="1"/>
    <cellStyle name="40% - Accent1 2" xfId="100" xr:uid="{00000000-0005-0000-0000-000021000000}"/>
    <cellStyle name="40% - Accent1 2 2" xfId="171" xr:uid="{00000000-0005-0000-0000-000022000000}"/>
    <cellStyle name="40% - Accent1 3" xfId="137" xr:uid="{00000000-0005-0000-0000-000023000000}"/>
    <cellStyle name="40% - Accent2" xfId="24" builtinId="35" customBuiltin="1"/>
    <cellStyle name="40% - Accent2 2" xfId="102" xr:uid="{00000000-0005-0000-0000-000025000000}"/>
    <cellStyle name="40% - Accent2 2 2" xfId="173" xr:uid="{00000000-0005-0000-0000-000026000000}"/>
    <cellStyle name="40% - Accent2 3" xfId="139" xr:uid="{00000000-0005-0000-0000-000027000000}"/>
    <cellStyle name="40% - Accent3" xfId="28" builtinId="39" customBuiltin="1"/>
    <cellStyle name="40% - Accent3 2" xfId="104" xr:uid="{00000000-0005-0000-0000-000029000000}"/>
    <cellStyle name="40% - Accent3 2 2" xfId="175" xr:uid="{00000000-0005-0000-0000-00002A000000}"/>
    <cellStyle name="40% - Accent3 3" xfId="141" xr:uid="{00000000-0005-0000-0000-00002B000000}"/>
    <cellStyle name="40% - Accent4" xfId="32" builtinId="43" customBuiltin="1"/>
    <cellStyle name="40% - Accent4 2" xfId="106" xr:uid="{00000000-0005-0000-0000-00002D000000}"/>
    <cellStyle name="40% - Accent4 2 2" xfId="177" xr:uid="{00000000-0005-0000-0000-00002E000000}"/>
    <cellStyle name="40% - Accent4 3" xfId="143" xr:uid="{00000000-0005-0000-0000-00002F000000}"/>
    <cellStyle name="40% - Accent5" xfId="36" builtinId="47" customBuiltin="1"/>
    <cellStyle name="40% - Accent5 2" xfId="108" xr:uid="{00000000-0005-0000-0000-000031000000}"/>
    <cellStyle name="40% - Accent5 2 2" xfId="179" xr:uid="{00000000-0005-0000-0000-000032000000}"/>
    <cellStyle name="40% - Accent5 3" xfId="145" xr:uid="{00000000-0005-0000-0000-000033000000}"/>
    <cellStyle name="40% - Accent6" xfId="40" builtinId="51" customBuiltin="1"/>
    <cellStyle name="40% - Accent6 2" xfId="110" xr:uid="{00000000-0005-0000-0000-000035000000}"/>
    <cellStyle name="40% - Accent6 2 2" xfId="181" xr:uid="{00000000-0005-0000-0000-000036000000}"/>
    <cellStyle name="40% - Accent6 3" xfId="147" xr:uid="{00000000-0005-0000-0000-00003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 xr:uid="{00000000-0005-0000-0000-000045000000}"/>
    <cellStyle name="Calculation" xfId="12" builtinId="22" customBuiltin="1"/>
    <cellStyle name="Check Cell" xfId="14" builtinId="23" customBuiltin="1"/>
    <cellStyle name="Comma" xfId="130" builtinId="3"/>
    <cellStyle name="Comma 2" xfId="185" xr:uid="{00000000-0005-0000-0000-000049000000}"/>
    <cellStyle name="Currency" xfId="131" builtinId="4"/>
    <cellStyle name="Date" xfId="46" xr:uid="{00000000-0005-0000-0000-00004B000000}"/>
    <cellStyle name="Explanatory Text" xfId="16" builtinId="53" customBuiltin="1"/>
    <cellStyle name="F2" xfId="47" xr:uid="{00000000-0005-0000-0000-00004D000000}"/>
    <cellStyle name="F3" xfId="48" xr:uid="{00000000-0005-0000-0000-00004E000000}"/>
    <cellStyle name="F4" xfId="49" xr:uid="{00000000-0005-0000-0000-00004F000000}"/>
    <cellStyle name="F5" xfId="50" xr:uid="{00000000-0005-0000-0000-000050000000}"/>
    <cellStyle name="F6" xfId="51" xr:uid="{00000000-0005-0000-0000-000051000000}"/>
    <cellStyle name="F7" xfId="52" xr:uid="{00000000-0005-0000-0000-000052000000}"/>
    <cellStyle name="F8" xfId="53" xr:uid="{00000000-0005-0000-0000-000053000000}"/>
    <cellStyle name="Fixed" xfId="54" xr:uid="{00000000-0005-0000-0000-000054000000}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 xr:uid="{00000000-0005-0000-0000-00005A000000}"/>
    <cellStyle name="HEADING2" xfId="56" xr:uid="{00000000-0005-0000-0000-00005B000000}"/>
    <cellStyle name="imf-one decimal" xfId="57" xr:uid="{00000000-0005-0000-0000-00005C000000}"/>
    <cellStyle name="imf-one decimal 2" xfId="114" xr:uid="{00000000-0005-0000-0000-00005D000000}"/>
    <cellStyle name="imf-zero decimal" xfId="58" xr:uid="{00000000-0005-0000-0000-00005E000000}"/>
    <cellStyle name="imf-zero decimal 2" xfId="115" xr:uid="{00000000-0005-0000-0000-00005F000000}"/>
    <cellStyle name="Input" xfId="10" builtinId="20" customBuiltin="1"/>
    <cellStyle name="Label" xfId="59" xr:uid="{00000000-0005-0000-0000-000061000000}"/>
    <cellStyle name="Linked Cell" xfId="13" builtinId="24" customBuiltin="1"/>
    <cellStyle name="Neutral" xfId="9" builtinId="28" customBuiltin="1"/>
    <cellStyle name="Normal" xfId="0" builtinId="0"/>
    <cellStyle name="Normal - Style1" xfId="60" xr:uid="{00000000-0005-0000-0000-000065000000}"/>
    <cellStyle name="Normal - Style2" xfId="61" xr:uid="{00000000-0005-0000-0000-000066000000}"/>
    <cellStyle name="Normal - Style3" xfId="62" xr:uid="{00000000-0005-0000-0000-000067000000}"/>
    <cellStyle name="Normal 10" xfId="74" xr:uid="{00000000-0005-0000-0000-000068000000}"/>
    <cellStyle name="Normal 10 2" xfId="154" xr:uid="{00000000-0005-0000-0000-000069000000}"/>
    <cellStyle name="Normal 11" xfId="75" xr:uid="{00000000-0005-0000-0000-00006A000000}"/>
    <cellStyle name="Normal 11 2" xfId="155" xr:uid="{00000000-0005-0000-0000-00006B000000}"/>
    <cellStyle name="Normal 12" xfId="76" xr:uid="{00000000-0005-0000-0000-00006C000000}"/>
    <cellStyle name="Normal 12 2" xfId="156" xr:uid="{00000000-0005-0000-0000-00006D000000}"/>
    <cellStyle name="Normal 13" xfId="77" xr:uid="{00000000-0005-0000-0000-00006E000000}"/>
    <cellStyle name="Normal 14" xfId="86" xr:uid="{00000000-0005-0000-0000-00006F000000}"/>
    <cellStyle name="Normal 14 2" xfId="157" xr:uid="{00000000-0005-0000-0000-000070000000}"/>
    <cellStyle name="Normal 15" xfId="88" xr:uid="{00000000-0005-0000-0000-000071000000}"/>
    <cellStyle name="Normal 15 2" xfId="159" xr:uid="{00000000-0005-0000-0000-000072000000}"/>
    <cellStyle name="Normal 16" xfId="92" xr:uid="{00000000-0005-0000-0000-000073000000}"/>
    <cellStyle name="Normal 16 2" xfId="116" xr:uid="{00000000-0005-0000-0000-000074000000}"/>
    <cellStyle name="Normal 16 2 2" xfId="182" xr:uid="{00000000-0005-0000-0000-000075000000}"/>
    <cellStyle name="Normal 16 3" xfId="163" xr:uid="{00000000-0005-0000-0000-000076000000}"/>
    <cellStyle name="Normal 17" xfId="94" xr:uid="{00000000-0005-0000-0000-000077000000}"/>
    <cellStyle name="Normal 17 2" xfId="117" xr:uid="{00000000-0005-0000-0000-000078000000}"/>
    <cellStyle name="Normal 17 2 2" xfId="183" xr:uid="{00000000-0005-0000-0000-000079000000}"/>
    <cellStyle name="Normal 17 3" xfId="165" xr:uid="{00000000-0005-0000-0000-00007A000000}"/>
    <cellStyle name="Normal 18" xfId="95" xr:uid="{00000000-0005-0000-0000-00007B000000}"/>
    <cellStyle name="Normal 18 2" xfId="166" xr:uid="{00000000-0005-0000-0000-00007C000000}"/>
    <cellStyle name="Normal 19" xfId="90" xr:uid="{00000000-0005-0000-0000-00007D000000}"/>
    <cellStyle name="Normal 19 2" xfId="118" xr:uid="{00000000-0005-0000-0000-00007E000000}"/>
    <cellStyle name="Normal 19 2 2" xfId="184" xr:uid="{00000000-0005-0000-0000-00007F000000}"/>
    <cellStyle name="Normal 19 3" xfId="161" xr:uid="{00000000-0005-0000-0000-000080000000}"/>
    <cellStyle name="Normal 2" xfId="63" xr:uid="{00000000-0005-0000-0000-000081000000}"/>
    <cellStyle name="Normal 2 2" xfId="2" xr:uid="{00000000-0005-0000-0000-000082000000}"/>
    <cellStyle name="Normal 2 3" xfId="133" xr:uid="{00000000-0005-0000-0000-000083000000}"/>
    <cellStyle name="Normal 20" xfId="89" xr:uid="{00000000-0005-0000-0000-000084000000}"/>
    <cellStyle name="Normal 20 2" xfId="160" xr:uid="{00000000-0005-0000-0000-000085000000}"/>
    <cellStyle name="Normal 21" xfId="91" xr:uid="{00000000-0005-0000-0000-000086000000}"/>
    <cellStyle name="Normal 21 2" xfId="162" xr:uid="{00000000-0005-0000-0000-000087000000}"/>
    <cellStyle name="Normal 22" xfId="93" xr:uid="{00000000-0005-0000-0000-000088000000}"/>
    <cellStyle name="Normal 22 2" xfId="164" xr:uid="{00000000-0005-0000-0000-000089000000}"/>
    <cellStyle name="Normal 23" xfId="96" xr:uid="{00000000-0005-0000-0000-00008A000000}"/>
    <cellStyle name="Normal 23 2" xfId="167" xr:uid="{00000000-0005-0000-0000-00008B000000}"/>
    <cellStyle name="Normal 24" xfId="97" xr:uid="{00000000-0005-0000-0000-00008C000000}"/>
    <cellStyle name="Normal 24 2" xfId="168" xr:uid="{00000000-0005-0000-0000-00008D000000}"/>
    <cellStyle name="Normal 25" xfId="82" xr:uid="{00000000-0005-0000-0000-00008E000000}"/>
    <cellStyle name="Normal 26" xfId="124" xr:uid="{00000000-0005-0000-0000-00008F000000}"/>
    <cellStyle name="Normal 27" xfId="81" xr:uid="{00000000-0005-0000-0000-000090000000}"/>
    <cellStyle name="Normal 28" xfId="85" xr:uid="{00000000-0005-0000-0000-000091000000}"/>
    <cellStyle name="Normal 29" xfId="129" xr:uid="{00000000-0005-0000-0000-000092000000}"/>
    <cellStyle name="Normal 3" xfId="67" xr:uid="{00000000-0005-0000-0000-000093000000}"/>
    <cellStyle name="Normal 30" xfId="125" xr:uid="{00000000-0005-0000-0000-000094000000}"/>
    <cellStyle name="Normal 31" xfId="80" xr:uid="{00000000-0005-0000-0000-000095000000}"/>
    <cellStyle name="Normal 32" xfId="128" xr:uid="{00000000-0005-0000-0000-000096000000}"/>
    <cellStyle name="Normal 33" xfId="127" xr:uid="{00000000-0005-0000-0000-000097000000}"/>
    <cellStyle name="Normal 34" xfId="126" xr:uid="{00000000-0005-0000-0000-000098000000}"/>
    <cellStyle name="Normal 35" xfId="83" xr:uid="{00000000-0005-0000-0000-000099000000}"/>
    <cellStyle name="Normal 36" xfId="84" xr:uid="{00000000-0005-0000-0000-00009A000000}"/>
    <cellStyle name="Normal 37" xfId="132" xr:uid="{00000000-0005-0000-0000-00009B000000}"/>
    <cellStyle name="Normal 38" xfId="134" xr:uid="{00000000-0005-0000-0000-00009C000000}"/>
    <cellStyle name="Normal 39" xfId="135" xr:uid="{00000000-0005-0000-0000-00009D000000}"/>
    <cellStyle name="Normal 4" xfId="68" xr:uid="{00000000-0005-0000-0000-00009E000000}"/>
    <cellStyle name="Normal 4 2" xfId="119" xr:uid="{00000000-0005-0000-0000-00009F000000}"/>
    <cellStyle name="Normal 4 3" xfId="148" xr:uid="{00000000-0005-0000-0000-0000A0000000}"/>
    <cellStyle name="Normal 5" xfId="69" xr:uid="{00000000-0005-0000-0000-0000A1000000}"/>
    <cellStyle name="Normal 5 2" xfId="123" xr:uid="{00000000-0005-0000-0000-0000A2000000}"/>
    <cellStyle name="Normal 5 3" xfId="149" xr:uid="{00000000-0005-0000-0000-0000A3000000}"/>
    <cellStyle name="Normal 6" xfId="70" xr:uid="{00000000-0005-0000-0000-0000A4000000}"/>
    <cellStyle name="Normal 6 2" xfId="150" xr:uid="{00000000-0005-0000-0000-0000A5000000}"/>
    <cellStyle name="Normal 7" xfId="71" xr:uid="{00000000-0005-0000-0000-0000A6000000}"/>
    <cellStyle name="Normal 7 2" xfId="151" xr:uid="{00000000-0005-0000-0000-0000A7000000}"/>
    <cellStyle name="Normal 8" xfId="72" xr:uid="{00000000-0005-0000-0000-0000A8000000}"/>
    <cellStyle name="Normal 8 2" xfId="152" xr:uid="{00000000-0005-0000-0000-0000A9000000}"/>
    <cellStyle name="Normal 9" xfId="73" xr:uid="{00000000-0005-0000-0000-0000AA000000}"/>
    <cellStyle name="Normal 9 2" xfId="153" xr:uid="{00000000-0005-0000-0000-0000AB000000}"/>
    <cellStyle name="Note 2" xfId="87" xr:uid="{00000000-0005-0000-0000-0000AC000000}"/>
    <cellStyle name="Note 2 2" xfId="158" xr:uid="{00000000-0005-0000-0000-0000AD000000}"/>
    <cellStyle name="Note 3" xfId="98" xr:uid="{00000000-0005-0000-0000-0000AE000000}"/>
    <cellStyle name="Note 3 2" xfId="169" xr:uid="{00000000-0005-0000-0000-0000AF000000}"/>
    <cellStyle name="Obično_KnjigaZIKS i Min pomorstva i saobracaja" xfId="64" xr:uid="{00000000-0005-0000-0000-0000B0000000}"/>
    <cellStyle name="Output" xfId="11" builtinId="21" customBuiltin="1"/>
    <cellStyle name="Percent" xfId="1" builtinId="5"/>
    <cellStyle name="percentage difference" xfId="65" xr:uid="{00000000-0005-0000-0000-0000B3000000}"/>
    <cellStyle name="percentage difference 2" xfId="120" xr:uid="{00000000-0005-0000-0000-0000B4000000}"/>
    <cellStyle name="Publication" xfId="66" xr:uid="{00000000-0005-0000-0000-0000B5000000}"/>
    <cellStyle name="Standard_Tabellenteil in EURO" xfId="121" xr:uid="{00000000-0005-0000-0000-0000B6000000}"/>
    <cellStyle name="Title 2" xfId="79" xr:uid="{00000000-0005-0000-0000-0000B7000000}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9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9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-septembar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 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2,073.7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28.5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 i veći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25.6 mil. € ili 1.3%.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veći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169.9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8.9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%. </a:t>
          </a:r>
          <a:endParaRPr lang="sr-Latn-ME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istom periodu iznosili su</a:t>
          </a:r>
          <a:r>
            <a:rPr lang="sr-Latn-M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1,988.7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27.3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90.9 mil. € ili 4.4% dok su u odnosu na isti period 2023. godine veći za 261.6 mil. € ili 15.1%.</a:t>
          </a:r>
        </a:p>
        <a:p>
          <a:pPr algn="just" eaLnBrk="1" fontAlgn="auto" latinLnBrk="0" hangingPunct="1"/>
          <a:endParaRPr lang="en-US">
            <a:solidFill>
              <a:sysClr val="windowText" lastClr="000000"/>
            </a:solidFill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januar-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septembar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2024. godine zabilježen je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suficit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budžeta u iznosu od 85.0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1.2% procijenjenog BDP-a.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359833</xdr:colOff>
      <xdr:row>22</xdr:row>
      <xdr:rowOff>52916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742767" y="1323976"/>
          <a:ext cx="4946649" cy="2941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izmjenama i dopunama Zakona o budžetu Crne Gore za 2024.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Napomena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U obračunu deficita došlo je do metodološke promjene definicije deficita. Naime, izmjena Zakona o budžetu i fiskalnoj dogovornosti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("Sl list CG"</a:t>
          </a:r>
          <a:r>
            <a:rPr lang="sr-Latn-ME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027/23 od 08.03.2023)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izvršena je primjena međunarodnog računovodstvenog standarda IPSAS 2 – Izvještaja o novčanim tokovima, kojim se utvrđuje da date pozajmice i primici od povraćaja datih pozajmica pripadaju akt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vnostima finansiranja i ne ulaze u obračun finansijskog rezultata. I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plikacija ove korekcije je imala negativan uticaj na iznos deficita, imajući u vidu da su projektovani primici od datih pozajmica i kredita veći od planiranih izdataka po osnovu pozajmica i kredita.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4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4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5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5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6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6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7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7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8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8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2024-09</v>
      </c>
      <c r="O6" s="128" t="str">
        <f>+CONCATENATE(N6,"p")</f>
        <v>2024-09p</v>
      </c>
      <c r="P6" s="116"/>
      <c r="Q6" s="116"/>
      <c r="R6" s="128" t="str">
        <f>+IF(Master!B3-10&gt;=0,CONCATENATE(Master!B4-1,"-",Master!B3),CONCATENATE(Master!B4-1,"-0",Master!B3))</f>
        <v>2023-09</v>
      </c>
      <c r="S6" s="116"/>
      <c r="T6" s="116"/>
    </row>
    <row r="7" spans="1:20">
      <c r="A7" s="129"/>
      <c r="B7" s="587" t="s">
        <v>691</v>
      </c>
      <c r="C7" s="588"/>
      <c r="D7" s="588"/>
      <c r="E7" s="588"/>
      <c r="F7" s="588"/>
      <c r="G7" s="596" t="s">
        <v>690</v>
      </c>
      <c r="H7" s="597"/>
      <c r="I7" s="597"/>
      <c r="J7" s="597"/>
      <c r="K7" s="597"/>
      <c r="L7" s="597"/>
      <c r="M7" s="598"/>
      <c r="N7" s="599" t="str">
        <f>+Master!G243</f>
        <v>Decembar</v>
      </c>
      <c r="O7" s="597"/>
      <c r="P7" s="597"/>
      <c r="Q7" s="597"/>
      <c r="R7" s="597"/>
      <c r="S7" s="597"/>
      <c r="T7" s="600"/>
    </row>
    <row r="8" spans="1:20">
      <c r="A8" s="129"/>
      <c r="B8" s="589"/>
      <c r="C8" s="590"/>
      <c r="D8" s="590"/>
      <c r="E8" s="590"/>
      <c r="F8" s="591"/>
      <c r="G8" s="130" t="str">
        <f>+Master!G26</f>
        <v>Ostvarenje</v>
      </c>
      <c r="H8" s="130" t="str">
        <f>+Master!G25</f>
        <v>Plan</v>
      </c>
      <c r="I8" s="585" t="str">
        <f>+Master!G261</f>
        <v>Odstupanje</v>
      </c>
      <c r="J8" s="585"/>
      <c r="K8" s="130" t="str">
        <f>+CONCATENATE(Master!G246," ",Master!B4-1)</f>
        <v>Jan - Sep 2023</v>
      </c>
      <c r="L8" s="585" t="str">
        <f>+I8</f>
        <v>Odstupanje</v>
      </c>
      <c r="M8" s="595"/>
      <c r="N8" s="131" t="str">
        <f>+G8</f>
        <v>Ostvarenje</v>
      </c>
      <c r="O8" s="130" t="str">
        <f>+H8</f>
        <v>Plan</v>
      </c>
      <c r="P8" s="585" t="str">
        <f>+I8</f>
        <v>Odstupanje</v>
      </c>
      <c r="Q8" s="585"/>
      <c r="R8" s="130" t="str">
        <f>+CONCATENATE(Master!G245," ",Master!B4-1)</f>
        <v>Septembar 2023</v>
      </c>
      <c r="S8" s="585" t="str">
        <f>+P8</f>
        <v>Odstupanje</v>
      </c>
      <c r="T8" s="586"/>
    </row>
    <row r="9" spans="1:20" ht="15.75" thickBot="1">
      <c r="A9" s="129"/>
      <c r="B9" s="592"/>
      <c r="C9" s="593"/>
      <c r="D9" s="593"/>
      <c r="E9" s="593"/>
      <c r="F9" s="594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555" t="str">
        <f>+VLOOKUP($A10,Master!$D$30:$G$226,4,FALSE)</f>
        <v>Prihodi budžeta</v>
      </c>
      <c r="C10" s="556"/>
      <c r="D10" s="556"/>
      <c r="E10" s="556"/>
      <c r="F10" s="556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557" t="str">
        <f>+VLOOKUP($A11,Master!$D$30:$G$226,4,FALSE)</f>
        <v>Porezi</v>
      </c>
      <c r="C11" s="558"/>
      <c r="D11" s="558"/>
      <c r="E11" s="558"/>
      <c r="F11" s="558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59" t="str">
        <f>+VLOOKUP($A12,Master!$D$30:$G$226,4,FALSE)</f>
        <v>Porez na dohodak fizičkih lica</v>
      </c>
      <c r="C12" s="560"/>
      <c r="D12" s="560"/>
      <c r="E12" s="560"/>
      <c r="F12" s="560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59" t="str">
        <f>+VLOOKUP($A13,Master!$D$30:$G$226,4,FALSE)</f>
        <v>Porez na dobit pravnih lica</v>
      </c>
      <c r="C13" s="560"/>
      <c r="D13" s="560"/>
      <c r="E13" s="560"/>
      <c r="F13" s="560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59" t="str">
        <f>+VLOOKUP($A14,Master!$D$30:$G$226,4,FALSE)</f>
        <v>Porez na promet nepokretnosti</v>
      </c>
      <c r="C14" s="560"/>
      <c r="D14" s="560"/>
      <c r="E14" s="560"/>
      <c r="F14" s="560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59" t="str">
        <f>+VLOOKUP($A15,Master!$D$30:$G$226,4,FALSE)</f>
        <v>Porez na dodatu vrijednost</v>
      </c>
      <c r="C15" s="560"/>
      <c r="D15" s="560"/>
      <c r="E15" s="560"/>
      <c r="F15" s="560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59" t="str">
        <f>+VLOOKUP($A16,Master!$D$30:$G$226,4,FALSE)</f>
        <v>Akcize</v>
      </c>
      <c r="C16" s="560"/>
      <c r="D16" s="560"/>
      <c r="E16" s="560"/>
      <c r="F16" s="560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59" t="str">
        <f>+VLOOKUP($A17,Master!$D$30:$G$226,4,FALSE)</f>
        <v>Porez na međunarodnu trgovinu i transakcije</v>
      </c>
      <c r="C17" s="560"/>
      <c r="D17" s="560"/>
      <c r="E17" s="560"/>
      <c r="F17" s="560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59" t="e">
        <f>+VLOOKUP($A18,Master!$D$30:$G$226,4,FALSE)</f>
        <v>#N/A</v>
      </c>
      <c r="C18" s="560"/>
      <c r="D18" s="560"/>
      <c r="E18" s="560"/>
      <c r="F18" s="560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59" t="str">
        <f>+VLOOKUP($A19,Master!$D$30:$G$226,4,FALSE)</f>
        <v>Ostali državni porezi</v>
      </c>
      <c r="C19" s="560"/>
      <c r="D19" s="560"/>
      <c r="E19" s="560"/>
      <c r="F19" s="560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563" t="str">
        <f>+VLOOKUP($A20,Master!$D$30:$G$226,4,FALSE)</f>
        <v>Doprinosi</v>
      </c>
      <c r="C20" s="564"/>
      <c r="D20" s="564"/>
      <c r="E20" s="564"/>
      <c r="F20" s="564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59" t="str">
        <f>+VLOOKUP($A21,Master!$D$30:$G$226,4,FALSE)</f>
        <v>Doprinosi za penzijsko i invalidsko osiguranje</v>
      </c>
      <c r="C21" s="560"/>
      <c r="D21" s="560"/>
      <c r="E21" s="560"/>
      <c r="F21" s="560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59" t="str">
        <f>+VLOOKUP($A22,Master!$D$30:$G$226,4,FALSE)</f>
        <v>Doprinosi za zdravstveno osiguranje</v>
      </c>
      <c r="C22" s="560"/>
      <c r="D22" s="560"/>
      <c r="E22" s="560"/>
      <c r="F22" s="560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59" t="str">
        <f>+VLOOKUP($A23,Master!$D$30:$G$226,4,FALSE)</f>
        <v>Doprinosi za osiguranje od nezaposlenosti</v>
      </c>
      <c r="C23" s="560"/>
      <c r="D23" s="560"/>
      <c r="E23" s="560"/>
      <c r="F23" s="560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59" t="str">
        <f>+VLOOKUP($A24,Master!$D$30:$G$226,4,FALSE)</f>
        <v>Ostali doprinosi</v>
      </c>
      <c r="C24" s="560"/>
      <c r="D24" s="560"/>
      <c r="E24" s="560"/>
      <c r="F24" s="560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61" t="str">
        <f>+VLOOKUP($A25,Master!$D$30:$G$226,4,FALSE)</f>
        <v>Takse</v>
      </c>
      <c r="C25" s="562"/>
      <c r="D25" s="562"/>
      <c r="E25" s="562"/>
      <c r="F25" s="562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61" t="str">
        <f>+VLOOKUP($A26,Master!$D$30:$G$226,4,FALSE)</f>
        <v>Naknade</v>
      </c>
      <c r="C26" s="562"/>
      <c r="D26" s="562"/>
      <c r="E26" s="562"/>
      <c r="F26" s="562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61" t="str">
        <f>+VLOOKUP($A27,Master!$D$30:$G$226,4,FALSE)</f>
        <v>Ostali prihodi</v>
      </c>
      <c r="C27" s="562"/>
      <c r="D27" s="562"/>
      <c r="E27" s="562"/>
      <c r="F27" s="562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61" t="str">
        <f>+VLOOKUP($A28,Master!$D$30:$G$226,4,FALSE)</f>
        <v>Primici od otplate kredita i sredstva prenesena iz prethodne godine</v>
      </c>
      <c r="C28" s="562"/>
      <c r="D28" s="562"/>
      <c r="E28" s="562"/>
      <c r="F28" s="562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65" t="str">
        <f>+VLOOKUP($A29,Master!$D$30:$G$226,4,FALSE)</f>
        <v>Donacije i transferi</v>
      </c>
      <c r="C29" s="566"/>
      <c r="D29" s="566"/>
      <c r="E29" s="566"/>
      <c r="F29" s="566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67" t="str">
        <f>+VLOOKUP($A30,Master!$D$30:$G$226,4,FALSE)</f>
        <v>Izdaci budžeta</v>
      </c>
      <c r="C30" s="568"/>
      <c r="D30" s="568"/>
      <c r="E30" s="568"/>
      <c r="F30" s="568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569" t="str">
        <f>+VLOOKUP($A31,Master!$D$30:$G$226,4,FALSE)</f>
        <v>Tekući izdaci</v>
      </c>
      <c r="C31" s="570"/>
      <c r="D31" s="570"/>
      <c r="E31" s="570"/>
      <c r="F31" s="570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571" t="str">
        <f>+VLOOKUP($A32,Master!$D$30:$G$226,4,FALSE)</f>
        <v>Tekuća budžetska potrošnja</v>
      </c>
      <c r="C32" s="572"/>
      <c r="D32" s="572"/>
      <c r="E32" s="572"/>
      <c r="F32" s="572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59" t="str">
        <f>+VLOOKUP($A33,Master!$D$30:$G$226,4,FALSE)</f>
        <v>Bruto zarade i doprinosi na teret poslodavca</v>
      </c>
      <c r="C33" s="560"/>
      <c r="D33" s="560"/>
      <c r="E33" s="560"/>
      <c r="F33" s="560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59" t="str">
        <f>+VLOOKUP($A34,Master!$D$30:$G$226,4,FALSE)</f>
        <v>Ostala lična primanja</v>
      </c>
      <c r="C34" s="560"/>
      <c r="D34" s="560"/>
      <c r="E34" s="560"/>
      <c r="F34" s="560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59" t="str">
        <f>+VLOOKUP($A35,Master!$D$30:$G$226,4,FALSE)</f>
        <v>Rashodi za materijal</v>
      </c>
      <c r="C35" s="560"/>
      <c r="D35" s="560"/>
      <c r="E35" s="560"/>
      <c r="F35" s="560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59" t="str">
        <f>+VLOOKUP($A36,Master!$D$30:$G$226,4,FALSE)</f>
        <v>Rashodi za usluge</v>
      </c>
      <c r="C36" s="560"/>
      <c r="D36" s="560"/>
      <c r="E36" s="560"/>
      <c r="F36" s="560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59" t="str">
        <f>+VLOOKUP($A37,Master!$D$30:$G$226,4,FALSE)</f>
        <v>Rashodi za tekuće održavanje</v>
      </c>
      <c r="C37" s="560"/>
      <c r="D37" s="560"/>
      <c r="E37" s="560"/>
      <c r="F37" s="560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59" t="str">
        <f>+VLOOKUP($A38,Master!$D$30:$G$226,4,FALSE)</f>
        <v>Kamate</v>
      </c>
      <c r="C38" s="560"/>
      <c r="D38" s="560"/>
      <c r="E38" s="560"/>
      <c r="F38" s="560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59" t="str">
        <f>+VLOOKUP($A39,Master!$D$30:$G$226,4,FALSE)</f>
        <v>Renta</v>
      </c>
      <c r="C39" s="560"/>
      <c r="D39" s="560"/>
      <c r="E39" s="560"/>
      <c r="F39" s="560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59" t="str">
        <f>+VLOOKUP($A40,Master!$D$30:$G$226,4,FALSE)</f>
        <v>Subvencije</v>
      </c>
      <c r="C40" s="560"/>
      <c r="D40" s="560"/>
      <c r="E40" s="560"/>
      <c r="F40" s="560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59" t="str">
        <f>+VLOOKUP($A41,Master!$D$30:$G$226,4,FALSE)</f>
        <v>Ostali izdaci</v>
      </c>
      <c r="C41" s="560"/>
      <c r="D41" s="560"/>
      <c r="E41" s="560"/>
      <c r="F41" s="560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59" t="e">
        <f>+VLOOKUP($A42,Master!$D$30:$G$226,4,FALSE)</f>
        <v>#N/A</v>
      </c>
      <c r="C42" s="560"/>
      <c r="D42" s="560"/>
      <c r="E42" s="560"/>
      <c r="F42" s="560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75" t="str">
        <f>+VLOOKUP($A43,Master!$D$30:$G$226,4,FALSE)</f>
        <v>Transferi za socijalnu zaštitu</v>
      </c>
      <c r="C43" s="576"/>
      <c r="D43" s="576"/>
      <c r="E43" s="576"/>
      <c r="F43" s="576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59" t="str">
        <f>+VLOOKUP($A44,Master!$D$30:$G$226,4,FALSE)</f>
        <v>Prava iz oblasti socijalne zaštite</v>
      </c>
      <c r="C44" s="560"/>
      <c r="D44" s="560"/>
      <c r="E44" s="560"/>
      <c r="F44" s="560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59" t="str">
        <f>+VLOOKUP($A45,Master!$D$30:$G$226,4,FALSE)</f>
        <v>Sredstva za tehnološke viškove</v>
      </c>
      <c r="C45" s="560"/>
      <c r="D45" s="560"/>
      <c r="E45" s="560"/>
      <c r="F45" s="560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59" t="str">
        <f>+VLOOKUP($A46,Master!$D$30:$G$226,4,FALSE)</f>
        <v>Prava iz oblasti penzijskog i invalidskog osiguranja</v>
      </c>
      <c r="C46" s="560"/>
      <c r="D46" s="560"/>
      <c r="E46" s="560"/>
      <c r="F46" s="560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59" t="str">
        <f>+VLOOKUP($A47,Master!$D$30:$G$226,4,FALSE)</f>
        <v>Ostala prava iz oblasti zdravstvene zaštite</v>
      </c>
      <c r="C47" s="560"/>
      <c r="D47" s="560"/>
      <c r="E47" s="560"/>
      <c r="F47" s="560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59" t="str">
        <f>+VLOOKUP($A48,Master!$D$30:$G$226,4,FALSE)</f>
        <v>Ostala prava iz zdravstvenog osiguranja</v>
      </c>
      <c r="C48" s="560"/>
      <c r="D48" s="560"/>
      <c r="E48" s="560"/>
      <c r="F48" s="560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73" t="str">
        <f>+VLOOKUP($A49,Master!$D$30:$G$226,4,FALSE)</f>
        <v xml:space="preserve">Transferi institucijama, pojedincima, nevladinom i javnom sektoru </v>
      </c>
      <c r="C49" s="574"/>
      <c r="D49" s="574"/>
      <c r="E49" s="574"/>
      <c r="F49" s="574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73" t="str">
        <f>+VLOOKUP($A50,Master!$D$30:$G$226,4,FALSE)</f>
        <v>Kapitalni izdaci</v>
      </c>
      <c r="C50" s="574"/>
      <c r="D50" s="574"/>
      <c r="E50" s="574"/>
      <c r="F50" s="574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77" t="str">
        <f>+VLOOKUP($A51,Master!$D$30:$G$226,4,FALSE)</f>
        <v>Pozajmice i krediti</v>
      </c>
      <c r="C51" s="578"/>
      <c r="D51" s="578"/>
      <c r="E51" s="578"/>
      <c r="F51" s="578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77" t="str">
        <f>+VLOOKUP($A52,Master!$D$30:$G$226,4,FALSE)</f>
        <v>Rezerve</v>
      </c>
      <c r="C52" s="578"/>
      <c r="D52" s="578"/>
      <c r="E52" s="578"/>
      <c r="F52" s="578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79" t="str">
        <f>+VLOOKUP($A53,Master!$D$30:$G$226,4,FALSE)</f>
        <v>Otplata garancija</v>
      </c>
      <c r="C53" s="580"/>
      <c r="D53" s="580"/>
      <c r="E53" s="580"/>
      <c r="F53" s="580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79" t="str">
        <f>+VLOOKUP($A54,Master!$D$30:$G$226,4,FALSE)</f>
        <v>Otplata obaveza iz prethodnog perioda</v>
      </c>
      <c r="C54" s="580"/>
      <c r="D54" s="580"/>
      <c r="E54" s="580"/>
      <c r="F54" s="580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79" t="str">
        <f>+VLOOKUP($A55,Master!$D$30:$G$228,4,FALSE)</f>
        <v>Neto povećanje obaveza</v>
      </c>
      <c r="C55" s="580"/>
      <c r="D55" s="580"/>
      <c r="E55" s="580"/>
      <c r="F55" s="580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81" t="str">
        <f>+VLOOKUP($A56,Master!$D$30:$G$226,4,FALSE)</f>
        <v>Suficit / deficit</v>
      </c>
      <c r="C56" s="582"/>
      <c r="D56" s="582"/>
      <c r="E56" s="582"/>
      <c r="F56" s="582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83" t="str">
        <f>+VLOOKUP($A57,Master!$D$30:$G$226,4,FALSE)</f>
        <v>Primarni suficit/deficit</v>
      </c>
      <c r="C57" s="584"/>
      <c r="D57" s="584"/>
      <c r="E57" s="584"/>
      <c r="F57" s="584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75" t="str">
        <f>+VLOOKUP($A58,Master!$D$30:$G$226,4,FALSE)</f>
        <v>Otplata dugova</v>
      </c>
      <c r="C58" s="576"/>
      <c r="D58" s="576"/>
      <c r="E58" s="576"/>
      <c r="F58" s="576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601" t="str">
        <f>+VLOOKUP($A59,Master!$D$30:$G$226,4,FALSE)</f>
        <v>Otplata hartija od vrijednosti i kredita rezidentima</v>
      </c>
      <c r="C59" s="602"/>
      <c r="D59" s="602"/>
      <c r="E59" s="602"/>
      <c r="F59" s="602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77" t="str">
        <f>+VLOOKUP($A60,Master!$D$30:$G$226,4,FALSE)</f>
        <v>Otplata hartija od vrijednosti i kredita nerezidentima</v>
      </c>
      <c r="C60" s="578"/>
      <c r="D60" s="578"/>
      <c r="E60" s="578"/>
      <c r="F60" s="578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603" t="str">
        <f>+VLOOKUP($A62,Master!$D$30:$G$226,4,FALSE)</f>
        <v>Nedostajuća sredstva</v>
      </c>
      <c r="C62" s="604"/>
      <c r="D62" s="604"/>
      <c r="E62" s="604"/>
      <c r="F62" s="604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67" t="str">
        <f>+VLOOKUP($A63,Master!$D$30:$G$226,4,FALSE)</f>
        <v>Finansiranje</v>
      </c>
      <c r="C63" s="568"/>
      <c r="D63" s="568"/>
      <c r="E63" s="568"/>
      <c r="F63" s="568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601" t="str">
        <f>+VLOOKUP($A64,Master!$D$30:$G$226,4,FALSE)</f>
        <v>Pozajmice i krediti od domaćih izvora</v>
      </c>
      <c r="C64" s="602"/>
      <c r="D64" s="602"/>
      <c r="E64" s="602"/>
      <c r="F64" s="602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77" t="str">
        <f>+VLOOKUP($A65,Master!$D$30:$G$226,4,FALSE)</f>
        <v>Pozajmice i krediti od inostranih izvora</v>
      </c>
      <c r="C65" s="578"/>
      <c r="D65" s="578"/>
      <c r="E65" s="578"/>
      <c r="F65" s="578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77" t="str">
        <f>+VLOOKUP($A66,Master!$D$30:$G$226,4,FALSE)</f>
        <v>Primici od prodaje imovine</v>
      </c>
      <c r="C66" s="578"/>
      <c r="D66" s="578"/>
      <c r="E66" s="578"/>
      <c r="F66" s="578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87" t="s">
        <v>553</v>
      </c>
      <c r="C7" s="588"/>
      <c r="D7" s="588"/>
      <c r="E7" s="588"/>
      <c r="F7" s="588"/>
      <c r="G7" s="596">
        <v>2018</v>
      </c>
      <c r="H7" s="597"/>
      <c r="I7" s="597"/>
      <c r="J7" s="597"/>
      <c r="K7" s="597"/>
      <c r="L7" s="597"/>
      <c r="M7" s="597"/>
      <c r="N7" s="597"/>
      <c r="O7" s="597"/>
      <c r="P7" s="597"/>
      <c r="Q7" s="597"/>
      <c r="R7" s="600"/>
      <c r="S7" s="220" t="s">
        <v>419</v>
      </c>
      <c r="T7" s="221">
        <v>4663130000</v>
      </c>
    </row>
    <row r="8" spans="1:20" ht="16.5" customHeight="1">
      <c r="A8" s="129"/>
      <c r="B8" s="589"/>
      <c r="C8" s="590"/>
      <c r="D8" s="590"/>
      <c r="E8" s="590"/>
      <c r="F8" s="591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96" t="s">
        <v>806</v>
      </c>
      <c r="T8" s="600"/>
    </row>
    <row r="9" spans="1:20" ht="13.5" thickBot="1">
      <c r="A9" s="129"/>
      <c r="B9" s="592"/>
      <c r="C9" s="593"/>
      <c r="D9" s="593"/>
      <c r="E9" s="593"/>
      <c r="F9" s="59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55" t="s">
        <v>680</v>
      </c>
      <c r="C10" s="556"/>
      <c r="D10" s="556"/>
      <c r="E10" s="556"/>
      <c r="F10" s="556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557" t="s">
        <v>21</v>
      </c>
      <c r="C11" s="558"/>
      <c r="D11" s="558"/>
      <c r="E11" s="558"/>
      <c r="F11" s="558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59" t="s">
        <v>23</v>
      </c>
      <c r="C12" s="560"/>
      <c r="D12" s="560"/>
      <c r="E12" s="560"/>
      <c r="F12" s="560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59" t="s">
        <v>25</v>
      </c>
      <c r="C13" s="560"/>
      <c r="D13" s="560"/>
      <c r="E13" s="560"/>
      <c r="F13" s="560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59" t="s">
        <v>27</v>
      </c>
      <c r="C14" s="560"/>
      <c r="D14" s="560"/>
      <c r="E14" s="560"/>
      <c r="F14" s="560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59" t="s">
        <v>29</v>
      </c>
      <c r="C15" s="560"/>
      <c r="D15" s="560"/>
      <c r="E15" s="560"/>
      <c r="F15" s="560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59" t="s">
        <v>31</v>
      </c>
      <c r="C16" s="560"/>
      <c r="D16" s="560"/>
      <c r="E16" s="560"/>
      <c r="F16" s="560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59" t="s">
        <v>33</v>
      </c>
      <c r="C17" s="560"/>
      <c r="D17" s="560"/>
      <c r="E17" s="560"/>
      <c r="F17" s="560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59" t="s">
        <v>721</v>
      </c>
      <c r="C18" s="560"/>
      <c r="D18" s="560"/>
      <c r="E18" s="560"/>
      <c r="F18" s="560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563" t="s">
        <v>37</v>
      </c>
      <c r="C19" s="564"/>
      <c r="D19" s="564"/>
      <c r="E19" s="564"/>
      <c r="F19" s="564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59" t="s">
        <v>39</v>
      </c>
      <c r="C20" s="560"/>
      <c r="D20" s="560"/>
      <c r="E20" s="560"/>
      <c r="F20" s="560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59" t="s">
        <v>41</v>
      </c>
      <c r="C21" s="560"/>
      <c r="D21" s="560"/>
      <c r="E21" s="560"/>
      <c r="F21" s="560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59" t="s">
        <v>43</v>
      </c>
      <c r="C22" s="560"/>
      <c r="D22" s="560"/>
      <c r="E22" s="560"/>
      <c r="F22" s="560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59" t="s">
        <v>45</v>
      </c>
      <c r="C23" s="560"/>
      <c r="D23" s="560"/>
      <c r="E23" s="560"/>
      <c r="F23" s="560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61" t="s">
        <v>47</v>
      </c>
      <c r="C24" s="562"/>
      <c r="D24" s="562"/>
      <c r="E24" s="562"/>
      <c r="F24" s="562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61" t="s">
        <v>61</v>
      </c>
      <c r="C25" s="562"/>
      <c r="D25" s="562"/>
      <c r="E25" s="562"/>
      <c r="F25" s="562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61" t="s">
        <v>81</v>
      </c>
      <c r="C26" s="562"/>
      <c r="D26" s="562"/>
      <c r="E26" s="562"/>
      <c r="F26" s="562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61" t="s">
        <v>99</v>
      </c>
      <c r="C27" s="562"/>
      <c r="D27" s="562"/>
      <c r="E27" s="562"/>
      <c r="F27" s="562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65" t="s">
        <v>105</v>
      </c>
      <c r="C28" s="566"/>
      <c r="D28" s="566"/>
      <c r="E28" s="566"/>
      <c r="F28" s="566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67" t="s">
        <v>801</v>
      </c>
      <c r="C29" s="568"/>
      <c r="D29" s="568"/>
      <c r="E29" s="568"/>
      <c r="F29" s="568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569" t="s">
        <v>773</v>
      </c>
      <c r="C30" s="570"/>
      <c r="D30" s="570"/>
      <c r="E30" s="570"/>
      <c r="F30" s="570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571" t="s">
        <v>120</v>
      </c>
      <c r="C31" s="572"/>
      <c r="D31" s="572"/>
      <c r="E31" s="572"/>
      <c r="F31" s="572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59" t="s">
        <v>122</v>
      </c>
      <c r="C32" s="560"/>
      <c r="D32" s="560"/>
      <c r="E32" s="560"/>
      <c r="F32" s="560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59" t="s">
        <v>133</v>
      </c>
      <c r="C33" s="560"/>
      <c r="D33" s="560"/>
      <c r="E33" s="560"/>
      <c r="F33" s="560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59" t="s">
        <v>148</v>
      </c>
      <c r="C34" s="560"/>
      <c r="D34" s="560"/>
      <c r="E34" s="560"/>
      <c r="F34" s="560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59" t="s">
        <v>162</v>
      </c>
      <c r="C35" s="560"/>
      <c r="D35" s="560"/>
      <c r="E35" s="560"/>
      <c r="F35" s="560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59" t="s">
        <v>182</v>
      </c>
      <c r="C36" s="560"/>
      <c r="D36" s="560"/>
      <c r="E36" s="560"/>
      <c r="F36" s="560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59" t="s">
        <v>190</v>
      </c>
      <c r="C37" s="560"/>
      <c r="D37" s="560"/>
      <c r="E37" s="560"/>
      <c r="F37" s="560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59" t="s">
        <v>196</v>
      </c>
      <c r="C38" s="560"/>
      <c r="D38" s="560"/>
      <c r="E38" s="560"/>
      <c r="F38" s="560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59" t="s">
        <v>204</v>
      </c>
      <c r="C39" s="560"/>
      <c r="D39" s="560"/>
      <c r="E39" s="560"/>
      <c r="F39" s="560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59" t="s">
        <v>212</v>
      </c>
      <c r="C40" s="560"/>
      <c r="D40" s="560"/>
      <c r="E40" s="560"/>
      <c r="F40" s="560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59" t="s">
        <v>802</v>
      </c>
      <c r="C41" s="560"/>
      <c r="D41" s="560"/>
      <c r="E41" s="560"/>
      <c r="F41" s="560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75" t="s">
        <v>230</v>
      </c>
      <c r="C42" s="576"/>
      <c r="D42" s="576"/>
      <c r="E42" s="576"/>
      <c r="F42" s="576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59" t="s">
        <v>232</v>
      </c>
      <c r="C43" s="560"/>
      <c r="D43" s="560"/>
      <c r="E43" s="560"/>
      <c r="F43" s="560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59" t="s">
        <v>248</v>
      </c>
      <c r="C44" s="560"/>
      <c r="D44" s="560"/>
      <c r="E44" s="560"/>
      <c r="F44" s="560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59" t="s">
        <v>259</v>
      </c>
      <c r="C45" s="560"/>
      <c r="D45" s="560"/>
      <c r="E45" s="560"/>
      <c r="F45" s="560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59" t="s">
        <v>274</v>
      </c>
      <c r="C46" s="560"/>
      <c r="D46" s="560"/>
      <c r="E46" s="560"/>
      <c r="F46" s="560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66" t="s">
        <v>278</v>
      </c>
      <c r="C47" s="667"/>
      <c r="D47" s="667"/>
      <c r="E47" s="667"/>
      <c r="F47" s="667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73" t="s">
        <v>286</v>
      </c>
      <c r="C48" s="574"/>
      <c r="D48" s="574"/>
      <c r="E48" s="574"/>
      <c r="F48" s="574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73" t="s">
        <v>320</v>
      </c>
      <c r="C49" s="574"/>
      <c r="D49" s="574"/>
      <c r="E49" s="574"/>
      <c r="F49" s="574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52" t="s">
        <v>113</v>
      </c>
      <c r="C50" s="653"/>
      <c r="D50" s="653"/>
      <c r="E50" s="653"/>
      <c r="F50" s="653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77" t="s">
        <v>366</v>
      </c>
      <c r="C51" s="578"/>
      <c r="D51" s="578"/>
      <c r="E51" s="578"/>
      <c r="F51" s="578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79" t="s">
        <v>359</v>
      </c>
      <c r="C52" s="580"/>
      <c r="D52" s="580"/>
      <c r="E52" s="580"/>
      <c r="F52" s="580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46" t="s">
        <v>794</v>
      </c>
      <c r="C53" s="647"/>
      <c r="D53" s="647"/>
      <c r="E53" s="647"/>
      <c r="F53" s="647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48" t="s">
        <v>684</v>
      </c>
      <c r="C54" s="649"/>
      <c r="D54" s="649"/>
      <c r="E54" s="649"/>
      <c r="F54" s="649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81" t="s">
        <v>545</v>
      </c>
      <c r="C55" s="582"/>
      <c r="D55" s="582"/>
      <c r="E55" s="582"/>
      <c r="F55" s="582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83" t="s">
        <v>793</v>
      </c>
      <c r="C57" s="584"/>
      <c r="D57" s="584"/>
      <c r="E57" s="584"/>
      <c r="F57" s="584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05" t="s">
        <v>352</v>
      </c>
      <c r="C58" s="606"/>
      <c r="D58" s="606"/>
      <c r="E58" s="606"/>
      <c r="F58" s="606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601" t="s">
        <v>355</v>
      </c>
      <c r="C59" s="602"/>
      <c r="D59" s="602"/>
      <c r="E59" s="602"/>
      <c r="F59" s="602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77" t="s">
        <v>357</v>
      </c>
      <c r="C60" s="578"/>
      <c r="D60" s="578"/>
      <c r="E60" s="578"/>
      <c r="F60" s="578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68" t="s">
        <v>336</v>
      </c>
      <c r="C61" s="669"/>
      <c r="D61" s="669"/>
      <c r="E61" s="669"/>
      <c r="F61" s="669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603" t="s">
        <v>543</v>
      </c>
      <c r="C62" s="604"/>
      <c r="D62" s="604"/>
      <c r="E62" s="604"/>
      <c r="F62" s="604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67" t="s">
        <v>544</v>
      </c>
      <c r="C63" s="568"/>
      <c r="D63" s="568"/>
      <c r="E63" s="568"/>
      <c r="F63" s="568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601" t="s">
        <v>114</v>
      </c>
      <c r="C64" s="602"/>
      <c r="D64" s="602"/>
      <c r="E64" s="602"/>
      <c r="F64" s="602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77" t="s">
        <v>116</v>
      </c>
      <c r="C65" s="578"/>
      <c r="D65" s="578"/>
      <c r="E65" s="578"/>
      <c r="F65" s="578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77" t="s">
        <v>93</v>
      </c>
      <c r="C66" s="578"/>
      <c r="D66" s="578"/>
      <c r="E66" s="578"/>
      <c r="F66" s="578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33" t="s">
        <v>551</v>
      </c>
      <c r="C103" s="634"/>
      <c r="D103" s="634"/>
      <c r="E103" s="634"/>
      <c r="F103" s="634"/>
      <c r="G103" s="641">
        <v>2018</v>
      </c>
      <c r="H103" s="642"/>
      <c r="I103" s="642"/>
      <c r="J103" s="642"/>
      <c r="K103" s="642"/>
      <c r="L103" s="642"/>
      <c r="M103" s="642"/>
      <c r="N103" s="642"/>
      <c r="O103" s="642"/>
      <c r="P103" s="642"/>
      <c r="Q103" s="642"/>
      <c r="R103" s="643"/>
      <c r="S103" s="96" t="str">
        <f>+S7</f>
        <v>BDP</v>
      </c>
      <c r="T103" s="97">
        <f>+T7</f>
        <v>4663130000</v>
      </c>
    </row>
    <row r="104" spans="1:21" ht="15.75" customHeight="1">
      <c r="B104" s="635"/>
      <c r="C104" s="636"/>
      <c r="D104" s="636"/>
      <c r="E104" s="636"/>
      <c r="F104" s="637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41" t="s">
        <v>806</v>
      </c>
      <c r="T104" s="643">
        <f>+T8</f>
        <v>0</v>
      </c>
    </row>
    <row r="105" spans="1:21" ht="13.5" thickBot="1">
      <c r="B105" s="638"/>
      <c r="C105" s="639"/>
      <c r="D105" s="639"/>
      <c r="E105" s="639"/>
      <c r="F105" s="640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56" t="s">
        <v>680</v>
      </c>
      <c r="C106" s="657"/>
      <c r="D106" s="657"/>
      <c r="E106" s="657"/>
      <c r="F106" s="657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31" t="s">
        <v>21</v>
      </c>
      <c r="C107" s="632"/>
      <c r="D107" s="632"/>
      <c r="E107" s="632"/>
      <c r="F107" s="632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23" t="s">
        <v>23</v>
      </c>
      <c r="C108" s="624"/>
      <c r="D108" s="624"/>
      <c r="E108" s="624"/>
      <c r="F108" s="624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23" t="s">
        <v>25</v>
      </c>
      <c r="C109" s="624"/>
      <c r="D109" s="624"/>
      <c r="E109" s="624"/>
      <c r="F109" s="624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23" t="s">
        <v>27</v>
      </c>
      <c r="C110" s="624"/>
      <c r="D110" s="624"/>
      <c r="E110" s="624"/>
      <c r="F110" s="624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23" t="s">
        <v>29</v>
      </c>
      <c r="C111" s="624"/>
      <c r="D111" s="624"/>
      <c r="E111" s="624"/>
      <c r="F111" s="624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23" t="s">
        <v>31</v>
      </c>
      <c r="C112" s="624"/>
      <c r="D112" s="624"/>
      <c r="E112" s="624"/>
      <c r="F112" s="624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23" t="s">
        <v>33</v>
      </c>
      <c r="C113" s="624"/>
      <c r="D113" s="624"/>
      <c r="E113" s="624"/>
      <c r="F113" s="624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23" t="s">
        <v>721</v>
      </c>
      <c r="C114" s="624"/>
      <c r="D114" s="624"/>
      <c r="E114" s="624"/>
      <c r="F114" s="624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58" t="s">
        <v>37</v>
      </c>
      <c r="C115" s="659"/>
      <c r="D115" s="659"/>
      <c r="E115" s="659"/>
      <c r="F115" s="659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23" t="s">
        <v>39</v>
      </c>
      <c r="C116" s="624"/>
      <c r="D116" s="624"/>
      <c r="E116" s="624"/>
      <c r="F116" s="624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23" t="s">
        <v>41</v>
      </c>
      <c r="C117" s="624"/>
      <c r="D117" s="624"/>
      <c r="E117" s="624"/>
      <c r="F117" s="624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23" t="s">
        <v>43</v>
      </c>
      <c r="C118" s="624"/>
      <c r="D118" s="624"/>
      <c r="E118" s="624"/>
      <c r="F118" s="624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23" t="s">
        <v>45</v>
      </c>
      <c r="C119" s="624"/>
      <c r="D119" s="624"/>
      <c r="E119" s="624"/>
      <c r="F119" s="624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29" t="s">
        <v>47</v>
      </c>
      <c r="C120" s="630"/>
      <c r="D120" s="630"/>
      <c r="E120" s="630"/>
      <c r="F120" s="630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29" t="s">
        <v>61</v>
      </c>
      <c r="C121" s="630"/>
      <c r="D121" s="630"/>
      <c r="E121" s="630"/>
      <c r="F121" s="630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29" t="s">
        <v>81</v>
      </c>
      <c r="C122" s="630"/>
      <c r="D122" s="630"/>
      <c r="E122" s="630"/>
      <c r="F122" s="630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29" t="s">
        <v>99</v>
      </c>
      <c r="C123" s="630"/>
      <c r="D123" s="630"/>
      <c r="E123" s="630"/>
      <c r="F123" s="630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25" t="s">
        <v>105</v>
      </c>
      <c r="C124" s="626"/>
      <c r="D124" s="626"/>
      <c r="E124" s="626"/>
      <c r="F124" s="626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07" t="s">
        <v>808</v>
      </c>
      <c r="C125" s="608"/>
      <c r="D125" s="608"/>
      <c r="E125" s="608"/>
      <c r="F125" s="608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62" t="s">
        <v>773</v>
      </c>
      <c r="C126" s="663"/>
      <c r="D126" s="663"/>
      <c r="E126" s="663"/>
      <c r="F126" s="663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27" t="s">
        <v>120</v>
      </c>
      <c r="C127" s="628"/>
      <c r="D127" s="628"/>
      <c r="E127" s="628"/>
      <c r="F127" s="628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23" t="s">
        <v>122</v>
      </c>
      <c r="C128" s="624"/>
      <c r="D128" s="624"/>
      <c r="E128" s="624"/>
      <c r="F128" s="624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23" t="s">
        <v>133</v>
      </c>
      <c r="C129" s="624"/>
      <c r="D129" s="624"/>
      <c r="E129" s="624"/>
      <c r="F129" s="624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23" t="s">
        <v>148</v>
      </c>
      <c r="C130" s="624"/>
      <c r="D130" s="624"/>
      <c r="E130" s="624"/>
      <c r="F130" s="624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23" t="s">
        <v>162</v>
      </c>
      <c r="C131" s="624"/>
      <c r="D131" s="624"/>
      <c r="E131" s="624"/>
      <c r="F131" s="624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23" t="s">
        <v>182</v>
      </c>
      <c r="C132" s="624"/>
      <c r="D132" s="624"/>
      <c r="E132" s="624"/>
      <c r="F132" s="624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23" t="s">
        <v>190</v>
      </c>
      <c r="C133" s="624"/>
      <c r="D133" s="624"/>
      <c r="E133" s="624"/>
      <c r="F133" s="624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23" t="s">
        <v>196</v>
      </c>
      <c r="C134" s="624"/>
      <c r="D134" s="624"/>
      <c r="E134" s="624"/>
      <c r="F134" s="624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23" t="s">
        <v>204</v>
      </c>
      <c r="C135" s="624"/>
      <c r="D135" s="624"/>
      <c r="E135" s="624"/>
      <c r="F135" s="624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23" t="s">
        <v>212</v>
      </c>
      <c r="C136" s="624"/>
      <c r="D136" s="624"/>
      <c r="E136" s="624"/>
      <c r="F136" s="624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23" t="s">
        <v>802</v>
      </c>
      <c r="C137" s="624"/>
      <c r="D137" s="624"/>
      <c r="E137" s="624"/>
      <c r="F137" s="624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19" t="s">
        <v>230</v>
      </c>
      <c r="C138" s="620"/>
      <c r="D138" s="620"/>
      <c r="E138" s="620"/>
      <c r="F138" s="620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23" t="s">
        <v>232</v>
      </c>
      <c r="C139" s="624"/>
      <c r="D139" s="624"/>
      <c r="E139" s="624"/>
      <c r="F139" s="624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23" t="s">
        <v>248</v>
      </c>
      <c r="C140" s="624"/>
      <c r="D140" s="624"/>
      <c r="E140" s="624"/>
      <c r="F140" s="624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23" t="s">
        <v>259</v>
      </c>
      <c r="C141" s="624"/>
      <c r="D141" s="624"/>
      <c r="E141" s="624"/>
      <c r="F141" s="624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23" t="s">
        <v>274</v>
      </c>
      <c r="C142" s="624"/>
      <c r="D142" s="624"/>
      <c r="E142" s="624"/>
      <c r="F142" s="624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23" t="s">
        <v>278</v>
      </c>
      <c r="C143" s="624"/>
      <c r="D143" s="624"/>
      <c r="E143" s="624"/>
      <c r="F143" s="624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21" t="s">
        <v>286</v>
      </c>
      <c r="C144" s="622"/>
      <c r="D144" s="622"/>
      <c r="E144" s="622"/>
      <c r="F144" s="622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21" t="s">
        <v>809</v>
      </c>
      <c r="C145" s="622"/>
      <c r="D145" s="622"/>
      <c r="E145" s="622"/>
      <c r="F145" s="622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13" t="s">
        <v>113</v>
      </c>
      <c r="C146" s="614"/>
      <c r="D146" s="614"/>
      <c r="E146" s="614"/>
      <c r="F146" s="614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13" t="s">
        <v>366</v>
      </c>
      <c r="C147" s="614"/>
      <c r="D147" s="614"/>
      <c r="E147" s="614"/>
      <c r="F147" s="614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13" t="s">
        <v>359</v>
      </c>
      <c r="C148" s="614"/>
      <c r="D148" s="614"/>
      <c r="E148" s="614"/>
      <c r="F148" s="614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15" t="s">
        <v>545</v>
      </c>
      <c r="C150" s="616"/>
      <c r="D150" s="616"/>
      <c r="E150" s="616"/>
      <c r="F150" s="616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17" t="s">
        <v>810</v>
      </c>
      <c r="C151" s="618"/>
      <c r="D151" s="618"/>
      <c r="E151" s="618"/>
      <c r="F151" s="618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19" t="s">
        <v>352</v>
      </c>
      <c r="C152" s="620"/>
      <c r="D152" s="620"/>
      <c r="E152" s="620"/>
      <c r="F152" s="620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11" t="s">
        <v>355</v>
      </c>
      <c r="C153" s="612"/>
      <c r="D153" s="612"/>
      <c r="E153" s="612"/>
      <c r="F153" s="612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13" t="s">
        <v>357</v>
      </c>
      <c r="C154" s="614"/>
      <c r="D154" s="614"/>
      <c r="E154" s="614"/>
      <c r="F154" s="614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13" t="s">
        <v>365</v>
      </c>
      <c r="C155" s="614"/>
      <c r="D155" s="614"/>
      <c r="E155" s="614"/>
      <c r="F155" s="614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09" t="s">
        <v>543</v>
      </c>
      <c r="C157" s="610"/>
      <c r="D157" s="610"/>
      <c r="E157" s="610"/>
      <c r="F157" s="610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07" t="s">
        <v>544</v>
      </c>
      <c r="C158" s="608"/>
      <c r="D158" s="608"/>
      <c r="E158" s="608"/>
      <c r="F158" s="608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11" t="s">
        <v>114</v>
      </c>
      <c r="C159" s="612"/>
      <c r="D159" s="612"/>
      <c r="E159" s="612"/>
      <c r="F159" s="612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13" t="s">
        <v>116</v>
      </c>
      <c r="C160" s="614"/>
      <c r="D160" s="614"/>
      <c r="E160" s="614"/>
      <c r="F160" s="614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13" t="s">
        <v>93</v>
      </c>
      <c r="C161" s="614"/>
      <c r="D161" s="614"/>
      <c r="E161" s="614"/>
      <c r="F161" s="614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73" t="s">
        <v>554</v>
      </c>
      <c r="F6" s="671">
        <v>2006</v>
      </c>
      <c r="G6" s="670"/>
      <c r="H6" s="670"/>
      <c r="I6" s="670"/>
      <c r="J6" s="670"/>
      <c r="K6" s="670"/>
      <c r="L6" s="670"/>
      <c r="M6" s="670"/>
      <c r="N6" s="670"/>
      <c r="O6" s="670"/>
      <c r="P6" s="670"/>
      <c r="Q6" s="672"/>
      <c r="R6" s="671">
        <v>2007</v>
      </c>
      <c r="S6" s="670"/>
      <c r="T6" s="670"/>
      <c r="U6" s="670"/>
      <c r="V6" s="670"/>
      <c r="W6" s="670"/>
      <c r="X6" s="670"/>
      <c r="Y6" s="670"/>
      <c r="Z6" s="670"/>
      <c r="AA6" s="670"/>
      <c r="AB6" s="670"/>
      <c r="AC6" s="672"/>
      <c r="AD6" s="671">
        <v>2008</v>
      </c>
      <c r="AE6" s="670"/>
      <c r="AF6" s="670"/>
      <c r="AG6" s="670"/>
      <c r="AH6" s="670"/>
      <c r="AI6" s="670"/>
      <c r="AJ6" s="670"/>
      <c r="AK6" s="670"/>
      <c r="AL6" s="670"/>
      <c r="AM6" s="670"/>
      <c r="AN6" s="670"/>
      <c r="AO6" s="672"/>
      <c r="AP6" s="671">
        <v>2009</v>
      </c>
      <c r="AQ6" s="670"/>
      <c r="AR6" s="670"/>
      <c r="AS6" s="670"/>
      <c r="AT6" s="670"/>
      <c r="AU6" s="670"/>
      <c r="AV6" s="670"/>
      <c r="AW6" s="670"/>
      <c r="AX6" s="670"/>
      <c r="AY6" s="670"/>
      <c r="AZ6" s="670"/>
      <c r="BA6" s="672"/>
      <c r="BB6" s="671">
        <v>2010</v>
      </c>
      <c r="BC6" s="670"/>
      <c r="BD6" s="670"/>
      <c r="BE6" s="670"/>
      <c r="BF6" s="670"/>
      <c r="BG6" s="670"/>
      <c r="BH6" s="670"/>
      <c r="BI6" s="670"/>
      <c r="BJ6" s="670"/>
      <c r="BK6" s="670"/>
      <c r="BL6" s="670"/>
      <c r="BM6" s="672"/>
      <c r="BN6" s="671">
        <v>2011</v>
      </c>
      <c r="BO6" s="670"/>
      <c r="BP6" s="670"/>
      <c r="BQ6" s="670"/>
      <c r="BR6" s="670"/>
      <c r="BS6" s="670"/>
      <c r="BT6" s="670"/>
      <c r="BU6" s="670"/>
      <c r="BV6" s="670"/>
      <c r="BW6" s="670"/>
      <c r="BX6" s="670"/>
      <c r="BY6" s="672"/>
      <c r="BZ6" s="670">
        <v>2012</v>
      </c>
      <c r="CA6" s="670"/>
      <c r="CB6" s="670"/>
      <c r="CC6" s="670"/>
      <c r="CD6" s="670"/>
      <c r="CE6" s="670"/>
      <c r="CF6" s="670"/>
      <c r="CG6" s="670"/>
      <c r="CH6" s="670"/>
      <c r="CI6" s="670"/>
      <c r="CJ6" s="670"/>
      <c r="CK6" s="670"/>
      <c r="CL6" s="671">
        <v>2013</v>
      </c>
      <c r="CM6" s="670"/>
      <c r="CN6" s="670"/>
      <c r="CO6" s="670"/>
      <c r="CP6" s="670"/>
      <c r="CQ6" s="670"/>
      <c r="CR6" s="670"/>
      <c r="CS6" s="670"/>
      <c r="CT6" s="670"/>
      <c r="CU6" s="670"/>
      <c r="CV6" s="670"/>
      <c r="CW6" s="672"/>
      <c r="CX6" s="671">
        <v>2014</v>
      </c>
      <c r="CY6" s="670"/>
      <c r="CZ6" s="670"/>
      <c r="DA6" s="670"/>
      <c r="DB6" s="670"/>
      <c r="DC6" s="670"/>
      <c r="DD6" s="670"/>
      <c r="DE6" s="670"/>
      <c r="DF6" s="670"/>
      <c r="DG6" s="670"/>
      <c r="DH6" s="670"/>
      <c r="DI6" s="672"/>
      <c r="DJ6" s="671">
        <v>2015</v>
      </c>
      <c r="DK6" s="670"/>
      <c r="DL6" s="670"/>
      <c r="DM6" s="670"/>
      <c r="DN6" s="670"/>
      <c r="DO6" s="670"/>
      <c r="DP6" s="670"/>
      <c r="DQ6" s="670"/>
      <c r="DR6" s="670"/>
      <c r="DS6" s="670"/>
      <c r="DT6" s="670"/>
      <c r="DU6" s="672"/>
    </row>
    <row r="7" spans="1:321">
      <c r="E7" s="673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73" t="s">
        <v>675</v>
      </c>
      <c r="F214" s="671">
        <v>2006</v>
      </c>
      <c r="G214" s="670"/>
      <c r="H214" s="670"/>
      <c r="I214" s="670"/>
      <c r="J214" s="670"/>
      <c r="K214" s="670"/>
      <c r="L214" s="670"/>
      <c r="M214" s="670"/>
      <c r="N214" s="670"/>
      <c r="O214" s="670"/>
      <c r="P214" s="670"/>
      <c r="Q214" s="672"/>
      <c r="R214" s="671">
        <v>2007</v>
      </c>
      <c r="S214" s="670"/>
      <c r="T214" s="670"/>
      <c r="U214" s="670"/>
      <c r="V214" s="670"/>
      <c r="W214" s="670"/>
      <c r="X214" s="670"/>
      <c r="Y214" s="670"/>
      <c r="Z214" s="670"/>
      <c r="AA214" s="670"/>
      <c r="AB214" s="670"/>
      <c r="AC214" s="672"/>
      <c r="AD214" s="671">
        <v>2008</v>
      </c>
      <c r="AE214" s="670"/>
      <c r="AF214" s="670"/>
      <c r="AG214" s="670"/>
      <c r="AH214" s="670"/>
      <c r="AI214" s="670"/>
      <c r="AJ214" s="670"/>
      <c r="AK214" s="670"/>
      <c r="AL214" s="670"/>
      <c r="AM214" s="670"/>
      <c r="AN214" s="670"/>
      <c r="AO214" s="672"/>
      <c r="AP214" s="671">
        <v>2009</v>
      </c>
      <c r="AQ214" s="670"/>
      <c r="AR214" s="670"/>
      <c r="AS214" s="670"/>
      <c r="AT214" s="670"/>
      <c r="AU214" s="670"/>
      <c r="AV214" s="670"/>
      <c r="AW214" s="670"/>
      <c r="AX214" s="670"/>
      <c r="AY214" s="670"/>
      <c r="AZ214" s="670"/>
      <c r="BA214" s="672"/>
      <c r="BB214" s="671">
        <v>2010</v>
      </c>
      <c r="BC214" s="670"/>
      <c r="BD214" s="670"/>
      <c r="BE214" s="670"/>
      <c r="BF214" s="670"/>
      <c r="BG214" s="670"/>
      <c r="BH214" s="670"/>
      <c r="BI214" s="670"/>
      <c r="BJ214" s="670"/>
      <c r="BK214" s="670"/>
      <c r="BL214" s="670"/>
      <c r="BM214" s="672"/>
      <c r="BN214" s="671">
        <v>2011</v>
      </c>
      <c r="BO214" s="670"/>
      <c r="BP214" s="670"/>
      <c r="BQ214" s="670"/>
      <c r="BR214" s="670"/>
      <c r="BS214" s="670"/>
      <c r="BT214" s="670"/>
      <c r="BU214" s="670"/>
      <c r="BV214" s="670"/>
      <c r="BW214" s="670"/>
      <c r="BX214" s="670"/>
      <c r="BY214" s="672"/>
      <c r="BZ214" s="670">
        <v>2012</v>
      </c>
      <c r="CA214" s="670"/>
      <c r="CB214" s="670"/>
      <c r="CC214" s="670"/>
      <c r="CD214" s="670"/>
      <c r="CE214" s="670"/>
      <c r="CF214" s="670"/>
      <c r="CG214" s="670"/>
      <c r="CH214" s="670"/>
      <c r="CI214" s="670"/>
      <c r="CJ214" s="670"/>
      <c r="CK214" s="670"/>
      <c r="CL214" s="671">
        <v>2013</v>
      </c>
      <c r="CM214" s="670"/>
      <c r="CN214" s="670"/>
      <c r="CO214" s="670"/>
      <c r="CP214" s="670"/>
      <c r="CQ214" s="670"/>
      <c r="CR214" s="670"/>
      <c r="CS214" s="670"/>
      <c r="CT214" s="670"/>
      <c r="CU214" s="670"/>
      <c r="CV214" s="670"/>
      <c r="CW214" s="672"/>
      <c r="CX214" s="671">
        <v>2014</v>
      </c>
      <c r="CY214" s="670"/>
      <c r="CZ214" s="670"/>
      <c r="DA214" s="670"/>
      <c r="DB214" s="670"/>
      <c r="DC214" s="670"/>
      <c r="DD214" s="670"/>
      <c r="DE214" s="670"/>
      <c r="DF214" s="670"/>
      <c r="DG214" s="670"/>
      <c r="DH214" s="670"/>
      <c r="DI214" s="672"/>
      <c r="DJ214" s="671">
        <v>2015</v>
      </c>
      <c r="DK214" s="670"/>
      <c r="DL214" s="670"/>
      <c r="DM214" s="670"/>
      <c r="DN214" s="670"/>
      <c r="DO214" s="670"/>
      <c r="DP214" s="670"/>
      <c r="DQ214" s="670"/>
      <c r="DR214" s="670"/>
      <c r="DS214" s="670"/>
      <c r="DT214" s="670"/>
      <c r="DU214" s="672"/>
    </row>
    <row r="215" spans="1:187">
      <c r="E215" s="673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B1:G286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9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2024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Septembar</v>
      </c>
    </row>
    <row r="246" spans="4:7">
      <c r="D246" s="41"/>
      <c r="G246" s="44" t="str">
        <f>+CONCATENATE("Jan - ",LEFT(G245,3))</f>
        <v>Jan - Sep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Sep</v>
      </c>
      <c r="F254" s="6" t="str">
        <f>+CONCATENATE("Analytics for period ",G246)</f>
        <v>Analytics for period Jan - Sep</v>
      </c>
      <c r="G254" s="44" t="str">
        <f>+IF(ISBLANK(IF($B$2=1,E254,F254)),"",IF($B$2=1,E254,F254))</f>
        <v>Analitika za period Jan - Sep</v>
      </c>
    </row>
    <row r="255" spans="4:7">
      <c r="E255" s="5" t="str">
        <f>+CONCATENATE("Analitika za period ",G245)</f>
        <v>Analitika za period Septembar</v>
      </c>
      <c r="F255" s="6" t="str">
        <f>+CONCATENATE("Analytics for period ",G245)</f>
        <v>Analytics for period Septembar</v>
      </c>
      <c r="G255" s="44" t="str">
        <f>+IF(ISBLANK(IF($B$2=1,E255,F255)),"",IF($B$2=1,E255,F255))</f>
        <v>Analitika za period Septembar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Septembar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Septembar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Septembar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Septembar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Septembar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Septembar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activeCell="DK219" sqref="DK219"/>
      <selection pane="bottomLeft" activeCell="M26" sqref="M26"/>
    </sheetView>
  </sheetViews>
  <sheetFormatPr defaultColWidth="9.140625" defaultRowHeight="15"/>
  <cols>
    <col min="1" max="3" width="9.140625" style="116"/>
    <col min="4" max="4" width="10" style="116" bestFit="1" customWidth="1"/>
    <col min="5" max="7" width="9.140625" style="116"/>
    <col min="8" max="8" width="11" style="116" bestFit="1" customWidth="1"/>
    <col min="9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Septembar</v>
      </c>
      <c r="G11" s="122" t="str">
        <f>+Master!G274</f>
        <v>Prihodi za period Januar - Septembar</v>
      </c>
      <c r="J11" s="121"/>
    </row>
    <row r="12" spans="3:10">
      <c r="C12" s="120"/>
      <c r="D12" s="123">
        <f>+'Analitika 2024'!N10</f>
        <v>247903192.50999999</v>
      </c>
      <c r="E12" s="427">
        <f>+D12/'2024'!T7</f>
        <v>3.4054039659601354E-2</v>
      </c>
      <c r="G12" s="123">
        <f>+'Analitika 2024'!G10</f>
        <v>2073660216.1800003</v>
      </c>
      <c r="H12" s="427">
        <f>+G12/'2024'!T7</f>
        <v>0.28485517482588574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Septembar</v>
      </c>
      <c r="G15" s="122" t="str">
        <f>+Master!G275</f>
        <v>Rashodi za period Januar - Septembar</v>
      </c>
      <c r="J15" s="121"/>
    </row>
    <row r="16" spans="3:10">
      <c r="C16" s="120"/>
      <c r="D16" s="123">
        <f>+'Analitika 2024'!N29</f>
        <v>254470194.15999997</v>
      </c>
      <c r="E16" s="427">
        <f>+D16/'2024'!T7</f>
        <v>3.4956137500171708E-2</v>
      </c>
      <c r="G16" s="123">
        <f>+'Analitika 2024'!G29</f>
        <v>1988663716.04</v>
      </c>
      <c r="H16" s="427">
        <f>+G16/'2024'!T7</f>
        <v>0.27317935025344453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Septembar</v>
      </c>
      <c r="G19" s="122" t="str">
        <f>+Master!G276</f>
        <v>Suficit/Deficit za period Januar - Septembar</v>
      </c>
      <c r="J19" s="121"/>
    </row>
    <row r="20" spans="3:11">
      <c r="C20" s="120"/>
      <c r="D20" s="123">
        <f>+'Analitika 2024'!N53</f>
        <v>-6567001.6499999762</v>
      </c>
      <c r="E20" s="427">
        <f>+D20/'2024'!T7</f>
        <v>-9.020978405703499E-4</v>
      </c>
      <c r="G20" s="123">
        <f>+'Analitika 2024'!G53</f>
        <v>84996500.140000194</v>
      </c>
      <c r="H20" s="427">
        <f>+G20/'2024'!T7</f>
        <v>1.1675824572441198E-2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AK1/C3DmdPRVzYvnSW9o97R3l9dGL0rg1ahZ8sjO4HHeCzNbhFTan53kUVRypGmrarWpml6L080hpWmO0Ds+tg==" saltValue="IAYtzGscsC9KJ+i5DEEfj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topLeftCell="B1" zoomScale="90" zoomScaleNormal="90" workbookViewId="0">
      <pane ySplit="5" topLeftCell="A6" activePane="bottomLeft" state="frozen"/>
      <selection activeCell="DK219" sqref="DK219"/>
      <selection pane="bottomLeft" activeCell="E6" sqref="E6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2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2" width="9.140625" style="4"/>
    <col min="23" max="23" width="11.710937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2024-09</v>
      </c>
      <c r="O6" s="128" t="str">
        <f>+CONCATENATE(N6,"p")</f>
        <v>2024-09p</v>
      </c>
      <c r="P6" s="116"/>
      <c r="Q6" s="116"/>
      <c r="R6" s="128" t="str">
        <f>+IF(Master!B3-10&gt;=0,CONCATENATE(Master!B4-1,"-",Master!B3),CONCATENATE(Master!B4-1,"-0",Master!B3))</f>
        <v>2023-09</v>
      </c>
      <c r="S6" s="116"/>
      <c r="T6" s="116"/>
    </row>
    <row r="7" spans="1:25" ht="14.25" customHeight="1">
      <c r="A7" s="129"/>
      <c r="B7" s="587" t="str">
        <f>+Master!G254</f>
        <v>Analitika za period Jan - Sep</v>
      </c>
      <c r="C7" s="588"/>
      <c r="D7" s="588"/>
      <c r="E7" s="588"/>
      <c r="F7" s="588"/>
      <c r="G7" s="596" t="str">
        <f>+Master!G246</f>
        <v>Jan - Sep</v>
      </c>
      <c r="H7" s="597"/>
      <c r="I7" s="597"/>
      <c r="J7" s="597"/>
      <c r="K7" s="597"/>
      <c r="L7" s="597"/>
      <c r="M7" s="600"/>
      <c r="N7" s="597" t="str">
        <f>+Master!G245</f>
        <v>Septembar</v>
      </c>
      <c r="O7" s="597"/>
      <c r="P7" s="597"/>
      <c r="Q7" s="597"/>
      <c r="R7" s="597"/>
      <c r="S7" s="597"/>
      <c r="T7" s="600"/>
    </row>
    <row r="8" spans="1:25" ht="29.25" customHeight="1">
      <c r="A8" s="129"/>
      <c r="B8" s="589"/>
      <c r="C8" s="590"/>
      <c r="D8" s="590"/>
      <c r="E8" s="590"/>
      <c r="F8" s="591"/>
      <c r="G8" s="487" t="str">
        <f>+Master!G26</f>
        <v>Ostvarenje</v>
      </c>
      <c r="H8" s="330" t="str">
        <f>+Master!G25</f>
        <v>Plan</v>
      </c>
      <c r="I8" s="585" t="str">
        <f>+Master!G261</f>
        <v>Odstupanje</v>
      </c>
      <c r="J8" s="585"/>
      <c r="K8" s="130" t="str">
        <f>+CONCATENATE(Master!G246," ",Master!B4-1)</f>
        <v>Jan - Sep 2023</v>
      </c>
      <c r="L8" s="585" t="str">
        <f>+I8</f>
        <v>Odstupanje</v>
      </c>
      <c r="M8" s="586"/>
      <c r="N8" s="487" t="str">
        <f>+G8</f>
        <v>Ostvarenje</v>
      </c>
      <c r="O8" s="130" t="str">
        <f>+H8</f>
        <v>Plan</v>
      </c>
      <c r="P8" s="585" t="str">
        <f>+I8</f>
        <v>Odstupanje</v>
      </c>
      <c r="Q8" s="585"/>
      <c r="R8" s="130" t="str">
        <f>+CONCATENATE(Master!G245," ",Master!B4-1)</f>
        <v>Septembar 2023</v>
      </c>
      <c r="S8" s="585" t="str">
        <f>+P8</f>
        <v>Odstupanje</v>
      </c>
      <c r="T8" s="586"/>
    </row>
    <row r="9" spans="1:25" ht="15.75" thickBot="1">
      <c r="A9" s="129"/>
      <c r="B9" s="592"/>
      <c r="C9" s="593"/>
      <c r="D9" s="593"/>
      <c r="E9" s="593"/>
      <c r="F9" s="594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67" t="str">
        <f>+VLOOKUP($A10,Master!$D$30:$G$226,4,FALSE)</f>
        <v>Prihodi budžeta</v>
      </c>
      <c r="C10" s="568"/>
      <c r="D10" s="568"/>
      <c r="E10" s="568"/>
      <c r="F10" s="568"/>
      <c r="G10" s="136">
        <f>'2024'!S10</f>
        <v>2073660216.1800003</v>
      </c>
      <c r="H10" s="136">
        <f>SUM('2024'!G86:O86)</f>
        <v>2048022365.3476017</v>
      </c>
      <c r="I10" s="137">
        <f>+G10-H10</f>
        <v>25637850.832398653</v>
      </c>
      <c r="J10" s="139">
        <f>IF(+IF(ISERROR(G10/H10),"…",G10/H10-1)&gt;200%,"...",IF(ISERROR(G10/H10),"…",G10/H10-1))</f>
        <v>1.2518345144169052E-2</v>
      </c>
      <c r="K10" s="136">
        <f>SUM('2023'!G10:O10)</f>
        <v>1903749651.21</v>
      </c>
      <c r="L10" s="137">
        <f>+G10-K10</f>
        <v>169910564.97000027</v>
      </c>
      <c r="M10" s="141">
        <f>IF(+IF(ISERROR(G10/K10),"…",G10/K10-1)&gt;200%,"...",IF(ISERROR(G10/K10),"…",G10/K10-1))</f>
        <v>8.9250477268377759E-2</v>
      </c>
      <c r="N10" s="136">
        <f>'2024'!O10</f>
        <v>247903192.50999999</v>
      </c>
      <c r="O10" s="136">
        <f>'2024'!O86</f>
        <v>222707674.54760152</v>
      </c>
      <c r="P10" s="137">
        <f>+N10-O10</f>
        <v>25195517.962398469</v>
      </c>
      <c r="Q10" s="139">
        <f>IF(+IF(ISERROR(N10/O10),"…",N10/O10-1)&gt;200%,"...",IF(ISERROR(N10/O10),"…",N10/O10-1))</f>
        <v>0.11313268846068958</v>
      </c>
      <c r="R10" s="136">
        <f>'2023'!O10</f>
        <v>215896743.77000004</v>
      </c>
      <c r="S10" s="137">
        <f>+N10-R10</f>
        <v>32006448.73999995</v>
      </c>
      <c r="T10" s="141">
        <f>IF(+IF(ISERROR(N10/R10),"…",N10/R10-1)&gt;200%,"...",IF(ISERROR(N10/R10),"…",N10/R10-1))</f>
        <v>0.148248872035315</v>
      </c>
      <c r="W10" s="470"/>
      <c r="Y10" s="470"/>
    </row>
    <row r="11" spans="1:25">
      <c r="A11" s="135">
        <v>711</v>
      </c>
      <c r="B11" s="557" t="str">
        <f>+VLOOKUP($A11,Master!$D$30:$G$226,4,FALSE)</f>
        <v>Porezi</v>
      </c>
      <c r="C11" s="558"/>
      <c r="D11" s="558"/>
      <c r="E11" s="558"/>
      <c r="F11" s="558"/>
      <c r="G11" s="262">
        <f>'2024'!S11</f>
        <v>1498040166.4399998</v>
      </c>
      <c r="H11" s="262">
        <f>SUM('2024'!G87:O87)</f>
        <v>1487056017.5556016</v>
      </c>
      <c r="I11" s="143">
        <f t="shared" ref="I11:I57" si="0">+G11-H11</f>
        <v>10984148.884398222</v>
      </c>
      <c r="J11" s="145">
        <f t="shared" ref="J11:J66" si="1">IF(+IF(ISERROR(G11/H11-1),"…",G11/H11-1)&gt;200%,"...",IF(ISERROR(G11/H11-1),"…",G11/H11-1))</f>
        <v>7.3865064629197175E-3</v>
      </c>
      <c r="K11" s="262">
        <f>SUM('2023'!G11:O11)</f>
        <v>1265692081.1599998</v>
      </c>
      <c r="L11" s="143">
        <f>+G11-K11</f>
        <v>232348085.27999997</v>
      </c>
      <c r="M11" s="147">
        <f t="shared" ref="M11:M66" si="2">IF(+IF(ISERROR(G11/K11),"…",G11/K11-1)&gt;200%,"...",IF(ISERROR(G11/K11),"…",G11/K11-1))</f>
        <v>0.18357394246083469</v>
      </c>
      <c r="N11" s="262">
        <f>'2024'!O11</f>
        <v>174666714.85999998</v>
      </c>
      <c r="O11" s="262">
        <f>'2024'!O87</f>
        <v>163682565.97560155</v>
      </c>
      <c r="P11" s="143">
        <f>+N11-O11</f>
        <v>10984148.884398431</v>
      </c>
      <c r="Q11" s="145">
        <f t="shared" ref="Q11:Q66" si="3">IF(+IF(ISERROR(N11/O11),"…",N11/O11-1)&gt;200%,"...",IF(ISERROR(N11/O11),"…",N11/O11-1))</f>
        <v>6.7106406958672205E-2</v>
      </c>
      <c r="R11" s="262">
        <f>'2023'!O11</f>
        <v>156517964.88000003</v>
      </c>
      <c r="S11" s="143">
        <f t="shared" ref="S11:S57" si="4">+N11-R11</f>
        <v>18148749.979999959</v>
      </c>
      <c r="T11" s="147">
        <f t="shared" ref="T11:T66" si="5">IF(+IF(ISERROR(N11/R11),"…",N11/R11-1)&gt;200%,"...",IF(ISERROR(N11/R11),"…",N11/R11-1))</f>
        <v>0.11595314310350457</v>
      </c>
      <c r="W11" s="470"/>
      <c r="Y11" s="470"/>
    </row>
    <row r="12" spans="1:25">
      <c r="A12" s="135">
        <v>7111</v>
      </c>
      <c r="B12" s="559" t="str">
        <f>+VLOOKUP($A12,Master!$D$30:$G$226,4,FALSE)</f>
        <v>Porez na dohodak fizičkih lica</v>
      </c>
      <c r="C12" s="560"/>
      <c r="D12" s="560"/>
      <c r="E12" s="560"/>
      <c r="F12" s="560"/>
      <c r="G12" s="148">
        <f>'2024'!S12</f>
        <v>59509539.709999993</v>
      </c>
      <c r="H12" s="148">
        <f>SUM('2024'!G88:O88)</f>
        <v>58537424.172448367</v>
      </c>
      <c r="I12" s="149">
        <f t="shared" si="0"/>
        <v>972115.53755162656</v>
      </c>
      <c r="J12" s="151">
        <f t="shared" si="1"/>
        <v>1.6606735798415428E-2</v>
      </c>
      <c r="K12" s="148">
        <f>SUM('2023'!G12:O12)</f>
        <v>43323096.549999997</v>
      </c>
      <c r="L12" s="149">
        <f>+G12-K12</f>
        <v>16186443.159999996</v>
      </c>
      <c r="M12" s="153">
        <f t="shared" si="2"/>
        <v>0.37362156560805659</v>
      </c>
      <c r="N12" s="148">
        <f>'2024'!O12</f>
        <v>6129815.1900000004</v>
      </c>
      <c r="O12" s="148">
        <f>'2024'!O88</f>
        <v>5157699.6524483655</v>
      </c>
      <c r="P12" s="149">
        <f t="shared" ref="P12:P57" si="6">+N12-O12</f>
        <v>972115.53755163494</v>
      </c>
      <c r="Q12" s="151">
        <f t="shared" si="3"/>
        <v>0.18847850845486325</v>
      </c>
      <c r="R12" s="148">
        <f>'2023'!O12</f>
        <v>5893920.4299999997</v>
      </c>
      <c r="S12" s="149">
        <f t="shared" si="4"/>
        <v>235894.76000000071</v>
      </c>
      <c r="T12" s="153">
        <f t="shared" si="5"/>
        <v>4.0023404252167882E-2</v>
      </c>
      <c r="W12" s="470"/>
      <c r="Y12" s="470"/>
    </row>
    <row r="13" spans="1:25">
      <c r="A13" s="135">
        <v>7112</v>
      </c>
      <c r="B13" s="559" t="str">
        <f>+VLOOKUP($A13,Master!$D$30:$G$226,4,FALSE)</f>
        <v>Porez na dobit pravnih lica</v>
      </c>
      <c r="C13" s="560"/>
      <c r="D13" s="560"/>
      <c r="E13" s="560"/>
      <c r="F13" s="560"/>
      <c r="G13" s="148">
        <f>'2024'!S13</f>
        <v>204339140.29999998</v>
      </c>
      <c r="H13" s="148">
        <f>SUM('2024'!G89:O89)</f>
        <v>201980632.47999999</v>
      </c>
      <c r="I13" s="149">
        <f t="shared" si="0"/>
        <v>2358507.8199999928</v>
      </c>
      <c r="J13" s="151">
        <f t="shared" si="1"/>
        <v>1.1676900854509009E-2</v>
      </c>
      <c r="K13" s="148">
        <f>SUM('2023'!G13:O13)</f>
        <v>140991927.87</v>
      </c>
      <c r="L13" s="149">
        <f t="shared" ref="L13:L57" si="7">+G13-K13</f>
        <v>63347212.429999977</v>
      </c>
      <c r="M13" s="153">
        <f t="shared" si="2"/>
        <v>0.44929673199737041</v>
      </c>
      <c r="N13" s="148">
        <f>'2024'!O13</f>
        <v>3451625.7499999995</v>
      </c>
      <c r="O13" s="148">
        <f>'2024'!O89</f>
        <v>1093117.9300000034</v>
      </c>
      <c r="P13" s="149">
        <f t="shared" si="6"/>
        <v>2358507.8199999961</v>
      </c>
      <c r="Q13" s="151" t="str">
        <f t="shared" si="3"/>
        <v>...</v>
      </c>
      <c r="R13" s="148">
        <f>'2023'!O13</f>
        <v>1866160.69</v>
      </c>
      <c r="S13" s="149">
        <f t="shared" si="4"/>
        <v>1585465.0599999996</v>
      </c>
      <c r="T13" s="153">
        <f t="shared" si="5"/>
        <v>0.84958657016829542</v>
      </c>
      <c r="W13" s="470"/>
      <c r="Y13" s="470"/>
    </row>
    <row r="14" spans="1:25">
      <c r="A14" s="135">
        <v>7113</v>
      </c>
      <c r="B14" s="559" t="str">
        <f>+VLOOKUP($A14,Master!$D$30:$G$226,4,FALSE)</f>
        <v>Porez na promet nepokretnosti</v>
      </c>
      <c r="C14" s="560"/>
      <c r="D14" s="560"/>
      <c r="E14" s="560"/>
      <c r="F14" s="560"/>
      <c r="G14" s="148">
        <f>'2024'!S14</f>
        <v>0</v>
      </c>
      <c r="H14" s="148">
        <f>SUM('2024'!G90:O90)</f>
        <v>0</v>
      </c>
      <c r="I14" s="149">
        <f t="shared" si="0"/>
        <v>0</v>
      </c>
      <c r="J14" s="151" t="str">
        <f t="shared" si="1"/>
        <v>...</v>
      </c>
      <c r="K14" s="148">
        <f>SUM('2023'!G14:O14)</f>
        <v>0</v>
      </c>
      <c r="L14" s="149">
        <f t="shared" si="7"/>
        <v>0</v>
      </c>
      <c r="M14" s="153" t="str">
        <f t="shared" si="2"/>
        <v>...</v>
      </c>
      <c r="N14" s="148">
        <f>'2024'!O14</f>
        <v>0</v>
      </c>
      <c r="O14" s="148">
        <f>'2024'!O90</f>
        <v>0</v>
      </c>
      <c r="P14" s="149">
        <f t="shared" si="6"/>
        <v>0</v>
      </c>
      <c r="Q14" s="151" t="str">
        <f t="shared" si="3"/>
        <v>...</v>
      </c>
      <c r="R14" s="148">
        <f>'2023'!O14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59" t="str">
        <f>+VLOOKUP($A15,Master!$D$30:$G$226,4,FALSE)</f>
        <v>Porez na dodatu vrijednost</v>
      </c>
      <c r="C15" s="560"/>
      <c r="D15" s="560"/>
      <c r="E15" s="560"/>
      <c r="F15" s="560"/>
      <c r="G15" s="148">
        <f>'2024'!S15</f>
        <v>901559862.32000005</v>
      </c>
      <c r="H15" s="148">
        <f>SUM('2024'!G91:O91)</f>
        <v>897670432.91000009</v>
      </c>
      <c r="I15" s="149">
        <f t="shared" si="0"/>
        <v>3889429.4099999666</v>
      </c>
      <c r="J15" s="151">
        <f t="shared" si="1"/>
        <v>4.3328032955163298E-3</v>
      </c>
      <c r="K15" s="148">
        <f>SUM('2023'!G15:O15)</f>
        <v>789993007.68000007</v>
      </c>
      <c r="L15" s="149">
        <f t="shared" si="7"/>
        <v>111566854.63999999</v>
      </c>
      <c r="M15" s="153">
        <f t="shared" si="2"/>
        <v>0.1412251166217815</v>
      </c>
      <c r="N15" s="148">
        <f>'2024'!O15</f>
        <v>119699878.62</v>
      </c>
      <c r="O15" s="148">
        <f>'2024'!O91</f>
        <v>115810449.20999999</v>
      </c>
      <c r="P15" s="149">
        <f t="shared" si="6"/>
        <v>3889429.4100000113</v>
      </c>
      <c r="Q15" s="151">
        <f t="shared" si="3"/>
        <v>3.3584442824734051E-2</v>
      </c>
      <c r="R15" s="148">
        <f>'2023'!O15</f>
        <v>109706758.48999999</v>
      </c>
      <c r="S15" s="149">
        <f t="shared" si="4"/>
        <v>9993120.1300000101</v>
      </c>
      <c r="T15" s="153">
        <f t="shared" si="5"/>
        <v>9.1089375600418521E-2</v>
      </c>
      <c r="W15" s="470"/>
      <c r="Y15" s="470"/>
    </row>
    <row r="16" spans="1:25">
      <c r="A16" s="135">
        <v>7115</v>
      </c>
      <c r="B16" s="559" t="str">
        <f>+VLOOKUP($A16,Master!$D$30:$G$226,4,FALSE)</f>
        <v>Akcize</v>
      </c>
      <c r="C16" s="560"/>
      <c r="D16" s="560"/>
      <c r="E16" s="560"/>
      <c r="F16" s="560"/>
      <c r="G16" s="148">
        <f>'2024'!S16</f>
        <v>276915291.2899999</v>
      </c>
      <c r="H16" s="148">
        <f>SUM('2024'!G92:O92)</f>
        <v>273509667.29315323</v>
      </c>
      <c r="I16" s="149">
        <f t="shared" si="0"/>
        <v>3405623.9968466759</v>
      </c>
      <c r="J16" s="151">
        <f t="shared" si="1"/>
        <v>1.2451567180608913E-2</v>
      </c>
      <c r="K16" s="148">
        <f>SUM('2023'!G16:O16)</f>
        <v>242217273.80999997</v>
      </c>
      <c r="L16" s="149">
        <f t="shared" si="7"/>
        <v>34698017.47999993</v>
      </c>
      <c r="M16" s="153">
        <f t="shared" si="2"/>
        <v>0.14325162253794388</v>
      </c>
      <c r="N16" s="148">
        <f>'2024'!O16</f>
        <v>38641287.919999979</v>
      </c>
      <c r="O16" s="148">
        <f>'2024'!O92</f>
        <v>35235663.923153207</v>
      </c>
      <c r="P16" s="149">
        <f t="shared" si="6"/>
        <v>3405623.9968467727</v>
      </c>
      <c r="Q16" s="151">
        <f t="shared" si="3"/>
        <v>9.6652755125438361E-2</v>
      </c>
      <c r="R16" s="148">
        <f>'2023'!O16</f>
        <v>33046282.23</v>
      </c>
      <c r="S16" s="149">
        <f t="shared" si="4"/>
        <v>5595005.689999979</v>
      </c>
      <c r="T16" s="153">
        <f t="shared" si="5"/>
        <v>0.16930817364141304</v>
      </c>
      <c r="W16" s="470"/>
      <c r="Y16" s="470"/>
    </row>
    <row r="17" spans="1:25">
      <c r="A17" s="135">
        <v>7116</v>
      </c>
      <c r="B17" s="559" t="str">
        <f>+VLOOKUP($A17,Master!$D$30:$G$226,4,FALSE)</f>
        <v>Porez na međunarodnu trgovinu i transakcije</v>
      </c>
      <c r="C17" s="560"/>
      <c r="D17" s="560"/>
      <c r="E17" s="560"/>
      <c r="F17" s="560"/>
      <c r="G17" s="148">
        <f>'2024'!S17</f>
        <v>44689346.829999998</v>
      </c>
      <c r="H17" s="148">
        <f>SUM('2024'!G93:O93)</f>
        <v>44357827.739999995</v>
      </c>
      <c r="I17" s="149">
        <f t="shared" si="0"/>
        <v>331519.09000000358</v>
      </c>
      <c r="J17" s="151">
        <f t="shared" si="1"/>
        <v>7.4737449259953959E-3</v>
      </c>
      <c r="K17" s="148">
        <f>SUM('2023'!G17:O17)</f>
        <v>39032159.130000003</v>
      </c>
      <c r="L17" s="149">
        <f t="shared" si="7"/>
        <v>5657187.6999999955</v>
      </c>
      <c r="M17" s="153">
        <f t="shared" si="2"/>
        <v>0.14493658117036867</v>
      </c>
      <c r="N17" s="148">
        <f>'2024'!O17</f>
        <v>5498962.25</v>
      </c>
      <c r="O17" s="148">
        <f>'2024'!O93</f>
        <v>5167443.16</v>
      </c>
      <c r="P17" s="149" t="s">
        <v>92</v>
      </c>
      <c r="Q17" s="151">
        <f>IF(+IF(ISERROR(N17/O17),"…",N17/O17-1)&gt;200%,"...",IF(ISERROR(N17/O17),"…",N17/O17-1))</f>
        <v>6.4155343316828928E-2</v>
      </c>
      <c r="R17" s="148">
        <f>'2023'!O17</f>
        <v>4643119.99</v>
      </c>
      <c r="S17" s="149">
        <f t="shared" si="4"/>
        <v>855842.25999999978</v>
      </c>
      <c r="T17" s="153">
        <f t="shared" si="5"/>
        <v>0.18432482077638479</v>
      </c>
      <c r="W17" s="470"/>
      <c r="Y17" s="470"/>
    </row>
    <row r="18" spans="1:25">
      <c r="A18" s="135">
        <v>7118</v>
      </c>
      <c r="B18" s="559" t="str">
        <f>+VLOOKUP($A18,Master!$D$30:$G$226,4,FALSE)</f>
        <v>Ostali državni porezi</v>
      </c>
      <c r="C18" s="560"/>
      <c r="D18" s="560"/>
      <c r="E18" s="560"/>
      <c r="F18" s="560"/>
      <c r="G18" s="148">
        <f>'2024'!S18</f>
        <v>11026985.989999998</v>
      </c>
      <c r="H18" s="148">
        <f>SUM('2024'!G94:O94)</f>
        <v>11000032.959999999</v>
      </c>
      <c r="I18" s="149">
        <f t="shared" si="0"/>
        <v>26953.029999999329</v>
      </c>
      <c r="J18" s="151">
        <f t="shared" si="1"/>
        <v>2.4502681126510328E-3</v>
      </c>
      <c r="K18" s="148">
        <f>SUM('2023'!G18:O18)</f>
        <v>10134616.120000001</v>
      </c>
      <c r="L18" s="149">
        <f t="shared" si="7"/>
        <v>892369.86999999732</v>
      </c>
      <c r="M18" s="153">
        <f t="shared" si="2"/>
        <v>8.8051669588053105E-2</v>
      </c>
      <c r="N18" s="148">
        <f>'2024'!O18</f>
        <v>1245145.1299999999</v>
      </c>
      <c r="O18" s="148">
        <f>'2024'!O94</f>
        <v>1218192.1000000001</v>
      </c>
      <c r="P18" s="149">
        <f t="shared" si="6"/>
        <v>26953.029999999795</v>
      </c>
      <c r="Q18" s="151">
        <f t="shared" si="3"/>
        <v>2.2125434896515639E-2</v>
      </c>
      <c r="R18" s="148">
        <f>'2023'!O18</f>
        <v>1361723.05</v>
      </c>
      <c r="S18" s="149">
        <f t="shared" si="4"/>
        <v>-116577.92000000016</v>
      </c>
      <c r="T18" s="153">
        <f t="shared" si="5"/>
        <v>-8.5610594606590595E-2</v>
      </c>
      <c r="W18" s="470"/>
      <c r="Y18" s="470"/>
    </row>
    <row r="19" spans="1:25">
      <c r="A19" s="135">
        <v>712</v>
      </c>
      <c r="B19" s="561" t="str">
        <f>+VLOOKUP($A19,Master!$D$30:$G$226,4,FALSE)</f>
        <v>Doprinosi</v>
      </c>
      <c r="C19" s="562"/>
      <c r="D19" s="562"/>
      <c r="E19" s="562"/>
      <c r="F19" s="562"/>
      <c r="G19" s="154">
        <f>'2024'!S19</f>
        <v>430168424.7900002</v>
      </c>
      <c r="H19" s="154">
        <f>SUM('2024'!G95:O95)</f>
        <v>422936293.29000002</v>
      </c>
      <c r="I19" s="155">
        <f t="shared" si="0"/>
        <v>7232131.5000001788</v>
      </c>
      <c r="J19" s="157">
        <f t="shared" si="1"/>
        <v>1.7099812938118353E-2</v>
      </c>
      <c r="K19" s="154">
        <f>SUM('2023'!G19:O19)</f>
        <v>387750993.43000001</v>
      </c>
      <c r="L19" s="155">
        <f t="shared" si="7"/>
        <v>42417431.360000193</v>
      </c>
      <c r="M19" s="159">
        <f t="shared" si="2"/>
        <v>0.10939348210247135</v>
      </c>
      <c r="N19" s="154">
        <f>'2024'!O19</f>
        <v>54697462.290000021</v>
      </c>
      <c r="O19" s="154">
        <f>'2024'!O95</f>
        <v>47755833.769999966</v>
      </c>
      <c r="P19" s="155">
        <f t="shared" si="6"/>
        <v>6941628.5200000554</v>
      </c>
      <c r="Q19" s="157">
        <f t="shared" si="3"/>
        <v>0.14535666057956598</v>
      </c>
      <c r="R19" s="154">
        <f>'2023'!O19</f>
        <v>48149305.770000003</v>
      </c>
      <c r="S19" s="155">
        <f t="shared" si="4"/>
        <v>6548156.5200000182</v>
      </c>
      <c r="T19" s="159">
        <f t="shared" si="5"/>
        <v>0.1359969041148652</v>
      </c>
      <c r="W19" s="470"/>
      <c r="Y19" s="470"/>
    </row>
    <row r="20" spans="1:25">
      <c r="A20" s="135">
        <v>7121</v>
      </c>
      <c r="B20" s="559" t="str">
        <f>+VLOOKUP($A20,Master!$D$30:$G$226,4,FALSE)</f>
        <v>Doprinosi za penzijsko i invalidsko osiguranje</v>
      </c>
      <c r="C20" s="560"/>
      <c r="D20" s="560"/>
      <c r="E20" s="560"/>
      <c r="F20" s="560"/>
      <c r="G20" s="148">
        <f>'2024'!S20</f>
        <v>394493209.2300002</v>
      </c>
      <c r="H20" s="148">
        <f>SUM('2024'!G96:O96)</f>
        <v>388125869.17999995</v>
      </c>
      <c r="I20" s="149">
        <f t="shared" si="0"/>
        <v>6367340.0500002503</v>
      </c>
      <c r="J20" s="151">
        <f t="shared" si="1"/>
        <v>1.6405348253268004E-2</v>
      </c>
      <c r="K20" s="148">
        <f>SUM('2023'!G20:O20)</f>
        <v>354614891.85000002</v>
      </c>
      <c r="L20" s="149">
        <f t="shared" si="7"/>
        <v>39878317.380000174</v>
      </c>
      <c r="M20" s="153">
        <f t="shared" si="2"/>
        <v>0.11245528119802839</v>
      </c>
      <c r="N20" s="148">
        <f>'2024'!O20</f>
        <v>50178879.670000024</v>
      </c>
      <c r="O20" s="148">
        <f>'2024'!O96</f>
        <v>43811539.619999968</v>
      </c>
      <c r="P20" s="149">
        <f t="shared" si="6"/>
        <v>6367340.0500000566</v>
      </c>
      <c r="Q20" s="151">
        <f t="shared" si="3"/>
        <v>0.14533477036477782</v>
      </c>
      <c r="R20" s="148">
        <f>'2023'!O20</f>
        <v>43602487.670000002</v>
      </c>
      <c r="S20" s="149">
        <f t="shared" si="4"/>
        <v>6576392.0000000224</v>
      </c>
      <c r="T20" s="153">
        <f t="shared" si="5"/>
        <v>0.15082607326840214</v>
      </c>
      <c r="W20" s="470"/>
      <c r="Y20" s="470"/>
    </row>
    <row r="21" spans="1:25">
      <c r="A21" s="135">
        <v>7122</v>
      </c>
      <c r="B21" s="559" t="str">
        <f>+VLOOKUP($A21,Master!$D$30:$G$226,4,FALSE)</f>
        <v>Doprinosi za zdravstveno osiguranje</v>
      </c>
      <c r="C21" s="560"/>
      <c r="D21" s="560"/>
      <c r="E21" s="560"/>
      <c r="F21" s="560"/>
      <c r="G21" s="148">
        <f>'2024'!S21</f>
        <v>3671378.62</v>
      </c>
      <c r="H21" s="148">
        <f>SUM('2024'!G97:O97)</f>
        <v>3000000</v>
      </c>
      <c r="I21" s="149">
        <f t="shared" si="0"/>
        <v>671378.62000000011</v>
      </c>
      <c r="J21" s="151">
        <f t="shared" si="1"/>
        <v>0.22379287333333342</v>
      </c>
      <c r="K21" s="148">
        <f>SUM('2023'!G21:O21)</f>
        <v>5008781.8699999992</v>
      </c>
      <c r="L21" s="149">
        <f t="shared" si="7"/>
        <v>-1337403.2499999991</v>
      </c>
      <c r="M21" s="153">
        <f t="shared" si="2"/>
        <v>-0.26701167763171119</v>
      </c>
      <c r="N21" s="148">
        <f>'2024'!O21</f>
        <v>380875.6399999999</v>
      </c>
      <c r="O21" s="148">
        <f>'2024'!O97</f>
        <v>0</v>
      </c>
      <c r="P21" s="149">
        <f t="shared" si="6"/>
        <v>380875.6399999999</v>
      </c>
      <c r="Q21" s="151" t="str">
        <f t="shared" si="3"/>
        <v>...</v>
      </c>
      <c r="R21" s="148">
        <f>'2023'!O21</f>
        <v>1028891.14</v>
      </c>
      <c r="S21" s="149">
        <f t="shared" si="4"/>
        <v>-648015.50000000012</v>
      </c>
      <c r="T21" s="153">
        <f t="shared" si="5"/>
        <v>-0.62981930236079209</v>
      </c>
      <c r="W21" s="470"/>
      <c r="Y21" s="470"/>
    </row>
    <row r="22" spans="1:25">
      <c r="A22" s="135">
        <v>7123</v>
      </c>
      <c r="B22" s="559" t="str">
        <f>+VLOOKUP($A22,Master!$D$30:$G$226,4,FALSE)</f>
        <v>Doprinosi za osiguranje od nezaposlenosti</v>
      </c>
      <c r="C22" s="560"/>
      <c r="D22" s="560"/>
      <c r="E22" s="560"/>
      <c r="F22" s="560"/>
      <c r="G22" s="148">
        <f>'2024'!S22</f>
        <v>18537804.940000001</v>
      </c>
      <c r="H22" s="148">
        <f>SUM('2024'!G98:O98)</f>
        <v>18426783.16</v>
      </c>
      <c r="I22" s="149">
        <f t="shared" si="0"/>
        <v>111021.78000000119</v>
      </c>
      <c r="J22" s="151">
        <f t="shared" si="1"/>
        <v>6.0250223295079675E-3</v>
      </c>
      <c r="K22" s="148">
        <f>SUM('2023'!G22:O22)</f>
        <v>16215994.219999999</v>
      </c>
      <c r="L22" s="149">
        <f t="shared" si="7"/>
        <v>2321810.7200000025</v>
      </c>
      <c r="M22" s="153">
        <f t="shared" si="2"/>
        <v>0.14318028783806525</v>
      </c>
      <c r="N22" s="148">
        <f>'2024'!O22</f>
        <v>2372941.4300000011</v>
      </c>
      <c r="O22" s="148">
        <f>'2024'!O98</f>
        <v>2261919.65</v>
      </c>
      <c r="P22" s="149">
        <f t="shared" si="6"/>
        <v>111021.78000000119</v>
      </c>
      <c r="Q22" s="151">
        <f t="shared" si="3"/>
        <v>4.9082990193750398E-2</v>
      </c>
      <c r="R22" s="148">
        <f>'2023'!O22</f>
        <v>2051057.28</v>
      </c>
      <c r="S22" s="149">
        <f t="shared" si="4"/>
        <v>321884.15000000107</v>
      </c>
      <c r="T22" s="153">
        <f t="shared" si="5"/>
        <v>0.15693571951340202</v>
      </c>
      <c r="W22" s="470"/>
      <c r="Y22" s="470"/>
    </row>
    <row r="23" spans="1:25">
      <c r="A23" s="135">
        <v>7124</v>
      </c>
      <c r="B23" s="559" t="str">
        <f>+VLOOKUP($A23,Master!$D$30:$G$226,4,FALSE)</f>
        <v>Ostali doprinosi</v>
      </c>
      <c r="C23" s="560"/>
      <c r="D23" s="560"/>
      <c r="E23" s="560"/>
      <c r="F23" s="560"/>
      <c r="G23" s="148">
        <f>'2024'!S23</f>
        <v>13466032.000000002</v>
      </c>
      <c r="H23" s="148">
        <f>SUM('2024'!G99:O99)</f>
        <v>13383640.949999999</v>
      </c>
      <c r="I23" s="149">
        <f t="shared" si="0"/>
        <v>82391.050000002608</v>
      </c>
      <c r="J23" s="151">
        <f t="shared" si="1"/>
        <v>6.1561013410182941E-3</v>
      </c>
      <c r="K23" s="148">
        <f>SUM('2023'!G23:O23)</f>
        <v>11911325.489999998</v>
      </c>
      <c r="L23" s="149">
        <f t="shared" si="7"/>
        <v>1554706.5100000035</v>
      </c>
      <c r="M23" s="153">
        <f t="shared" si="2"/>
        <v>0.1305233839260993</v>
      </c>
      <c r="N23" s="148">
        <f>'2024'!O23</f>
        <v>1764765.55</v>
      </c>
      <c r="O23" s="148">
        <f>'2024'!O99</f>
        <v>1682374.5</v>
      </c>
      <c r="P23" s="149">
        <f t="shared" si="6"/>
        <v>82391.050000000047</v>
      </c>
      <c r="Q23" s="151">
        <f t="shared" si="3"/>
        <v>4.8973073474425588E-2</v>
      </c>
      <c r="R23" s="148">
        <f>'2023'!O23</f>
        <v>1466869.68</v>
      </c>
      <c r="S23" s="149">
        <f t="shared" si="4"/>
        <v>297895.87000000011</v>
      </c>
      <c r="T23" s="153">
        <f t="shared" si="5"/>
        <v>0.20308271011505274</v>
      </c>
      <c r="W23" s="470"/>
      <c r="Y23" s="470"/>
    </row>
    <row r="24" spans="1:25">
      <c r="A24" s="135">
        <v>713</v>
      </c>
      <c r="B24" s="561" t="str">
        <f>+VLOOKUP($A24,Master!$D$30:$G$226,4,FALSE)</f>
        <v>Takse</v>
      </c>
      <c r="C24" s="562"/>
      <c r="D24" s="562"/>
      <c r="E24" s="562"/>
      <c r="F24" s="562"/>
      <c r="G24" s="160">
        <f>'2024'!S24</f>
        <v>11988149.149999997</v>
      </c>
      <c r="H24" s="160">
        <f>SUM('2024'!G100:O100)</f>
        <v>11710346.022000002</v>
      </c>
      <c r="I24" s="161">
        <f t="shared" si="0"/>
        <v>277803.1279999949</v>
      </c>
      <c r="J24" s="163">
        <f t="shared" si="1"/>
        <v>2.3722879535591046E-2</v>
      </c>
      <c r="K24" s="160">
        <f>SUM('2023'!G24:O24)</f>
        <v>11526189.85</v>
      </c>
      <c r="L24" s="161">
        <f t="shared" si="7"/>
        <v>461959.29999999702</v>
      </c>
      <c r="M24" s="165">
        <f t="shared" si="2"/>
        <v>4.0079098645073641E-2</v>
      </c>
      <c r="N24" s="160">
        <f>'2024'!O24</f>
        <v>1481341.5399999996</v>
      </c>
      <c r="O24" s="160">
        <f>'2024'!O100</f>
        <v>1276524.3220000002</v>
      </c>
      <c r="P24" s="161">
        <f t="shared" si="6"/>
        <v>204817.21799999941</v>
      </c>
      <c r="Q24" s="163">
        <f t="shared" si="3"/>
        <v>0.16044913087053536</v>
      </c>
      <c r="R24" s="160">
        <f>'2023'!O24</f>
        <v>1532937.43</v>
      </c>
      <c r="S24" s="161">
        <f t="shared" si="4"/>
        <v>-51595.890000000363</v>
      </c>
      <c r="T24" s="165">
        <f t="shared" si="5"/>
        <v>-3.3658183948186537E-2</v>
      </c>
      <c r="W24" s="470"/>
      <c r="Y24" s="470"/>
    </row>
    <row r="25" spans="1:25">
      <c r="A25" s="135">
        <v>714</v>
      </c>
      <c r="B25" s="561" t="str">
        <f>+VLOOKUP($A25,Master!$D$30:$G$226,4,FALSE)</f>
        <v>Naknade</v>
      </c>
      <c r="C25" s="562"/>
      <c r="D25" s="562"/>
      <c r="E25" s="562"/>
      <c r="F25" s="562"/>
      <c r="G25" s="160">
        <f>'2024'!S25</f>
        <v>37810502.590000011</v>
      </c>
      <c r="H25" s="160">
        <f>SUM('2024'!G101:O101)</f>
        <v>37223023.709999993</v>
      </c>
      <c r="I25" s="161">
        <f t="shared" si="0"/>
        <v>587478.88000001758</v>
      </c>
      <c r="J25" s="163">
        <f t="shared" si="1"/>
        <v>1.5782674846003708E-2</v>
      </c>
      <c r="K25" s="160">
        <f>SUM('2023'!G25:O25)</f>
        <v>42436587.470000006</v>
      </c>
      <c r="L25" s="161">
        <f t="shared" si="7"/>
        <v>-4626084.8799999952</v>
      </c>
      <c r="M25" s="165">
        <f t="shared" si="2"/>
        <v>-0.10901170795767556</v>
      </c>
      <c r="N25" s="160">
        <f>'2024'!O25</f>
        <v>4184422.2199999993</v>
      </c>
      <c r="O25" s="160">
        <f>'2024'!O101</f>
        <v>3596943.34</v>
      </c>
      <c r="P25" s="161">
        <f t="shared" si="6"/>
        <v>587478.87999999942</v>
      </c>
      <c r="Q25" s="163">
        <f t="shared" si="3"/>
        <v>0.16332725441263118</v>
      </c>
      <c r="R25" s="160">
        <f>'2023'!O25</f>
        <v>3252285.31</v>
      </c>
      <c r="S25" s="161">
        <f t="shared" si="4"/>
        <v>932136.90999999922</v>
      </c>
      <c r="T25" s="165">
        <f t="shared" si="5"/>
        <v>0.28660982083395359</v>
      </c>
      <c r="W25" s="470"/>
      <c r="Y25" s="470"/>
    </row>
    <row r="26" spans="1:25">
      <c r="A26" s="135">
        <v>715</v>
      </c>
      <c r="B26" s="561" t="str">
        <f>+VLOOKUP($A26,Master!$D$30:$G$226,4,FALSE)</f>
        <v>Ostali prihodi</v>
      </c>
      <c r="C26" s="562"/>
      <c r="D26" s="562"/>
      <c r="E26" s="562"/>
      <c r="F26" s="562"/>
      <c r="G26" s="160">
        <f>'2024'!S26</f>
        <v>72235687.060000002</v>
      </c>
      <c r="H26" s="160">
        <f>SUM('2024'!G102:O102)</f>
        <v>66701151.530000001</v>
      </c>
      <c r="I26" s="161">
        <f t="shared" si="0"/>
        <v>5534535.5300000012</v>
      </c>
      <c r="J26" s="163">
        <f t="shared" si="1"/>
        <v>8.2975112168951703E-2</v>
      </c>
      <c r="K26" s="160">
        <f>SUM('2023'!G26:O26)</f>
        <v>143109516.73999998</v>
      </c>
      <c r="L26" s="161">
        <f t="shared" si="7"/>
        <v>-70873829.679999977</v>
      </c>
      <c r="M26" s="165">
        <f t="shared" si="2"/>
        <v>-0.49524190490254316</v>
      </c>
      <c r="N26" s="160">
        <f>'2024'!O26</f>
        <v>9688784.2400000021</v>
      </c>
      <c r="O26" s="160">
        <f>'2024'!O102</f>
        <v>4235278.4899999993</v>
      </c>
      <c r="P26" s="161">
        <f t="shared" si="6"/>
        <v>5453505.7500000028</v>
      </c>
      <c r="Q26" s="163">
        <f t="shared" si="3"/>
        <v>1.2876380532889122</v>
      </c>
      <c r="R26" s="160">
        <f>'2023'!O26</f>
        <v>2202381.48</v>
      </c>
      <c r="S26" s="161">
        <f t="shared" si="4"/>
        <v>7486402.7600000016</v>
      </c>
      <c r="T26" s="165" t="str">
        <f t="shared" si="5"/>
        <v>...</v>
      </c>
      <c r="W26" s="470"/>
      <c r="Y26" s="470"/>
    </row>
    <row r="27" spans="1:25">
      <c r="A27" s="135">
        <v>73</v>
      </c>
      <c r="B27" s="561" t="str">
        <f>+VLOOKUP($A27,Master!$D$30:$G$226,4,FALSE)</f>
        <v>Primici od otplate kredita i sredstva prenesena iz prethodne godine</v>
      </c>
      <c r="C27" s="562"/>
      <c r="D27" s="562"/>
      <c r="E27" s="562"/>
      <c r="F27" s="562"/>
      <c r="G27" s="160">
        <f>'2024'!S27</f>
        <v>0</v>
      </c>
      <c r="H27" s="160">
        <f>SUM('2024'!G103:O103)</f>
        <v>0</v>
      </c>
      <c r="I27" s="161">
        <f t="shared" si="0"/>
        <v>0</v>
      </c>
      <c r="J27" s="163" t="str">
        <f t="shared" si="1"/>
        <v>...</v>
      </c>
      <c r="K27" s="160">
        <f>SUM('2023'!G27:O27)</f>
        <v>0</v>
      </c>
      <c r="L27" s="161">
        <f t="shared" si="7"/>
        <v>0</v>
      </c>
      <c r="M27" s="165" t="str">
        <f t="shared" si="2"/>
        <v>...</v>
      </c>
      <c r="N27" s="160">
        <f>'2024'!O27</f>
        <v>0</v>
      </c>
      <c r="O27" s="160">
        <f>'2024'!O103</f>
        <v>0</v>
      </c>
      <c r="P27" s="161">
        <f t="shared" si="6"/>
        <v>0</v>
      </c>
      <c r="Q27" s="163" t="str">
        <f t="shared" si="3"/>
        <v>...</v>
      </c>
      <c r="R27" s="160">
        <f>'2023'!O27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565" t="str">
        <f>+VLOOKUP($A28,Master!$D$30:$G$226,4,FALSE)</f>
        <v>Donacije i transferi</v>
      </c>
      <c r="C28" s="566"/>
      <c r="D28" s="566"/>
      <c r="E28" s="566"/>
      <c r="F28" s="566"/>
      <c r="G28" s="160">
        <f>'2024'!S28</f>
        <v>23417286.149999995</v>
      </c>
      <c r="H28" s="160">
        <f>SUM('2024'!G104:O104)</f>
        <v>22395533.239999998</v>
      </c>
      <c r="I28" s="161">
        <f t="shared" si="0"/>
        <v>1021752.9099999964</v>
      </c>
      <c r="J28" s="163">
        <f t="shared" si="1"/>
        <v>4.5623066843305748E-2</v>
      </c>
      <c r="K28" s="160">
        <f>SUM('2023'!G28:O28)</f>
        <v>53234282.560000002</v>
      </c>
      <c r="L28" s="161">
        <f t="shared" si="7"/>
        <v>-29816996.410000008</v>
      </c>
      <c r="M28" s="165">
        <f t="shared" si="2"/>
        <v>-0.56010891809039542</v>
      </c>
      <c r="N28" s="160">
        <f>'2024'!O28</f>
        <v>3184467.36</v>
      </c>
      <c r="O28" s="160">
        <f>'2024'!O104</f>
        <v>2160528.65</v>
      </c>
      <c r="P28" s="161">
        <f t="shared" si="6"/>
        <v>1023938.71</v>
      </c>
      <c r="Q28" s="163">
        <f t="shared" si="3"/>
        <v>0.47392970697241155</v>
      </c>
      <c r="R28" s="160">
        <f>'2023'!O28</f>
        <v>4241868.9000000004</v>
      </c>
      <c r="S28" s="161">
        <f t="shared" si="4"/>
        <v>-1057401.5400000005</v>
      </c>
      <c r="T28" s="165">
        <f t="shared" si="5"/>
        <v>-0.24927727964435686</v>
      </c>
      <c r="W28" s="470"/>
      <c r="Y28" s="470"/>
    </row>
    <row r="29" spans="1:25" ht="15.75" thickBot="1">
      <c r="A29" s="135">
        <v>4</v>
      </c>
      <c r="B29" s="567" t="str">
        <f>+VLOOKUP($A29,Master!$D$30:$G$226,4,FALSE)</f>
        <v>Izdaci budžeta</v>
      </c>
      <c r="C29" s="568"/>
      <c r="D29" s="568"/>
      <c r="E29" s="568"/>
      <c r="F29" s="568"/>
      <c r="G29" s="136">
        <f>'2024'!S29</f>
        <v>1988663716.04</v>
      </c>
      <c r="H29" s="136">
        <f>SUM('2024'!G105:O105)</f>
        <v>2079580932.5899997</v>
      </c>
      <c r="I29" s="137">
        <f t="shared" si="0"/>
        <v>-90917216.549999714</v>
      </c>
      <c r="J29" s="139">
        <f t="shared" si="1"/>
        <v>-4.3719008539267357E-2</v>
      </c>
      <c r="K29" s="136">
        <f>SUM('2023'!G29:O29)</f>
        <v>1727084811.8299999</v>
      </c>
      <c r="L29" s="137">
        <f t="shared" si="7"/>
        <v>261578904.21000004</v>
      </c>
      <c r="M29" s="141">
        <f t="shared" si="2"/>
        <v>0.15145689569977394</v>
      </c>
      <c r="N29" s="136">
        <f>'2024'!O29</f>
        <v>254470194.15999997</v>
      </c>
      <c r="O29" s="136">
        <f>'2024'!O105</f>
        <v>324683120.88</v>
      </c>
      <c r="P29" s="137">
        <f t="shared" si="6"/>
        <v>-70212926.720000029</v>
      </c>
      <c r="Q29" s="139">
        <f t="shared" si="3"/>
        <v>-0.21625062162054953</v>
      </c>
      <c r="R29" s="136">
        <f>'2023'!O29</f>
        <v>231561744.96999997</v>
      </c>
      <c r="S29" s="137">
        <f t="shared" si="4"/>
        <v>22908449.189999998</v>
      </c>
      <c r="T29" s="141">
        <f t="shared" si="5"/>
        <v>9.893019761518862E-2</v>
      </c>
      <c r="W29" s="470"/>
      <c r="Y29" s="470"/>
    </row>
    <row r="30" spans="1:25">
      <c r="A30" s="135">
        <v>41</v>
      </c>
      <c r="B30" s="571" t="str">
        <f>+VLOOKUP($A30,Master!$D$30:$G$226,4,FALSE)</f>
        <v>Tekući izdaci</v>
      </c>
      <c r="C30" s="572"/>
      <c r="D30" s="572"/>
      <c r="E30" s="572"/>
      <c r="F30" s="572"/>
      <c r="G30" s="294">
        <f>'2024'!S30</f>
        <v>790213966.24000001</v>
      </c>
      <c r="H30" s="294">
        <f>SUM('2024'!G106:O106)</f>
        <v>847418862.67999995</v>
      </c>
      <c r="I30" s="173">
        <f t="shared" si="0"/>
        <v>-57204896.439999938</v>
      </c>
      <c r="J30" s="175">
        <f t="shared" si="1"/>
        <v>-6.7504865609300801E-2</v>
      </c>
      <c r="K30" s="294">
        <f>SUM('2023'!G30:O30)</f>
        <v>733980977.7299999</v>
      </c>
      <c r="L30" s="173">
        <f t="shared" si="7"/>
        <v>56232988.51000011</v>
      </c>
      <c r="M30" s="177">
        <f t="shared" si="2"/>
        <v>7.661368647987743E-2</v>
      </c>
      <c r="N30" s="294">
        <f>'2024'!O30</f>
        <v>109971103.67000002</v>
      </c>
      <c r="O30" s="294">
        <f>'2024'!O106</f>
        <v>136034959.76000002</v>
      </c>
      <c r="P30" s="173">
        <f t="shared" si="6"/>
        <v>-26063856.090000004</v>
      </c>
      <c r="Q30" s="175">
        <f t="shared" si="3"/>
        <v>-0.19159674936489279</v>
      </c>
      <c r="R30" s="294">
        <f>'2023'!O30</f>
        <v>97193476.169999987</v>
      </c>
      <c r="S30" s="173">
        <f t="shared" si="4"/>
        <v>12777627.50000003</v>
      </c>
      <c r="T30" s="177">
        <f t="shared" si="5"/>
        <v>0.13146589671976372</v>
      </c>
      <c r="W30" s="470"/>
      <c r="Y30" s="470"/>
    </row>
    <row r="31" spans="1:25">
      <c r="A31" s="135">
        <v>411</v>
      </c>
      <c r="B31" s="559" t="str">
        <f>+VLOOKUP($A31,Master!$D$30:$G$226,4,FALSE)</f>
        <v>Bruto zarade i doprinosi na teret poslodavca</v>
      </c>
      <c r="C31" s="560"/>
      <c r="D31" s="560"/>
      <c r="E31" s="560"/>
      <c r="F31" s="560"/>
      <c r="G31" s="148">
        <f>'2024'!S31</f>
        <v>503974395.19000006</v>
      </c>
      <c r="H31" s="148">
        <f>SUM('2024'!G107:O107)</f>
        <v>510131892.11999989</v>
      </c>
      <c r="I31" s="149">
        <f t="shared" si="0"/>
        <v>-6157496.9299998283</v>
      </c>
      <c r="J31" s="151">
        <f t="shared" si="1"/>
        <v>-1.2070401841395517E-2</v>
      </c>
      <c r="K31" s="148">
        <f>SUM('2023'!G31:O31)</f>
        <v>473496952.43000007</v>
      </c>
      <c r="L31" s="149">
        <f t="shared" si="7"/>
        <v>30477442.75999999</v>
      </c>
      <c r="M31" s="153">
        <f t="shared" si="2"/>
        <v>6.4366713668565056E-2</v>
      </c>
      <c r="N31" s="148">
        <f>'2024'!O31</f>
        <v>57429583.850000039</v>
      </c>
      <c r="O31" s="148">
        <f>'2024'!O107</f>
        <v>62806361.320000015</v>
      </c>
      <c r="P31" s="149">
        <f>+N31-O31</f>
        <v>-5376777.4699999765</v>
      </c>
      <c r="Q31" s="151">
        <f>IF(+IF(ISERROR(N31/O31),"…",N31/O31-1)&gt;200%,"...",IF(ISERROR(N31/O31),"…",N31/O31-1))</f>
        <v>-8.5608803901330299E-2</v>
      </c>
      <c r="R31" s="148">
        <f>'2023'!O31</f>
        <v>52967490.280000001</v>
      </c>
      <c r="S31" s="149">
        <f t="shared" si="4"/>
        <v>4462093.5700000376</v>
      </c>
      <c r="T31" s="153">
        <f t="shared" si="5"/>
        <v>8.4242118069258076E-2</v>
      </c>
      <c r="W31" s="470"/>
      <c r="Y31" s="470"/>
    </row>
    <row r="32" spans="1:25">
      <c r="A32" s="135">
        <v>412</v>
      </c>
      <c r="B32" s="559" t="str">
        <f>+VLOOKUP($A32,Master!$D$30:$G$226,4,FALSE)</f>
        <v>Ostala lična primanja</v>
      </c>
      <c r="C32" s="560"/>
      <c r="D32" s="560"/>
      <c r="E32" s="560"/>
      <c r="F32" s="560"/>
      <c r="G32" s="148">
        <f>'2024'!S32</f>
        <v>13531114.979999999</v>
      </c>
      <c r="H32" s="148">
        <f>SUM('2024'!G108:O108)</f>
        <v>15161198.540000003</v>
      </c>
      <c r="I32" s="149">
        <f t="shared" si="0"/>
        <v>-1630083.5600000042</v>
      </c>
      <c r="J32" s="151">
        <f t="shared" si="1"/>
        <v>-0.10751680058138757</v>
      </c>
      <c r="K32" s="148">
        <f>SUM('2023'!G32:O32)</f>
        <v>12269018.379999997</v>
      </c>
      <c r="L32" s="149">
        <f t="shared" si="7"/>
        <v>1262096.6000000015</v>
      </c>
      <c r="M32" s="153">
        <f t="shared" si="2"/>
        <v>0.10286858825294232</v>
      </c>
      <c r="N32" s="148">
        <f>'2024'!O32</f>
        <v>1536869.6700000002</v>
      </c>
      <c r="O32" s="148">
        <f>'2024'!O108</f>
        <v>2615345.4199999995</v>
      </c>
      <c r="P32" s="149">
        <f t="shared" si="6"/>
        <v>-1078475.7499999993</v>
      </c>
      <c r="Q32" s="151">
        <f t="shared" si="3"/>
        <v>-0.41236455488927326</v>
      </c>
      <c r="R32" s="148">
        <f>'2023'!O32</f>
        <v>1491031.94</v>
      </c>
      <c r="S32" s="149">
        <f t="shared" si="4"/>
        <v>45837.730000000214</v>
      </c>
      <c r="T32" s="153">
        <f t="shared" si="5"/>
        <v>3.0742285775581912E-2</v>
      </c>
      <c r="W32" s="470"/>
      <c r="Y32" s="470"/>
    </row>
    <row r="33" spans="1:25">
      <c r="A33" s="135">
        <v>413</v>
      </c>
      <c r="B33" s="559" t="str">
        <f>+VLOOKUP($A33,Master!$D$30:$G$226,4,FALSE)</f>
        <v>Rashodi za materijal</v>
      </c>
      <c r="C33" s="560"/>
      <c r="D33" s="560"/>
      <c r="E33" s="560"/>
      <c r="F33" s="560"/>
      <c r="G33" s="148">
        <f>'2024'!S33</f>
        <v>24392733.470000003</v>
      </c>
      <c r="H33" s="148">
        <f>SUM('2024'!G109:O109)</f>
        <v>34846049.209999993</v>
      </c>
      <c r="I33" s="149">
        <f t="shared" si="0"/>
        <v>-10453315.739999991</v>
      </c>
      <c r="J33" s="151">
        <f t="shared" si="1"/>
        <v>-0.29998567920865293</v>
      </c>
      <c r="K33" s="148">
        <f>SUM('2023'!G33:O33)</f>
        <v>28131246.280000001</v>
      </c>
      <c r="L33" s="149">
        <f t="shared" si="7"/>
        <v>-3738512.8099999987</v>
      </c>
      <c r="M33" s="153">
        <f t="shared" si="2"/>
        <v>-0.1328953851809227</v>
      </c>
      <c r="N33" s="148">
        <f>'2024'!O33</f>
        <v>4498026.6500000013</v>
      </c>
      <c r="O33" s="148">
        <f>'2024'!O109</f>
        <v>5879314.1699999981</v>
      </c>
      <c r="P33" s="149">
        <f t="shared" si="6"/>
        <v>-1381287.5199999968</v>
      </c>
      <c r="Q33" s="151">
        <f t="shared" si="3"/>
        <v>-0.23494024644034239</v>
      </c>
      <c r="R33" s="148">
        <f>'2023'!O33</f>
        <v>2712249.46</v>
      </c>
      <c r="S33" s="149">
        <f t="shared" si="4"/>
        <v>1785777.1900000013</v>
      </c>
      <c r="T33" s="153">
        <f t="shared" si="5"/>
        <v>0.65841185198355667</v>
      </c>
      <c r="W33" s="470"/>
      <c r="Y33" s="470"/>
    </row>
    <row r="34" spans="1:25">
      <c r="A34" s="135">
        <v>414</v>
      </c>
      <c r="B34" s="559" t="str">
        <f>+VLOOKUP($A34,Master!$D$30:$G$226,4,FALSE)</f>
        <v>Rashodi za usluge</v>
      </c>
      <c r="C34" s="560"/>
      <c r="D34" s="560"/>
      <c r="E34" s="560"/>
      <c r="F34" s="560"/>
      <c r="G34" s="148">
        <f>'2024'!S34</f>
        <v>41384113.829999998</v>
      </c>
      <c r="H34" s="148">
        <f>SUM('2024'!G110:O110)</f>
        <v>49196737.090000004</v>
      </c>
      <c r="I34" s="149">
        <f t="shared" si="0"/>
        <v>-7812623.2600000054</v>
      </c>
      <c r="J34" s="151">
        <f t="shared" si="1"/>
        <v>-0.15880368744186579</v>
      </c>
      <c r="K34" s="148">
        <f>SUM('2023'!G34:O34)</f>
        <v>43467811.719999999</v>
      </c>
      <c r="L34" s="149">
        <f t="shared" si="7"/>
        <v>-2083697.8900000006</v>
      </c>
      <c r="M34" s="153">
        <f t="shared" si="2"/>
        <v>-4.7936572087461937E-2</v>
      </c>
      <c r="N34" s="148">
        <f>'2024'!O34</f>
        <v>4402077.8900000006</v>
      </c>
      <c r="O34" s="148">
        <f>'2024'!O110</f>
        <v>11163601.780000005</v>
      </c>
      <c r="P34" s="149">
        <f t="shared" si="6"/>
        <v>-6761523.8900000043</v>
      </c>
      <c r="Q34" s="151">
        <f t="shared" si="3"/>
        <v>-0.60567584040067768</v>
      </c>
      <c r="R34" s="148">
        <f>'2023'!O34</f>
        <v>5416254.2699999996</v>
      </c>
      <c r="S34" s="149">
        <f t="shared" si="4"/>
        <v>-1014176.379999999</v>
      </c>
      <c r="T34" s="153">
        <f t="shared" si="5"/>
        <v>-0.18724681845485058</v>
      </c>
      <c r="W34" s="470"/>
      <c r="Y34" s="470"/>
    </row>
    <row r="35" spans="1:25">
      <c r="A35" s="135">
        <v>415</v>
      </c>
      <c r="B35" s="559" t="str">
        <f>+VLOOKUP($A35,Master!$D$30:$G$226,4,FALSE)</f>
        <v>Rashodi za tekuće održavanje</v>
      </c>
      <c r="C35" s="560"/>
      <c r="D35" s="560"/>
      <c r="E35" s="560"/>
      <c r="F35" s="560"/>
      <c r="G35" s="148">
        <f>'2024'!S35</f>
        <v>20812225.350000001</v>
      </c>
      <c r="H35" s="148">
        <f>SUM('2024'!G111:O111)</f>
        <v>25075515.549999997</v>
      </c>
      <c r="I35" s="149">
        <f t="shared" si="0"/>
        <v>-4263290.1999999955</v>
      </c>
      <c r="J35" s="151">
        <f t="shared" si="1"/>
        <v>-0.17001804774458551</v>
      </c>
      <c r="K35" s="148">
        <f>SUM('2023'!G35:O35)</f>
        <v>16351956.210000001</v>
      </c>
      <c r="L35" s="149">
        <f t="shared" si="7"/>
        <v>4460269.1400000006</v>
      </c>
      <c r="M35" s="153">
        <f t="shared" si="2"/>
        <v>0.27276670037021833</v>
      </c>
      <c r="N35" s="148">
        <f>'2024'!O35</f>
        <v>4062574.1599999997</v>
      </c>
      <c r="O35" s="148">
        <f>'2024'!O111</f>
        <v>4707282.669999999</v>
      </c>
      <c r="P35" s="149">
        <f t="shared" si="6"/>
        <v>-644708.50999999931</v>
      </c>
      <c r="Q35" s="151">
        <f t="shared" si="3"/>
        <v>-0.13695980360576043</v>
      </c>
      <c r="R35" s="148">
        <f>'2023'!O35</f>
        <v>2849519.48</v>
      </c>
      <c r="S35" s="149">
        <f t="shared" si="4"/>
        <v>1213054.6799999997</v>
      </c>
      <c r="T35" s="153">
        <f t="shared" si="5"/>
        <v>0.42570499640872783</v>
      </c>
      <c r="W35" s="470"/>
      <c r="Y35" s="470"/>
    </row>
    <row r="36" spans="1:25">
      <c r="A36" s="135">
        <v>416</v>
      </c>
      <c r="B36" s="559" t="str">
        <f>+VLOOKUP($A36,Master!$D$30:$G$226,4,FALSE)</f>
        <v>Kamate</v>
      </c>
      <c r="C36" s="560"/>
      <c r="D36" s="560"/>
      <c r="E36" s="560"/>
      <c r="F36" s="560"/>
      <c r="G36" s="148">
        <f>'2024'!S36</f>
        <v>94109263.75999999</v>
      </c>
      <c r="H36" s="148">
        <f>SUM('2024'!G112:O112)</f>
        <v>94598555.610000014</v>
      </c>
      <c r="I36" s="149">
        <f t="shared" si="0"/>
        <v>-489291.85000002384</v>
      </c>
      <c r="J36" s="151">
        <f t="shared" si="1"/>
        <v>-5.1722972601951911E-3</v>
      </c>
      <c r="K36" s="148">
        <f>SUM('2023'!G36:O36)</f>
        <v>79440248.75</v>
      </c>
      <c r="L36" s="149">
        <f t="shared" si="7"/>
        <v>14669015.00999999</v>
      </c>
      <c r="M36" s="153">
        <f t="shared" si="2"/>
        <v>0.18465469633867415</v>
      </c>
      <c r="N36" s="148">
        <f>'2024'!O36</f>
        <v>25966444.500000004</v>
      </c>
      <c r="O36" s="148">
        <f>'2024'!O112</f>
        <v>25791430.839999996</v>
      </c>
      <c r="P36" s="149">
        <f t="shared" si="6"/>
        <v>175013.6600000076</v>
      </c>
      <c r="Q36" s="151">
        <f t="shared" si="3"/>
        <v>6.7857289921495756E-3</v>
      </c>
      <c r="R36" s="148">
        <f>'2023'!O36</f>
        <v>19220007.579999998</v>
      </c>
      <c r="S36" s="149">
        <f t="shared" si="4"/>
        <v>6746436.9200000055</v>
      </c>
      <c r="T36" s="153">
        <f t="shared" si="5"/>
        <v>0.3510111477281741</v>
      </c>
      <c r="W36" s="470"/>
      <c r="Y36" s="470"/>
    </row>
    <row r="37" spans="1:25">
      <c r="A37" s="135">
        <v>417</v>
      </c>
      <c r="B37" s="559" t="str">
        <f>+VLOOKUP($A37,Master!$D$30:$G$226,4,FALSE)</f>
        <v>Renta</v>
      </c>
      <c r="C37" s="560"/>
      <c r="D37" s="560"/>
      <c r="E37" s="560"/>
      <c r="F37" s="560"/>
      <c r="G37" s="148">
        <f>'2024'!S37</f>
        <v>8063092.5600000015</v>
      </c>
      <c r="H37" s="148">
        <f>SUM('2024'!G113:O113)</f>
        <v>10303655.640000001</v>
      </c>
      <c r="I37" s="149">
        <f t="shared" si="0"/>
        <v>-2240563.0799999991</v>
      </c>
      <c r="J37" s="151">
        <f t="shared" si="1"/>
        <v>-0.21745321838026788</v>
      </c>
      <c r="K37" s="148">
        <f>SUM('2023'!G37:O37)</f>
        <v>7233534.6100000013</v>
      </c>
      <c r="L37" s="149">
        <f t="shared" si="7"/>
        <v>829557.95000000019</v>
      </c>
      <c r="M37" s="153">
        <f t="shared" si="2"/>
        <v>0.11468223969692182</v>
      </c>
      <c r="N37" s="148">
        <f>'2024'!O37</f>
        <v>582375.03000000014</v>
      </c>
      <c r="O37" s="148">
        <f>'2024'!O113</f>
        <v>1256374.8099999996</v>
      </c>
      <c r="P37" s="149">
        <f t="shared" si="6"/>
        <v>-673999.77999999945</v>
      </c>
      <c r="Q37" s="151">
        <f t="shared" si="3"/>
        <v>-0.53646393945131687</v>
      </c>
      <c r="R37" s="148">
        <f>'2023'!O37</f>
        <v>592418.56999999995</v>
      </c>
      <c r="S37" s="149">
        <f t="shared" si="4"/>
        <v>-10043.539999999804</v>
      </c>
      <c r="T37" s="153">
        <f t="shared" si="5"/>
        <v>-1.6953452353797416E-2</v>
      </c>
      <c r="W37" s="470"/>
      <c r="Y37" s="470"/>
    </row>
    <row r="38" spans="1:25">
      <c r="A38" s="135">
        <v>418</v>
      </c>
      <c r="B38" s="559" t="str">
        <f>+VLOOKUP($A38,Master!$D$30:$G$226,4,FALSE)</f>
        <v>Subvencije</v>
      </c>
      <c r="C38" s="560"/>
      <c r="D38" s="560"/>
      <c r="E38" s="560"/>
      <c r="F38" s="560"/>
      <c r="G38" s="148">
        <f>'2024'!S38</f>
        <v>44889147.799999967</v>
      </c>
      <c r="H38" s="148">
        <f>SUM('2024'!G114:O114)</f>
        <v>52521573.910000011</v>
      </c>
      <c r="I38" s="149">
        <f t="shared" si="0"/>
        <v>-7632426.1100000441</v>
      </c>
      <c r="J38" s="151">
        <f t="shared" si="1"/>
        <v>-0.14531982844000124</v>
      </c>
      <c r="K38" s="148">
        <f>SUM('2023'!G38:O38)</f>
        <v>40012368.609999999</v>
      </c>
      <c r="L38" s="149">
        <f t="shared" si="7"/>
        <v>4876779.1899999678</v>
      </c>
      <c r="M38" s="153">
        <f t="shared" si="2"/>
        <v>0.12188179204120275</v>
      </c>
      <c r="N38" s="148">
        <f>'2024'!O38</f>
        <v>8420721.0699999966</v>
      </c>
      <c r="O38" s="148">
        <f>'2024'!O114</f>
        <v>9829142.0100000016</v>
      </c>
      <c r="P38" s="149">
        <f t="shared" si="6"/>
        <v>-1408420.9400000051</v>
      </c>
      <c r="Q38" s="151">
        <f t="shared" si="3"/>
        <v>-0.14329032366885142</v>
      </c>
      <c r="R38" s="148">
        <f>'2023'!O38</f>
        <v>8105489.0900000008</v>
      </c>
      <c r="S38" s="149">
        <f t="shared" si="4"/>
        <v>315231.97999999579</v>
      </c>
      <c r="T38" s="153">
        <f t="shared" si="5"/>
        <v>3.8891173191375694E-2</v>
      </c>
      <c r="W38" s="470"/>
      <c r="Y38" s="470"/>
    </row>
    <row r="39" spans="1:25">
      <c r="A39" s="135">
        <v>419</v>
      </c>
      <c r="B39" s="559" t="str">
        <f>+VLOOKUP($A39,Master!$D$30:$G$226,4,FALSE)</f>
        <v>Ostali izdaci</v>
      </c>
      <c r="C39" s="560"/>
      <c r="D39" s="560"/>
      <c r="E39" s="560"/>
      <c r="F39" s="560"/>
      <c r="G39" s="148">
        <f>'2024'!S39</f>
        <v>39057879.299999997</v>
      </c>
      <c r="H39" s="148">
        <f>SUM('2024'!G115:O115)</f>
        <v>55583685.010000005</v>
      </c>
      <c r="I39" s="149">
        <f t="shared" si="0"/>
        <v>-16525805.710000008</v>
      </c>
      <c r="J39" s="151">
        <f t="shared" si="1"/>
        <v>-0.29731396374721952</v>
      </c>
      <c r="K39" s="148">
        <f>SUM('2023'!G39:O39)</f>
        <v>33577840.739999995</v>
      </c>
      <c r="L39" s="149">
        <f t="shared" si="7"/>
        <v>5480038.5600000024</v>
      </c>
      <c r="M39" s="153">
        <f t="shared" si="2"/>
        <v>0.16320401905628912</v>
      </c>
      <c r="N39" s="148">
        <f>'2024'!O39</f>
        <v>3072430.8499999996</v>
      </c>
      <c r="O39" s="148">
        <f>'2024'!O115</f>
        <v>11986106.740000006</v>
      </c>
      <c r="P39" s="149">
        <f t="shared" si="6"/>
        <v>-8913675.8900000062</v>
      </c>
      <c r="Q39" s="151">
        <f t="shared" si="3"/>
        <v>-0.74366732112048606</v>
      </c>
      <c r="R39" s="148">
        <f>'2023'!O39</f>
        <v>3839015.5</v>
      </c>
      <c r="S39" s="149">
        <f t="shared" si="4"/>
        <v>-766584.65000000037</v>
      </c>
      <c r="T39" s="153">
        <f t="shared" si="5"/>
        <v>-0.19968261394099618</v>
      </c>
      <c r="W39" s="470"/>
      <c r="Y39" s="470"/>
    </row>
    <row r="40" spans="1:25">
      <c r="A40" s="135">
        <v>42</v>
      </c>
      <c r="B40" s="575" t="str">
        <f>+VLOOKUP($A40,Master!$D$30:$G$226,4,FALSE)</f>
        <v>Transferi za socijalnu zaštitu</v>
      </c>
      <c r="C40" s="576"/>
      <c r="D40" s="576"/>
      <c r="E40" s="576"/>
      <c r="F40" s="576"/>
      <c r="G40" s="178">
        <f>'2024'!S40</f>
        <v>740124644.76999986</v>
      </c>
      <c r="H40" s="178">
        <f>SUM('2024'!G116:O116)</f>
        <v>746924806.73000002</v>
      </c>
      <c r="I40" s="179">
        <f t="shared" si="0"/>
        <v>-6800161.9600001574</v>
      </c>
      <c r="J40" s="181">
        <f t="shared" si="1"/>
        <v>-9.104212229569586E-3</v>
      </c>
      <c r="K40" s="178">
        <f>SUM('2023'!G40:O40)</f>
        <v>598782276.91999996</v>
      </c>
      <c r="L40" s="179">
        <f t="shared" si="7"/>
        <v>141342367.8499999</v>
      </c>
      <c r="M40" s="183">
        <f t="shared" si="2"/>
        <v>0.23604968499908341</v>
      </c>
      <c r="N40" s="178">
        <f>'2024'!O40</f>
        <v>83190255.849999979</v>
      </c>
      <c r="O40" s="178">
        <f>'2024'!O116</f>
        <v>87439444.099999994</v>
      </c>
      <c r="P40" s="179">
        <f t="shared" si="6"/>
        <v>-4249188.2500000149</v>
      </c>
      <c r="Q40" s="181">
        <f t="shared" si="3"/>
        <v>-4.8595782987142955E-2</v>
      </c>
      <c r="R40" s="178">
        <f>'2023'!O40</f>
        <v>69024963.099999994</v>
      </c>
      <c r="S40" s="179">
        <f t="shared" si="4"/>
        <v>14165292.749999985</v>
      </c>
      <c r="T40" s="183">
        <f t="shared" si="5"/>
        <v>0.20521985255505326</v>
      </c>
      <c r="W40" s="470"/>
      <c r="Y40" s="470"/>
    </row>
    <row r="41" spans="1:25">
      <c r="A41" s="135">
        <v>421</v>
      </c>
      <c r="B41" s="559" t="str">
        <f>+VLOOKUP($A41,Master!$D$30:$G$226,4,FALSE)</f>
        <v>Prava iz oblasti socijalne zaštite</v>
      </c>
      <c r="C41" s="560"/>
      <c r="D41" s="560"/>
      <c r="E41" s="560"/>
      <c r="F41" s="560"/>
      <c r="G41" s="148">
        <f>'2024'!S41</f>
        <v>156007087.56999999</v>
      </c>
      <c r="H41" s="148">
        <f>SUM('2024'!G117:O117)</f>
        <v>157841235.99000001</v>
      </c>
      <c r="I41" s="149">
        <f t="shared" si="0"/>
        <v>-1834148.4200000167</v>
      </c>
      <c r="J41" s="151">
        <f t="shared" si="1"/>
        <v>-1.1620210704104128E-2</v>
      </c>
      <c r="K41" s="148">
        <f>SUM('2023'!G41:O41)</f>
        <v>154754788.06999999</v>
      </c>
      <c r="L41" s="149">
        <f t="shared" si="7"/>
        <v>1252299.5</v>
      </c>
      <c r="M41" s="153">
        <f t="shared" si="2"/>
        <v>8.0921535005014089E-3</v>
      </c>
      <c r="N41" s="148">
        <f>'2024'!O41</f>
        <v>16239772.940000001</v>
      </c>
      <c r="O41" s="148">
        <f>'2024'!O117</f>
        <v>18073921.359999999</v>
      </c>
      <c r="P41" s="149">
        <f t="shared" si="6"/>
        <v>-1834148.4199999981</v>
      </c>
      <c r="Q41" s="151">
        <f t="shared" si="3"/>
        <v>-0.10148038068037701</v>
      </c>
      <c r="R41" s="148">
        <f>'2023'!O41</f>
        <v>17224133.52</v>
      </c>
      <c r="S41" s="149">
        <f t="shared" si="4"/>
        <v>-984360.57999999821</v>
      </c>
      <c r="T41" s="153">
        <f t="shared" si="5"/>
        <v>-5.7150078339615606E-2</v>
      </c>
      <c r="W41" s="470"/>
      <c r="Y41" s="470"/>
    </row>
    <row r="42" spans="1:25">
      <c r="A42" s="135">
        <v>422</v>
      </c>
      <c r="B42" s="559" t="str">
        <f>+VLOOKUP($A42,Master!$D$30:$G$226,4,FALSE)</f>
        <v>Sredstva za tehnološke viškove</v>
      </c>
      <c r="C42" s="560"/>
      <c r="D42" s="560"/>
      <c r="E42" s="560"/>
      <c r="F42" s="560"/>
      <c r="G42" s="148">
        <f>'2024'!S42</f>
        <v>15247403.85</v>
      </c>
      <c r="H42" s="148">
        <f>SUM('2024'!G118:O118)</f>
        <v>15483295.550000001</v>
      </c>
      <c r="I42" s="149">
        <f t="shared" si="0"/>
        <v>-235891.70000000112</v>
      </c>
      <c r="J42" s="151">
        <f t="shared" si="1"/>
        <v>-1.5235238469629375E-2</v>
      </c>
      <c r="K42" s="148">
        <f>SUM('2023'!G42:O42)</f>
        <v>16452951.379999999</v>
      </c>
      <c r="L42" s="149">
        <f t="shared" si="7"/>
        <v>-1205547.5299999993</v>
      </c>
      <c r="M42" s="153">
        <f t="shared" si="2"/>
        <v>-7.3272417948396007E-2</v>
      </c>
      <c r="N42" s="148">
        <f>'2024'!O42</f>
        <v>1914382.2699999998</v>
      </c>
      <c r="O42" s="148">
        <f>'2024'!O118</f>
        <v>2013882.0499999998</v>
      </c>
      <c r="P42" s="149">
        <f t="shared" si="6"/>
        <v>-99499.780000000028</v>
      </c>
      <c r="Q42" s="151">
        <f t="shared" si="3"/>
        <v>-4.940695508954962E-2</v>
      </c>
      <c r="R42" s="148">
        <f>'2023'!O42</f>
        <v>1966211.21</v>
      </c>
      <c r="S42" s="149">
        <f t="shared" si="4"/>
        <v>-51828.940000000177</v>
      </c>
      <c r="T42" s="153">
        <f t="shared" si="5"/>
        <v>-2.635980292269835E-2</v>
      </c>
      <c r="W42" s="470"/>
      <c r="Y42" s="470"/>
    </row>
    <row r="43" spans="1:25">
      <c r="A43" s="135">
        <v>423</v>
      </c>
      <c r="B43" s="559" t="str">
        <f>+VLOOKUP($A43,Master!$D$30:$G$226,4,FALSE)</f>
        <v>Prava iz oblasti penzijskog i invalidskog osiguranja</v>
      </c>
      <c r="C43" s="560"/>
      <c r="D43" s="560"/>
      <c r="E43" s="560"/>
      <c r="F43" s="560"/>
      <c r="G43" s="148">
        <f>'2024'!S43</f>
        <v>541208348.95999992</v>
      </c>
      <c r="H43" s="148">
        <f>SUM('2024'!G119:O119)</f>
        <v>544198275.18999994</v>
      </c>
      <c r="I43" s="149">
        <f t="shared" si="0"/>
        <v>-2989926.2300000191</v>
      </c>
      <c r="J43" s="151">
        <f t="shared" si="1"/>
        <v>-5.4941854215839747E-3</v>
      </c>
      <c r="K43" s="148">
        <f>SUM('2023'!G43:O43)</f>
        <v>404744496.39999992</v>
      </c>
      <c r="L43" s="149">
        <f t="shared" si="7"/>
        <v>136463852.56</v>
      </c>
      <c r="M43" s="153">
        <f t="shared" si="2"/>
        <v>0.33716048957744404</v>
      </c>
      <c r="N43" s="148">
        <f>'2024'!O43</f>
        <v>62041259.769999973</v>
      </c>
      <c r="O43" s="148">
        <f>'2024'!O119</f>
        <v>64325640.68999999</v>
      </c>
      <c r="P43" s="149">
        <f t="shared" si="6"/>
        <v>-2284380.9200000167</v>
      </c>
      <c r="Q43" s="151">
        <f t="shared" si="3"/>
        <v>-3.5512758139619183E-2</v>
      </c>
      <c r="R43" s="148">
        <f>'2023'!O43</f>
        <v>47134576.520000003</v>
      </c>
      <c r="S43" s="149">
        <f t="shared" si="4"/>
        <v>14906683.24999997</v>
      </c>
      <c r="T43" s="153">
        <f t="shared" si="5"/>
        <v>0.31625792253962026</v>
      </c>
      <c r="W43" s="470"/>
      <c r="Y43" s="470"/>
    </row>
    <row r="44" spans="1:25">
      <c r="A44" s="135">
        <v>424</v>
      </c>
      <c r="B44" s="559" t="str">
        <f>+VLOOKUP($A44,Master!$D$30:$G$226,4,FALSE)</f>
        <v>Ostala prava iz oblasti zdravstvene zaštite</v>
      </c>
      <c r="C44" s="560"/>
      <c r="D44" s="560"/>
      <c r="E44" s="560"/>
      <c r="F44" s="560"/>
      <c r="G44" s="148">
        <f>'2024'!S44</f>
        <v>16078016.950000001</v>
      </c>
      <c r="H44" s="148">
        <f>SUM('2024'!G120:O120)</f>
        <v>17042000</v>
      </c>
      <c r="I44" s="149">
        <f t="shared" si="0"/>
        <v>-963983.04999999888</v>
      </c>
      <c r="J44" s="151">
        <f t="shared" si="1"/>
        <v>-5.6565136134256511E-2</v>
      </c>
      <c r="K44" s="148">
        <f>SUM('2023'!G44:O44)</f>
        <v>13718075.59</v>
      </c>
      <c r="L44" s="149">
        <f t="shared" si="7"/>
        <v>2359941.3600000013</v>
      </c>
      <c r="M44" s="153">
        <f t="shared" si="2"/>
        <v>0.1720315174323952</v>
      </c>
      <c r="N44" s="148">
        <f>'2024'!O44</f>
        <v>1236357.7200000002</v>
      </c>
      <c r="O44" s="148">
        <f>'2024'!O120</f>
        <v>1506000</v>
      </c>
      <c r="P44" s="149">
        <f t="shared" si="6"/>
        <v>-269642.2799999998</v>
      </c>
      <c r="Q44" s="151">
        <f t="shared" si="3"/>
        <v>-0.17904533864541816</v>
      </c>
      <c r="R44" s="148">
        <f>'2023'!O44</f>
        <v>996710.96</v>
      </c>
      <c r="S44" s="149">
        <f t="shared" si="4"/>
        <v>239646.76000000024</v>
      </c>
      <c r="T44" s="153">
        <f t="shared" si="5"/>
        <v>0.24043756878122435</v>
      </c>
      <c r="W44" s="470"/>
      <c r="Y44" s="470"/>
    </row>
    <row r="45" spans="1:25">
      <c r="A45" s="135">
        <v>425</v>
      </c>
      <c r="B45" s="559" t="str">
        <f>+VLOOKUP($A45,Master!$D$30:$G$226,4,FALSE)</f>
        <v>Ostala prava iz zdravstvenog osiguranja</v>
      </c>
      <c r="C45" s="560"/>
      <c r="D45" s="560"/>
      <c r="E45" s="560"/>
      <c r="F45" s="560"/>
      <c r="G45" s="148">
        <f>'2024'!S45</f>
        <v>11583787.440000001</v>
      </c>
      <c r="H45" s="148">
        <f>SUM('2024'!G121:O121)</f>
        <v>12360000</v>
      </c>
      <c r="I45" s="149">
        <f t="shared" si="0"/>
        <v>-776212.55999999866</v>
      </c>
      <c r="J45" s="151">
        <f t="shared" si="1"/>
        <v>-6.2800368932038775E-2</v>
      </c>
      <c r="K45" s="148">
        <f>SUM('2023'!G45:O45)</f>
        <v>9111965.4800000004</v>
      </c>
      <c r="L45" s="149">
        <f t="shared" si="7"/>
        <v>2471821.9600000009</v>
      </c>
      <c r="M45" s="153">
        <f t="shared" si="2"/>
        <v>0.27127209441535327</v>
      </c>
      <c r="N45" s="148">
        <f>'2024'!O45</f>
        <v>1758483.15</v>
      </c>
      <c r="O45" s="148">
        <f>'2024'!O121</f>
        <v>1520000</v>
      </c>
      <c r="P45" s="149">
        <f t="shared" si="6"/>
        <v>238483.14999999991</v>
      </c>
      <c r="Q45" s="151">
        <f t="shared" si="3"/>
        <v>0.15689680921052629</v>
      </c>
      <c r="R45" s="148">
        <f>'2023'!O45</f>
        <v>1703330.8900000001</v>
      </c>
      <c r="S45" s="149">
        <f t="shared" si="4"/>
        <v>55152.259999999776</v>
      </c>
      <c r="T45" s="153">
        <f t="shared" si="5"/>
        <v>3.2379064058422502E-2</v>
      </c>
      <c r="W45" s="470"/>
      <c r="Y45" s="470"/>
    </row>
    <row r="46" spans="1:25">
      <c r="A46" s="135">
        <v>43</v>
      </c>
      <c r="B46" s="573" t="str">
        <f>+VLOOKUP($A46,Master!$D$30:$G$226,4,FALSE)</f>
        <v xml:space="preserve">Transferi institucijama, pojedincima, nevladinom i javnom sektoru </v>
      </c>
      <c r="C46" s="574"/>
      <c r="D46" s="574"/>
      <c r="E46" s="574"/>
      <c r="F46" s="574"/>
      <c r="G46" s="160">
        <f>'2024'!S46</f>
        <v>278547672.57000005</v>
      </c>
      <c r="H46" s="160">
        <f>SUM('2024'!G122:O122)</f>
        <v>307221919.07000005</v>
      </c>
      <c r="I46" s="161">
        <f t="shared" si="0"/>
        <v>-28674246.5</v>
      </c>
      <c r="J46" s="163">
        <f t="shared" si="1"/>
        <v>-9.3333986672567537E-2</v>
      </c>
      <c r="K46" s="160">
        <f>SUM('2023'!G46:O46)</f>
        <v>255077702.99000001</v>
      </c>
      <c r="L46" s="161">
        <f t="shared" si="7"/>
        <v>23469969.580000043</v>
      </c>
      <c r="M46" s="165">
        <f t="shared" si="2"/>
        <v>9.2011059002362616E-2</v>
      </c>
      <c r="N46" s="160">
        <f>'2024'!O46</f>
        <v>33680575.530000001</v>
      </c>
      <c r="O46" s="160">
        <f>'2024'!O122</f>
        <v>41344037.339999996</v>
      </c>
      <c r="P46" s="161">
        <f t="shared" si="6"/>
        <v>-7663461.8099999949</v>
      </c>
      <c r="Q46" s="163">
        <f t="shared" si="3"/>
        <v>-0.1853583322542538</v>
      </c>
      <c r="R46" s="160">
        <f>'2023'!O46</f>
        <v>36649454.560000002</v>
      </c>
      <c r="S46" s="161">
        <f t="shared" si="4"/>
        <v>-2968879.0300000012</v>
      </c>
      <c r="T46" s="165">
        <f t="shared" si="5"/>
        <v>-8.1007454698665549E-2</v>
      </c>
      <c r="W46" s="470"/>
      <c r="Y46" s="470"/>
    </row>
    <row r="47" spans="1:25">
      <c r="A47" s="135">
        <v>44</v>
      </c>
      <c r="B47" s="573" t="str">
        <f>+VLOOKUP($A47,Master!$D$30:$G$226,4,FALSE)</f>
        <v>Kapitalni izdaci</v>
      </c>
      <c r="C47" s="574"/>
      <c r="D47" s="574"/>
      <c r="E47" s="574"/>
      <c r="F47" s="574"/>
      <c r="G47" s="160">
        <f>'2024'!S47</f>
        <v>137146676.69999999</v>
      </c>
      <c r="H47" s="160">
        <f>SUM('2024'!G123:O123)</f>
        <v>140875938.27999997</v>
      </c>
      <c r="I47" s="161">
        <f t="shared" si="0"/>
        <v>-3729261.5799999833</v>
      </c>
      <c r="J47" s="163">
        <f t="shared" si="1"/>
        <v>-2.6471955576883754E-2</v>
      </c>
      <c r="K47" s="160">
        <f>SUM('2023'!G47:O47)</f>
        <v>113753617.38</v>
      </c>
      <c r="L47" s="161">
        <f t="shared" si="7"/>
        <v>23393059.319999993</v>
      </c>
      <c r="M47" s="165">
        <f t="shared" si="2"/>
        <v>0.20564672894624736</v>
      </c>
      <c r="N47" s="160">
        <f>'2024'!O47</f>
        <v>26563035.799999997</v>
      </c>
      <c r="O47" s="160">
        <f>'2024'!O123</f>
        <v>44278288.799999982</v>
      </c>
      <c r="P47" s="161">
        <f t="shared" si="6"/>
        <v>-17715252.999999985</v>
      </c>
      <c r="Q47" s="163">
        <f t="shared" si="3"/>
        <v>-0.40008892574909061</v>
      </c>
      <c r="R47" s="160">
        <f>'2023'!O47</f>
        <v>28174115.569999997</v>
      </c>
      <c r="S47" s="161">
        <f t="shared" si="4"/>
        <v>-1611079.7699999996</v>
      </c>
      <c r="T47" s="165">
        <f t="shared" si="5"/>
        <v>-5.718297584167964E-2</v>
      </c>
      <c r="W47" s="470"/>
      <c r="Y47" s="470"/>
    </row>
    <row r="48" spans="1:25">
      <c r="A48" s="135">
        <v>451</v>
      </c>
      <c r="B48" s="577" t="str">
        <f>+VLOOKUP($A48,Master!$D$30:$G$226,4,FALSE)</f>
        <v>Pozajmice i krediti</v>
      </c>
      <c r="C48" s="578"/>
      <c r="D48" s="578"/>
      <c r="E48" s="578"/>
      <c r="F48" s="578"/>
      <c r="G48" s="148">
        <f>'2024'!S48</f>
        <v>0</v>
      </c>
      <c r="H48" s="148">
        <f>SUM('2024'!G124:O124)</f>
        <v>0</v>
      </c>
      <c r="I48" s="149">
        <f>G48-H48</f>
        <v>0</v>
      </c>
      <c r="J48" s="266" t="str">
        <f t="shared" si="1"/>
        <v>...</v>
      </c>
      <c r="K48" s="148">
        <f>SUM('2023'!G48:O48)</f>
        <v>0</v>
      </c>
      <c r="L48" s="263">
        <f t="shared" si="7"/>
        <v>0</v>
      </c>
      <c r="M48" s="475" t="str">
        <f t="shared" si="2"/>
        <v>...</v>
      </c>
      <c r="N48" s="148">
        <f>'2024'!O48</f>
        <v>0</v>
      </c>
      <c r="O48" s="148">
        <f>'2024'!O124</f>
        <v>0</v>
      </c>
      <c r="P48" s="149">
        <f t="shared" si="6"/>
        <v>0</v>
      </c>
      <c r="Q48" s="266" t="str">
        <f t="shared" si="3"/>
        <v>...</v>
      </c>
      <c r="R48" s="148">
        <f>'2023'!O48</f>
        <v>0</v>
      </c>
      <c r="S48" s="263">
        <f>+N48-R48-S58</f>
        <v>0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77" t="str">
        <f>+VLOOKUP($A49,Master!$D$30:$G$226,4,FALSE)</f>
        <v>Rezerve</v>
      </c>
      <c r="C49" s="578"/>
      <c r="D49" s="578"/>
      <c r="E49" s="578"/>
      <c r="F49" s="578"/>
      <c r="G49" s="148">
        <f>'2024'!S49</f>
        <v>20467992.989999998</v>
      </c>
      <c r="H49" s="148">
        <f>SUM('2024'!G125:O125)</f>
        <v>30897250.710000001</v>
      </c>
      <c r="I49" s="149">
        <f t="shared" ref="I49:I50" si="8">G49-H49</f>
        <v>-10429257.720000003</v>
      </c>
      <c r="J49" s="267">
        <f t="shared" si="1"/>
        <v>-0.33754646385493892</v>
      </c>
      <c r="K49" s="148">
        <f>SUM('2023'!G49:O49)</f>
        <v>12162615.539999999</v>
      </c>
      <c r="L49" s="264">
        <f t="shared" si="7"/>
        <v>8305377.4499999993</v>
      </c>
      <c r="M49" s="476">
        <f t="shared" si="2"/>
        <v>0.68286113481804578</v>
      </c>
      <c r="N49" s="148">
        <f>'2024'!O49</f>
        <v>5725</v>
      </c>
      <c r="O49" s="148">
        <f>'2024'!O125</f>
        <v>10387962.93</v>
      </c>
      <c r="P49" s="149">
        <f t="shared" si="6"/>
        <v>-10382237.93</v>
      </c>
      <c r="Q49" s="267">
        <f t="shared" si="3"/>
        <v>-0.99944888136022647</v>
      </c>
      <c r="R49" s="148">
        <f>'2023'!O49</f>
        <v>10000</v>
      </c>
      <c r="S49" s="264">
        <f t="shared" si="4"/>
        <v>-4275</v>
      </c>
      <c r="T49" s="476">
        <f t="shared" si="5"/>
        <v>-0.42749999999999999</v>
      </c>
      <c r="W49" s="470"/>
      <c r="Y49" s="470"/>
    </row>
    <row r="50" spans="1:25" ht="15.75" thickBot="1">
      <c r="A50" s="135">
        <v>462</v>
      </c>
      <c r="B50" s="579" t="str">
        <f>+VLOOKUP($A50,Master!$D$30:$G$226,4,FALSE)</f>
        <v>Otplata garancija</v>
      </c>
      <c r="C50" s="580"/>
      <c r="D50" s="580"/>
      <c r="E50" s="580"/>
      <c r="F50" s="580"/>
      <c r="G50" s="148">
        <f>'2024'!S50</f>
        <v>5849367.6699999999</v>
      </c>
      <c r="H50" s="148">
        <f>SUM('2024'!G126:O126)</f>
        <v>0.5</v>
      </c>
      <c r="I50" s="149">
        <f t="shared" si="8"/>
        <v>5849367.1699999999</v>
      </c>
      <c r="J50" s="268" t="str">
        <f t="shared" si="1"/>
        <v>...</v>
      </c>
      <c r="K50" s="148">
        <f>SUM('2023'!G50:O50)</f>
        <v>2813572.16</v>
      </c>
      <c r="L50" s="264">
        <f t="shared" si="7"/>
        <v>3035795.51</v>
      </c>
      <c r="M50" s="477">
        <f t="shared" si="2"/>
        <v>1.0789826375023557</v>
      </c>
      <c r="N50" s="148">
        <f>'2024'!O50</f>
        <v>0</v>
      </c>
      <c r="O50" s="148">
        <f>'2024'!O126</f>
        <v>0.5</v>
      </c>
      <c r="P50" s="149">
        <f t="shared" si="6"/>
        <v>-0.5</v>
      </c>
      <c r="Q50" s="268">
        <f t="shared" si="3"/>
        <v>-1</v>
      </c>
      <c r="R50" s="148">
        <f>'2023'!O50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79" t="str">
        <f>+VLOOKUP($A51,Master!$D$30:$G$226,4,FALSE)</f>
        <v>Otplata obaveza iz prethodnog perioda</v>
      </c>
      <c r="C51" s="580"/>
      <c r="D51" s="580"/>
      <c r="E51" s="580"/>
      <c r="F51" s="580"/>
      <c r="G51" s="295">
        <f>'2024'!S51</f>
        <v>16313395.099999998</v>
      </c>
      <c r="H51" s="295">
        <f>SUM('2024'!G127:O127)</f>
        <v>6242154.6200000001</v>
      </c>
      <c r="I51" s="265">
        <f>G51-H51</f>
        <v>10071240.479999997</v>
      </c>
      <c r="J51" s="269">
        <f t="shared" si="1"/>
        <v>1.6134237443801092</v>
      </c>
      <c r="K51" s="295">
        <f>SUM('2023'!G51:O51)</f>
        <v>10514049.110000001</v>
      </c>
      <c r="L51" s="271">
        <f t="shared" si="7"/>
        <v>5799345.9899999965</v>
      </c>
      <c r="M51" s="478">
        <f t="shared" si="2"/>
        <v>0.5515806450327676</v>
      </c>
      <c r="N51" s="295">
        <f>'2024'!O51</f>
        <v>1059498.3099999998</v>
      </c>
      <c r="O51" s="295">
        <f>'2024'!O127</f>
        <v>5198427.45</v>
      </c>
      <c r="P51" s="265">
        <f>N51-O51</f>
        <v>-4138929.1400000006</v>
      </c>
      <c r="Q51" s="269">
        <f t="shared" si="3"/>
        <v>-0.79618868971615642</v>
      </c>
      <c r="R51" s="295">
        <f>'2023'!O51</f>
        <v>509735.57</v>
      </c>
      <c r="S51" s="271">
        <f>+N51-R51</f>
        <v>549762.73999999976</v>
      </c>
      <c r="T51" s="478">
        <f t="shared" si="5"/>
        <v>1.0785253616890023</v>
      </c>
      <c r="W51" s="470"/>
      <c r="Y51" s="470"/>
    </row>
    <row r="52" spans="1:25" ht="15.75" thickBot="1">
      <c r="A52" s="129">
        <v>1005</v>
      </c>
      <c r="B52" s="579" t="str">
        <f>+VLOOKUP($A52,Master!$D$30:$G$228,4,FALSE)</f>
        <v>Neto povećanje obaveza</v>
      </c>
      <c r="C52" s="580"/>
      <c r="D52" s="580"/>
      <c r="E52" s="580"/>
      <c r="F52" s="580"/>
      <c r="G52" s="148">
        <f>'2024'!S52</f>
        <v>0</v>
      </c>
      <c r="H52" s="148">
        <f>SUM('2024'!G128:O128)</f>
        <v>0</v>
      </c>
      <c r="I52" s="265">
        <f>G52-H52</f>
        <v>0</v>
      </c>
      <c r="J52" s="269" t="str">
        <f t="shared" si="1"/>
        <v>...</v>
      </c>
      <c r="K52" s="148">
        <f>SUM('2023'!G52:O52)</f>
        <v>0</v>
      </c>
      <c r="L52" s="271">
        <f t="shared" si="7"/>
        <v>0</v>
      </c>
      <c r="M52" s="478" t="str">
        <f t="shared" si="2"/>
        <v>...</v>
      </c>
      <c r="N52" s="148">
        <f>'2024'!O52</f>
        <v>0</v>
      </c>
      <c r="O52" s="148">
        <f>'2024'!O128</f>
        <v>0</v>
      </c>
      <c r="P52" s="265">
        <f>N52-O52</f>
        <v>0</v>
      </c>
      <c r="Q52" s="269" t="str">
        <f t="shared" si="3"/>
        <v>...</v>
      </c>
      <c r="R52" s="148">
        <f>'2023'!O52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>'2024'!S53</f>
        <v>84996500.140000194</v>
      </c>
      <c r="H53" s="136">
        <f>SUM('2024'!G129:O129)</f>
        <v>-31558567.242398441</v>
      </c>
      <c r="I53" s="299">
        <f>+G53-H53</f>
        <v>116555067.38239864</v>
      </c>
      <c r="J53" s="270">
        <f t="shared" si="1"/>
        <v>-3.6932940106928784</v>
      </c>
      <c r="K53" s="136">
        <f>SUM('2023'!G53:O53)</f>
        <v>176664839.38000026</v>
      </c>
      <c r="L53" s="272">
        <f t="shared" si="7"/>
        <v>-91668339.240000069</v>
      </c>
      <c r="M53" s="479">
        <f t="shared" si="2"/>
        <v>-0.51888275879743384</v>
      </c>
      <c r="N53" s="136">
        <f>'2024'!O53</f>
        <v>-6567001.6499999762</v>
      </c>
      <c r="O53" s="136">
        <f>'2024'!O129</f>
        <v>-101975446.33239847</v>
      </c>
      <c r="P53" s="299">
        <f>N53-O53</f>
        <v>95408444.682398498</v>
      </c>
      <c r="Q53" s="270">
        <f t="shared" si="3"/>
        <v>-0.93560212888312133</v>
      </c>
      <c r="R53" s="136">
        <f>'2023'!O53</f>
        <v>-15665001.199999928</v>
      </c>
      <c r="S53" s="272">
        <f t="shared" si="4"/>
        <v>9097999.5499999523</v>
      </c>
      <c r="T53" s="479">
        <f t="shared" si="5"/>
        <v>-0.58078511669695843</v>
      </c>
      <c r="W53" s="470"/>
      <c r="Y53" s="470"/>
    </row>
    <row r="54" spans="1:25" ht="15.7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36">
        <f>'2024'!S54</f>
        <v>179105763.90000021</v>
      </c>
      <c r="H54" s="136">
        <f>SUM('2024'!G130:O130)</f>
        <v>63039988.367601573</v>
      </c>
      <c r="I54" s="191">
        <f t="shared" si="0"/>
        <v>116065775.53239864</v>
      </c>
      <c r="J54" s="193">
        <f t="shared" si="1"/>
        <v>1.8411452561759805</v>
      </c>
      <c r="K54" s="136">
        <f>SUM('2023'!G54:O54)</f>
        <v>256105088.13000023</v>
      </c>
      <c r="L54" s="191">
        <f t="shared" si="7"/>
        <v>-76999324.230000019</v>
      </c>
      <c r="M54" s="195">
        <f t="shared" si="2"/>
        <v>-0.30065519116478767</v>
      </c>
      <c r="N54" s="136">
        <f>'2024'!O54</f>
        <v>19399442.850000028</v>
      </c>
      <c r="O54" s="136">
        <f>'2024'!O130</f>
        <v>-76184015.492398471</v>
      </c>
      <c r="P54" s="191">
        <f t="shared" si="6"/>
        <v>95583458.342398494</v>
      </c>
      <c r="Q54" s="193">
        <f t="shared" si="3"/>
        <v>-1.2546392799672743</v>
      </c>
      <c r="R54" s="136">
        <f>'2023'!O54</f>
        <v>3555006.3800000697</v>
      </c>
      <c r="S54" s="191">
        <f t="shared" si="4"/>
        <v>15844436.469999958</v>
      </c>
      <c r="T54" s="195" t="str">
        <f t="shared" si="5"/>
        <v>...</v>
      </c>
      <c r="W54" s="470"/>
      <c r="Y54" s="470"/>
    </row>
    <row r="55" spans="1:25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460">
        <f>'2024'!S55</f>
        <v>395043236.31000006</v>
      </c>
      <c r="H55" s="460">
        <f>SUM('2024'!G131:O131)</f>
        <v>390899862.31999999</v>
      </c>
      <c r="I55" s="461">
        <f t="shared" si="0"/>
        <v>4143373.9900000691</v>
      </c>
      <c r="J55" s="462">
        <f t="shared" si="1"/>
        <v>1.0599579046687513E-2</v>
      </c>
      <c r="K55" s="460">
        <f>SUM('2023'!G55:O55)</f>
        <v>214413193.61000001</v>
      </c>
      <c r="L55" s="461">
        <f t="shared" si="7"/>
        <v>180630042.70000005</v>
      </c>
      <c r="M55" s="480">
        <f t="shared" si="2"/>
        <v>0.84243902932835035</v>
      </c>
      <c r="N55" s="460">
        <f>'2024'!O55</f>
        <v>44525643.039999999</v>
      </c>
      <c r="O55" s="460">
        <f>'2024'!O131</f>
        <v>39327175.670000002</v>
      </c>
      <c r="P55" s="461">
        <f t="shared" si="6"/>
        <v>5198467.3699999973</v>
      </c>
      <c r="Q55" s="462">
        <f t="shared" si="3"/>
        <v>0.13218511834211255</v>
      </c>
      <c r="R55" s="460">
        <f>'2023'!O55</f>
        <v>16517635.09</v>
      </c>
      <c r="S55" s="461">
        <f t="shared" si="4"/>
        <v>28008007.949999999</v>
      </c>
      <c r="T55" s="480">
        <f t="shared" si="5"/>
        <v>1.6956427356211803</v>
      </c>
      <c r="W55" s="470"/>
      <c r="Y55" s="470"/>
    </row>
    <row r="56" spans="1:25">
      <c r="A56" s="129">
        <v>4611</v>
      </c>
      <c r="B56" s="577" t="str">
        <f>+VLOOKUP($A56,Master!$D$30:$G$226,4,FALSE)</f>
        <v>Otplata hartija od vrijednosti i kredita rezidentima</v>
      </c>
      <c r="C56" s="578"/>
      <c r="D56" s="578"/>
      <c r="E56" s="578"/>
      <c r="F56" s="578"/>
      <c r="G56" s="148">
        <f>'2024'!S56</f>
        <v>180902439.55000001</v>
      </c>
      <c r="H56" s="148">
        <f>SUM('2024'!G132:O132)</f>
        <v>180902439.54999998</v>
      </c>
      <c r="I56" s="197">
        <f t="shared" si="0"/>
        <v>0</v>
      </c>
      <c r="J56" s="199">
        <f t="shared" si="1"/>
        <v>2.2204460492503131E-16</v>
      </c>
      <c r="K56" s="148">
        <f>SUM('2023'!G56:O56)</f>
        <v>62031433.689999998</v>
      </c>
      <c r="L56" s="197">
        <f t="shared" si="7"/>
        <v>118871005.86000001</v>
      </c>
      <c r="M56" s="201">
        <f t="shared" si="2"/>
        <v>1.9163027321608244</v>
      </c>
      <c r="N56" s="148">
        <f>'2024'!O56</f>
        <v>13593166.439999999</v>
      </c>
      <c r="O56" s="148">
        <f>'2024'!O132</f>
        <v>12819649.92</v>
      </c>
      <c r="P56" s="197">
        <f t="shared" si="6"/>
        <v>773516.51999999955</v>
      </c>
      <c r="Q56" s="199">
        <f t="shared" si="3"/>
        <v>6.0338349707446559E-2</v>
      </c>
      <c r="R56" s="148">
        <f>'2023'!O56</f>
        <v>738279.52</v>
      </c>
      <c r="S56" s="197">
        <f t="shared" si="4"/>
        <v>12854886.92</v>
      </c>
      <c r="T56" s="201" t="str">
        <f t="shared" si="5"/>
        <v>...</v>
      </c>
      <c r="W56" s="470"/>
      <c r="Y56" s="470"/>
    </row>
    <row r="57" spans="1:25">
      <c r="A57" s="129">
        <v>4612</v>
      </c>
      <c r="B57" s="577" t="str">
        <f>+VLOOKUP($A57,Master!$D$30:$G$226,4,FALSE)</f>
        <v>Otplata hartija od vrijednosti i kredita nerezidentima</v>
      </c>
      <c r="C57" s="578"/>
      <c r="D57" s="578"/>
      <c r="E57" s="578"/>
      <c r="F57" s="578"/>
      <c r="G57" s="148">
        <f>'2024'!S57</f>
        <v>214140796.75999999</v>
      </c>
      <c r="H57" s="148">
        <f>SUM('2024'!G133:O133)</f>
        <v>209997422.77000001</v>
      </c>
      <c r="I57" s="197">
        <f t="shared" si="0"/>
        <v>4143373.9899999797</v>
      </c>
      <c r="J57" s="199">
        <f t="shared" si="1"/>
        <v>1.9730594477523677E-2</v>
      </c>
      <c r="K57" s="148">
        <f>SUM('2023'!G57:O57)</f>
        <v>152381759.91999999</v>
      </c>
      <c r="L57" s="197">
        <f t="shared" si="7"/>
        <v>61759036.840000004</v>
      </c>
      <c r="M57" s="201">
        <f t="shared" si="2"/>
        <v>0.4052915314301615</v>
      </c>
      <c r="N57" s="148">
        <f>'2024'!O57</f>
        <v>30932476.600000001</v>
      </c>
      <c r="O57" s="148">
        <f>'2024'!O133</f>
        <v>26507525.75</v>
      </c>
      <c r="P57" s="197">
        <f t="shared" si="6"/>
        <v>4424950.8500000015</v>
      </c>
      <c r="Q57" s="199">
        <f t="shared" si="3"/>
        <v>0.16693187028215939</v>
      </c>
      <c r="R57" s="148">
        <f>'2023'!O57</f>
        <v>15779355.57</v>
      </c>
      <c r="S57" s="197">
        <f t="shared" si="4"/>
        <v>15153121.030000001</v>
      </c>
      <c r="T57" s="201">
        <f t="shared" si="5"/>
        <v>0.96031304718231913</v>
      </c>
      <c r="W57" s="470"/>
      <c r="Y57" s="470"/>
    </row>
    <row r="58" spans="1:25" ht="15.75" thickBot="1">
      <c r="A58" s="129">
        <v>4418</v>
      </c>
      <c r="B58" s="575" t="str">
        <f>+VLOOKUP($A58,Master!$D$30:$G$226,4,FALSE)</f>
        <v>Izdaci za kupovinu hartija od vrijednosti</v>
      </c>
      <c r="C58" s="576"/>
      <c r="D58" s="576"/>
      <c r="E58" s="576"/>
      <c r="F58" s="576"/>
      <c r="G58" s="313">
        <f>'2024'!S58</f>
        <v>3266458.45</v>
      </c>
      <c r="H58" s="313">
        <f>SUM('2024'!G134:O134)</f>
        <v>3510793.87</v>
      </c>
      <c r="I58" s="314">
        <f t="shared" ref="I58:I66" si="9">+G58-H58</f>
        <v>-244335.41999999993</v>
      </c>
      <c r="J58" s="315">
        <f t="shared" si="1"/>
        <v>-6.9595490093526835E-2</v>
      </c>
      <c r="K58" s="313">
        <f>SUM('2023'!G58:O58)</f>
        <v>720866.76</v>
      </c>
      <c r="L58" s="314">
        <f t="shared" ref="L58:L66" si="10">+G58-K58</f>
        <v>2545591.6900000004</v>
      </c>
      <c r="M58" s="481" t="str">
        <f t="shared" si="2"/>
        <v>...</v>
      </c>
      <c r="N58" s="313">
        <f>'2024'!O58</f>
        <v>0</v>
      </c>
      <c r="O58" s="313">
        <f>'2024'!O134</f>
        <v>89402.709999999992</v>
      </c>
      <c r="P58" s="314">
        <f t="shared" ref="P58:P66" si="11">+N58-O58</f>
        <v>-89402.709999999992</v>
      </c>
      <c r="Q58" s="315">
        <f t="shared" si="3"/>
        <v>-1</v>
      </c>
      <c r="R58" s="313">
        <f>'2023'!O58</f>
        <v>0</v>
      </c>
      <c r="S58" s="314">
        <f t="shared" ref="S58:S66" si="12">+N58-R58</f>
        <v>0</v>
      </c>
      <c r="T58" s="481" t="str">
        <f t="shared" si="5"/>
        <v>...</v>
      </c>
      <c r="W58" s="470"/>
      <c r="Y58" s="470"/>
    </row>
    <row r="59" spans="1:25" ht="15.75" thickBot="1">
      <c r="A59" s="129">
        <v>451</v>
      </c>
      <c r="B59" s="569" t="str">
        <f>+VLOOKUP($A59,Master!$D$30:$G$226,4,FALSE)</f>
        <v>Pozajmice i krediti</v>
      </c>
      <c r="C59" s="570"/>
      <c r="D59" s="570"/>
      <c r="E59" s="570"/>
      <c r="F59" s="570"/>
      <c r="G59" s="313">
        <f>'2024'!S59</f>
        <v>5679412.8000000007</v>
      </c>
      <c r="H59" s="313">
        <f>SUM('2024'!G135:O135)</f>
        <v>3517467.09</v>
      </c>
      <c r="I59" s="314">
        <f t="shared" si="9"/>
        <v>2161945.7100000009</v>
      </c>
      <c r="J59" s="315">
        <f t="shared" si="1"/>
        <v>0.61463139659396249</v>
      </c>
      <c r="K59" s="313">
        <f>SUM('2023'!G59:O59)</f>
        <v>8777177.6899999995</v>
      </c>
      <c r="L59" s="314">
        <f t="shared" si="10"/>
        <v>-3097764.8899999987</v>
      </c>
      <c r="M59" s="481">
        <f t="shared" si="2"/>
        <v>-0.35293405231266306</v>
      </c>
      <c r="N59" s="313">
        <f>'2024'!O59</f>
        <v>755686.60000000009</v>
      </c>
      <c r="O59" s="313">
        <f>'2024'!O135</f>
        <v>476013.97</v>
      </c>
      <c r="P59" s="314">
        <f t="shared" si="11"/>
        <v>279672.63000000012</v>
      </c>
      <c r="Q59" s="315">
        <f t="shared" si="3"/>
        <v>0.58753029874312324</v>
      </c>
      <c r="R59" s="313">
        <f>'2023'!O59</f>
        <v>929669.85</v>
      </c>
      <c r="S59" s="314">
        <f t="shared" si="12"/>
        <v>-173983.24999999988</v>
      </c>
      <c r="T59" s="481">
        <f t="shared" si="5"/>
        <v>-0.18714519998685542</v>
      </c>
      <c r="W59" s="470"/>
      <c r="Y59" s="470"/>
    </row>
    <row r="60" spans="1:25" ht="15.75" thickBot="1">
      <c r="A60" s="129">
        <v>1002</v>
      </c>
      <c r="B60" s="603" t="str">
        <f>+VLOOKUP($A60,Master!$D$30:$G$226,4,FALSE)</f>
        <v>Nedostajuća sredstva</v>
      </c>
      <c r="C60" s="604"/>
      <c r="D60" s="604"/>
      <c r="E60" s="604"/>
      <c r="F60" s="604"/>
      <c r="G60" s="298">
        <f>'2024'!S60</f>
        <v>-318992607.41999984</v>
      </c>
      <c r="H60" s="298">
        <f>SUM('2024'!G136:O136)</f>
        <v>-429486690.52239841</v>
      </c>
      <c r="I60" s="300">
        <f t="shared" si="9"/>
        <v>110494083.10239857</v>
      </c>
      <c r="J60" s="301">
        <f t="shared" si="1"/>
        <v>-0.25727009833063996</v>
      </c>
      <c r="K60" s="298">
        <f>SUM('2023'!G60:O60)</f>
        <v>-47246398.679999739</v>
      </c>
      <c r="L60" s="300">
        <f>+G60-K60</f>
        <v>-271746208.74000013</v>
      </c>
      <c r="M60" s="482" t="str">
        <f t="shared" si="2"/>
        <v>...</v>
      </c>
      <c r="N60" s="298">
        <f>'2024'!O60</f>
        <v>-51848331.289999977</v>
      </c>
      <c r="O60" s="298">
        <f>'2024'!O136</f>
        <v>-141868038.6823985</v>
      </c>
      <c r="P60" s="300">
        <f t="shared" si="11"/>
        <v>90019707.392398521</v>
      </c>
      <c r="Q60" s="301">
        <f t="shared" si="3"/>
        <v>-0.63453127447491253</v>
      </c>
      <c r="R60" s="298">
        <f>'2023'!O60</f>
        <v>-33112306.13999993</v>
      </c>
      <c r="S60" s="300">
        <f t="shared" si="12"/>
        <v>-18736025.150000047</v>
      </c>
      <c r="T60" s="482">
        <f t="shared" si="5"/>
        <v>0.5658326868199246</v>
      </c>
      <c r="W60" s="470"/>
      <c r="Y60" s="470"/>
    </row>
    <row r="61" spans="1:25" ht="15.75" thickBot="1">
      <c r="A61" s="129">
        <v>1003</v>
      </c>
      <c r="B61" s="567" t="str">
        <f>+VLOOKUP($A61,Master!$D$30:$G$226,4,FALSE)</f>
        <v>Finansiranje</v>
      </c>
      <c r="C61" s="568"/>
      <c r="D61" s="568"/>
      <c r="E61" s="568"/>
      <c r="F61" s="568"/>
      <c r="G61" s="136">
        <f>'2024'!S61</f>
        <v>318992607.41999984</v>
      </c>
      <c r="H61" s="136">
        <f>SUM('2024'!G137:O137)</f>
        <v>429486690.52239841</v>
      </c>
      <c r="I61" s="299">
        <f t="shared" si="9"/>
        <v>-110494083.10239857</v>
      </c>
      <c r="J61" s="302">
        <f t="shared" si="1"/>
        <v>-0.25727009833063996</v>
      </c>
      <c r="K61" s="136">
        <f>SUM('2023'!G61:O61)</f>
        <v>47246398.679999746</v>
      </c>
      <c r="L61" s="299">
        <f t="shared" si="10"/>
        <v>271746208.74000007</v>
      </c>
      <c r="M61" s="483" t="str">
        <f t="shared" si="2"/>
        <v>...</v>
      </c>
      <c r="N61" s="136">
        <f>'2024'!O61</f>
        <v>51848331.289999977</v>
      </c>
      <c r="O61" s="136">
        <f>'2024'!O137</f>
        <v>141868038.6823985</v>
      </c>
      <c r="P61" s="300">
        <f t="shared" si="11"/>
        <v>-90019707.392398521</v>
      </c>
      <c r="Q61" s="302">
        <f t="shared" si="3"/>
        <v>-0.63453127447491253</v>
      </c>
      <c r="R61" s="136">
        <f>'2023'!O61</f>
        <v>33112306.139999934</v>
      </c>
      <c r="S61" s="299">
        <f t="shared" si="12"/>
        <v>18736025.150000043</v>
      </c>
      <c r="T61" s="483">
        <f t="shared" si="5"/>
        <v>0.56583268681992438</v>
      </c>
      <c r="W61" s="470"/>
      <c r="Y61" s="470"/>
    </row>
    <row r="62" spans="1:25">
      <c r="A62" s="129">
        <v>7511</v>
      </c>
      <c r="B62" s="601" t="str">
        <f>+VLOOKUP($A62,Master!$D$30:$G$226,4,FALSE)</f>
        <v>Pozajmice i krediti od domaćih izvora</v>
      </c>
      <c r="C62" s="602"/>
      <c r="D62" s="602"/>
      <c r="E62" s="602"/>
      <c r="F62" s="602"/>
      <c r="G62" s="148">
        <f>'2024'!S62</f>
        <v>0</v>
      </c>
      <c r="H62" s="148">
        <f>SUM('2024'!G138:O138)</f>
        <v>0</v>
      </c>
      <c r="I62" s="197">
        <f t="shared" si="9"/>
        <v>0</v>
      </c>
      <c r="J62" s="199" t="str">
        <f t="shared" si="1"/>
        <v>...</v>
      </c>
      <c r="K62" s="148">
        <f>SUM('2023'!G62:O62)</f>
        <v>0</v>
      </c>
      <c r="L62" s="197">
        <f t="shared" si="10"/>
        <v>0</v>
      </c>
      <c r="M62" s="201" t="str">
        <f t="shared" si="2"/>
        <v>...</v>
      </c>
      <c r="N62" s="148">
        <f>'2024'!O62</f>
        <v>0</v>
      </c>
      <c r="O62" s="148">
        <f>'2024'!O138</f>
        <v>0</v>
      </c>
      <c r="P62" s="197">
        <f t="shared" si="11"/>
        <v>0</v>
      </c>
      <c r="Q62" s="199" t="str">
        <f t="shared" si="3"/>
        <v>...</v>
      </c>
      <c r="R62" s="148">
        <f>'2023'!O62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77" t="str">
        <f>+VLOOKUP($A63,Master!$D$30:$G$226,4,FALSE)</f>
        <v>Pozajmice i krediti od inostranih izvora</v>
      </c>
      <c r="C63" s="578"/>
      <c r="D63" s="578"/>
      <c r="E63" s="578"/>
      <c r="F63" s="578"/>
      <c r="G63" s="148">
        <f>'2024'!S63</f>
        <v>712057525.35000002</v>
      </c>
      <c r="H63" s="148">
        <f>SUM('2024'!G139:O139)</f>
        <v>867000000</v>
      </c>
      <c r="I63" s="197">
        <f t="shared" si="9"/>
        <v>-154942474.64999998</v>
      </c>
      <c r="J63" s="199">
        <f t="shared" si="1"/>
        <v>-0.17871104342560551</v>
      </c>
      <c r="K63" s="148">
        <f>SUM('2023'!G63:O63)</f>
        <v>121161922.54999998</v>
      </c>
      <c r="L63" s="197">
        <f t="shared" si="10"/>
        <v>590895602.80000007</v>
      </c>
      <c r="M63" s="201" t="str">
        <f t="shared" si="2"/>
        <v>...</v>
      </c>
      <c r="N63" s="148">
        <f>'2024'!O63</f>
        <v>4771177.0999999996</v>
      </c>
      <c r="O63" s="148">
        <f>'2024'!O139</f>
        <v>0</v>
      </c>
      <c r="P63" s="197">
        <f t="shared" si="11"/>
        <v>4771177.0999999996</v>
      </c>
      <c r="Q63" s="199" t="str">
        <f t="shared" si="3"/>
        <v>...</v>
      </c>
      <c r="R63" s="148">
        <f>'2023'!O63</f>
        <v>4619241.13</v>
      </c>
      <c r="S63" s="197">
        <f t="shared" si="12"/>
        <v>151935.96999999974</v>
      </c>
      <c r="T63" s="201">
        <f t="shared" si="5"/>
        <v>3.2891976349370466E-2</v>
      </c>
      <c r="W63" s="470"/>
      <c r="Y63" s="470"/>
    </row>
    <row r="64" spans="1:25">
      <c r="A64" s="129">
        <v>72</v>
      </c>
      <c r="B64" s="577" t="str">
        <f>+VLOOKUP($A64,Master!$D$30:$G$226,4,FALSE)</f>
        <v>Primici od prodaje imovine</v>
      </c>
      <c r="C64" s="578"/>
      <c r="D64" s="578"/>
      <c r="E64" s="578"/>
      <c r="F64" s="578"/>
      <c r="G64" s="148">
        <f>'2024'!S64</f>
        <v>1568425.31</v>
      </c>
      <c r="H64" s="148">
        <f>SUM('2024'!G140:O140)</f>
        <v>4500000</v>
      </c>
      <c r="I64" s="197">
        <f t="shared" si="9"/>
        <v>-2931574.69</v>
      </c>
      <c r="J64" s="199">
        <f t="shared" si="1"/>
        <v>-0.65146104222222223</v>
      </c>
      <c r="K64" s="148">
        <f>SUM('2023'!G64:O64)</f>
        <v>2417189.5500000003</v>
      </c>
      <c r="L64" s="197">
        <f t="shared" si="10"/>
        <v>-848764.24000000022</v>
      </c>
      <c r="M64" s="201">
        <f t="shared" si="2"/>
        <v>-0.35113681506690286</v>
      </c>
      <c r="N64" s="148">
        <f>'2024'!O64</f>
        <v>51811.229999999996</v>
      </c>
      <c r="O64" s="148">
        <f>'2024'!O140</f>
        <v>500000</v>
      </c>
      <c r="P64" s="197">
        <f t="shared" si="11"/>
        <v>-448188.77</v>
      </c>
      <c r="Q64" s="199">
        <f t="shared" si="3"/>
        <v>-0.89637754000000003</v>
      </c>
      <c r="R64" s="148">
        <f>'2023'!O64</f>
        <v>67504.680000000008</v>
      </c>
      <c r="S64" s="197">
        <f t="shared" si="12"/>
        <v>-15693.450000000012</v>
      </c>
      <c r="T64" s="201">
        <f t="shared" si="5"/>
        <v>-0.23247943698125828</v>
      </c>
      <c r="W64" s="470"/>
      <c r="Y64" s="470"/>
    </row>
    <row r="65" spans="1:25">
      <c r="A65" s="129">
        <v>73</v>
      </c>
      <c r="B65" s="577" t="str">
        <f>+VLOOKUP($A65,Master!$D$30:$G$226,4,FALSE)</f>
        <v>Primici od otplate kredita i sredstva prenesena iz prethodne godine</v>
      </c>
      <c r="C65" s="578"/>
      <c r="D65" s="578"/>
      <c r="E65" s="578"/>
      <c r="F65" s="578"/>
      <c r="G65" s="148">
        <f>'2024'!S65</f>
        <v>14164487.84</v>
      </c>
      <c r="H65" s="148">
        <f>SUM('2024'!G141:O141)</f>
        <v>5629073.2928197626</v>
      </c>
      <c r="I65" s="197">
        <f t="shared" si="9"/>
        <v>8535414.5471802372</v>
      </c>
      <c r="J65" s="199">
        <f t="shared" si="1"/>
        <v>1.5163090091698921</v>
      </c>
      <c r="K65" s="148">
        <f>SUM('2023'!G65:O65)</f>
        <v>10106341.66</v>
      </c>
      <c r="L65" s="197">
        <f t="shared" si="10"/>
        <v>4058146.1799999997</v>
      </c>
      <c r="M65" s="201">
        <f t="shared" si="2"/>
        <v>0.40154452684513742</v>
      </c>
      <c r="N65" s="148">
        <f>'2024'!O65</f>
        <v>482610.40999999992</v>
      </c>
      <c r="O65" s="148">
        <f>'2024'!O141</f>
        <v>216436.80971001115</v>
      </c>
      <c r="P65" s="197">
        <f t="shared" si="11"/>
        <v>266173.6002899888</v>
      </c>
      <c r="Q65" s="199">
        <f t="shared" si="3"/>
        <v>1.2297982059826911</v>
      </c>
      <c r="R65" s="148">
        <f>'2023'!O65</f>
        <v>819934.54</v>
      </c>
      <c r="S65" s="197">
        <f t="shared" si="12"/>
        <v>-337324.13000000012</v>
      </c>
      <c r="T65" s="201">
        <f t="shared" si="5"/>
        <v>-0.41140373230282523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'2024'!S66</f>
        <v>-408797831.08000016</v>
      </c>
      <c r="H66" s="296">
        <f>SUM('2024'!G142:O142)</f>
        <v>-447642382.77042145</v>
      </c>
      <c r="I66" s="211">
        <f t="shared" si="9"/>
        <v>38844551.690421283</v>
      </c>
      <c r="J66" s="213">
        <f t="shared" si="1"/>
        <v>-8.677585766123308E-2</v>
      </c>
      <c r="K66" s="296">
        <f>SUM('2023'!G66:O66)</f>
        <v>-86439055.080000252</v>
      </c>
      <c r="L66" s="211">
        <f t="shared" si="10"/>
        <v>-322358775.99999988</v>
      </c>
      <c r="M66" s="215" t="str">
        <f t="shared" si="2"/>
        <v>...</v>
      </c>
      <c r="N66" s="296">
        <f>'2024'!O66</f>
        <v>46542732.549999975</v>
      </c>
      <c r="O66" s="296">
        <f>'2024'!O142</f>
        <v>141151601.87268847</v>
      </c>
      <c r="P66" s="211">
        <f t="shared" si="11"/>
        <v>-94608869.32268849</v>
      </c>
      <c r="Q66" s="213">
        <f t="shared" si="3"/>
        <v>-0.6702642270260657</v>
      </c>
      <c r="R66" s="296">
        <f>'2023'!O66</f>
        <v>27605625.789999932</v>
      </c>
      <c r="S66" s="211">
        <f t="shared" si="12"/>
        <v>18937106.760000043</v>
      </c>
      <c r="T66" s="215">
        <f t="shared" si="5"/>
        <v>0.68598722970663317</v>
      </c>
      <c r="W66" s="470"/>
      <c r="Y66" s="470"/>
    </row>
    <row r="67" spans="1:25">
      <c r="G67" s="274"/>
    </row>
    <row r="68" spans="1:25">
      <c r="G68" s="4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PoJWOoT/W5p4/MiUdHsqXvNMV6Hpyzb3KbSrJxCojxvHtr4bebt/KmRKaghbZfy7V3JftfpgV6e0NHHJZ+vJlw==" saltValue="jVnDLuRoyu00UCyAUn9hdg==" spinCount="100000" sheet="1" objects="1" scenarios="1"/>
  <mergeCells count="63"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</mergeCells>
  <pageMargins left="0.11811023622047245" right="0.11811023622047245" top="0.19685039370078741" bottom="0.19685039370078741" header="0.31496062992125984" footer="0.31496062992125984"/>
  <pageSetup paperSize="9" scale="37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zoomScale="90" zoomScaleNormal="90" workbookViewId="0">
      <pane ySplit="1" topLeftCell="A2" activePane="bottomLeft" state="frozen"/>
      <selection pane="bottomLeft" activeCell="B5" sqref="B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87" t="str">
        <f>+Master!G252</f>
        <v>Ostvarenje budžeta</v>
      </c>
      <c r="C7" s="588"/>
      <c r="D7" s="588"/>
      <c r="E7" s="588"/>
      <c r="F7" s="588"/>
      <c r="G7" s="596">
        <v>2024</v>
      </c>
      <c r="H7" s="597"/>
      <c r="I7" s="597"/>
      <c r="J7" s="597"/>
      <c r="K7" s="597"/>
      <c r="L7" s="597"/>
      <c r="M7" s="597"/>
      <c r="N7" s="597"/>
      <c r="O7" s="597"/>
      <c r="P7" s="597"/>
      <c r="Q7" s="597"/>
      <c r="R7" s="600"/>
      <c r="S7" s="220" t="str">
        <f>+Master!G249</f>
        <v>BDP</v>
      </c>
      <c r="T7" s="221">
        <v>7279700000</v>
      </c>
    </row>
    <row r="8" spans="1:24" ht="16.5" customHeight="1">
      <c r="A8" s="129"/>
      <c r="B8" s="589"/>
      <c r="C8" s="590"/>
      <c r="D8" s="590"/>
      <c r="E8" s="590"/>
      <c r="F8" s="591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96" t="str">
        <f>+Master!G247</f>
        <v>Jan - Dec</v>
      </c>
      <c r="T8" s="600"/>
    </row>
    <row r="9" spans="1:24" ht="13.5" thickBot="1">
      <c r="A9" s="129"/>
      <c r="B9" s="592"/>
      <c r="C9" s="593"/>
      <c r="D9" s="593"/>
      <c r="E9" s="593"/>
      <c r="F9" s="59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67" t="str">
        <f>+VLOOKUP($A10,Master!$D$30:$G$226,4,FALSE)</f>
        <v>Prihodi budžeta</v>
      </c>
      <c r="C10" s="568"/>
      <c r="D10" s="568"/>
      <c r="E10" s="568"/>
      <c r="F10" s="568"/>
      <c r="G10" s="513">
        <f>G11+G19+G24+G25+G26+G27+G28</f>
        <v>150930823.45999998</v>
      </c>
      <c r="H10" s="513">
        <f t="shared" ref="H10:L10" si="2">+H11+H19+SUM(H24:H28)</f>
        <v>180248667.53999999</v>
      </c>
      <c r="I10" s="513">
        <f t="shared" si="2"/>
        <v>244547117.82000002</v>
      </c>
      <c r="J10" s="513">
        <f t="shared" si="2"/>
        <v>317572444.21000004</v>
      </c>
      <c r="K10" s="513">
        <f t="shared" si="2"/>
        <v>193295906.63999999</v>
      </c>
      <c r="L10" s="513">
        <f t="shared" si="2"/>
        <v>222624329.17000002</v>
      </c>
      <c r="M10" s="513">
        <f t="shared" ref="M10:R10" si="3">+M11+M19+SUM(M24:M28)</f>
        <v>261595949.14000002</v>
      </c>
      <c r="N10" s="513">
        <f t="shared" si="3"/>
        <v>254941785.69000006</v>
      </c>
      <c r="O10" s="513">
        <f t="shared" si="3"/>
        <v>247903192.50999999</v>
      </c>
      <c r="P10" s="513">
        <f t="shared" si="3"/>
        <v>0</v>
      </c>
      <c r="Q10" s="513">
        <f t="shared" si="3"/>
        <v>0</v>
      </c>
      <c r="R10" s="513">
        <f t="shared" si="3"/>
        <v>0</v>
      </c>
      <c r="S10" s="514">
        <f>+SUM(G10:R10)</f>
        <v>2073660216.1800003</v>
      </c>
      <c r="T10" s="515">
        <f>+S10/$T$7*100</f>
        <v>28.485517482588573</v>
      </c>
      <c r="V10" s="493"/>
    </row>
    <row r="11" spans="1:24">
      <c r="A11" s="135">
        <v>711</v>
      </c>
      <c r="B11" s="557" t="str">
        <f>+VLOOKUP($A11,Master!$D$30:$G$226,4,FALSE)</f>
        <v>Porezi</v>
      </c>
      <c r="C11" s="558"/>
      <c r="D11" s="558"/>
      <c r="E11" s="558"/>
      <c r="F11" s="558"/>
      <c r="G11" s="516">
        <f t="shared" ref="G11:I11" si="4">+SUM(G12:G18)</f>
        <v>122011952.05999999</v>
      </c>
      <c r="H11" s="516">
        <f t="shared" si="4"/>
        <v>121308599.17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153003406.79000002</v>
      </c>
      <c r="M11" s="516">
        <f t="shared" ref="M11:R11" si="5">+SUM(M12:M18)</f>
        <v>176287449.86999997</v>
      </c>
      <c r="N11" s="516">
        <f t="shared" si="5"/>
        <v>187772027.16000003</v>
      </c>
      <c r="O11" s="516">
        <f t="shared" si="5"/>
        <v>174666714.85999998</v>
      </c>
      <c r="P11" s="516">
        <f t="shared" si="5"/>
        <v>0</v>
      </c>
      <c r="Q11" s="516">
        <f t="shared" si="5"/>
        <v>0</v>
      </c>
      <c r="R11" s="517">
        <f t="shared" si="5"/>
        <v>0</v>
      </c>
      <c r="S11" s="518">
        <f>+SUM(G11:R11)</f>
        <v>1498040166.4399998</v>
      </c>
      <c r="T11" s="519">
        <f t="shared" ref="T11:T66" si="6">+S11/$T$7*100</f>
        <v>20.578322821544841</v>
      </c>
      <c r="V11" s="276"/>
    </row>
    <row r="12" spans="1:24">
      <c r="A12" s="135">
        <v>7111</v>
      </c>
      <c r="B12" s="559" t="str">
        <f>+VLOOKUP($A12,Master!$D$30:$G$226,4,FALSE)</f>
        <v>Porez na dohodak fizičkih lica</v>
      </c>
      <c r="C12" s="560"/>
      <c r="D12" s="560"/>
      <c r="E12" s="560"/>
      <c r="F12" s="560"/>
      <c r="G12" s="499">
        <v>1998079.1499999992</v>
      </c>
      <c r="H12" s="499">
        <v>6162755.9099999974</v>
      </c>
      <c r="I12" s="499">
        <v>6774640.8399999999</v>
      </c>
      <c r="J12" s="499">
        <v>9120679.6699999962</v>
      </c>
      <c r="K12" s="499">
        <v>7999182.8500000024</v>
      </c>
      <c r="L12" s="148">
        <v>5714143.4300000006</v>
      </c>
      <c r="M12" s="148">
        <v>8103849.4699999979</v>
      </c>
      <c r="N12" s="148">
        <v>7506393.2000000039</v>
      </c>
      <c r="O12" s="148">
        <v>6129815.1900000004</v>
      </c>
      <c r="P12" s="148"/>
      <c r="Q12" s="148"/>
      <c r="R12" s="148"/>
      <c r="S12" s="227">
        <f>+SUM(G12:R12)</f>
        <v>59509539.709999993</v>
      </c>
      <c r="T12" s="436">
        <f t="shared" si="6"/>
        <v>0.81747241933046688</v>
      </c>
    </row>
    <row r="13" spans="1:24">
      <c r="A13" s="135">
        <v>7112</v>
      </c>
      <c r="B13" s="559" t="str">
        <f>+VLOOKUP($A13,Master!$D$30:$G$226,4,FALSE)</f>
        <v>Porez na dobit pravnih lica</v>
      </c>
      <c r="C13" s="560"/>
      <c r="D13" s="560"/>
      <c r="E13" s="560"/>
      <c r="F13" s="560"/>
      <c r="G13" s="499">
        <v>1951464.9</v>
      </c>
      <c r="H13" s="499">
        <v>5771727.9400000023</v>
      </c>
      <c r="I13" s="499">
        <v>71210822.510000005</v>
      </c>
      <c r="J13" s="499">
        <v>100269900.83999997</v>
      </c>
      <c r="K13" s="499">
        <v>6533790.1499999994</v>
      </c>
      <c r="L13" s="148">
        <v>5452063.1399999997</v>
      </c>
      <c r="M13" s="148">
        <v>6399901.1399999987</v>
      </c>
      <c r="N13" s="148">
        <v>3297843.9299999992</v>
      </c>
      <c r="O13" s="148">
        <v>3451625.7499999995</v>
      </c>
      <c r="P13" s="148"/>
      <c r="Q13" s="148"/>
      <c r="R13" s="148"/>
      <c r="S13" s="227">
        <f t="shared" ref="S13:S65" si="7">+SUM(G13:R13)</f>
        <v>204339140.29999998</v>
      </c>
      <c r="T13" s="436">
        <f t="shared" si="6"/>
        <v>2.8069719947250569</v>
      </c>
      <c r="V13" s="276"/>
      <c r="W13" s="276"/>
      <c r="X13" s="494"/>
    </row>
    <row r="14" spans="1:24">
      <c r="A14" s="135">
        <v>7113</v>
      </c>
      <c r="B14" s="559" t="str">
        <f>+VLOOKUP($A14,Master!$D$30:$G$226,4,FALSE)</f>
        <v>Porez na promet nepokretnosti</v>
      </c>
      <c r="C14" s="560"/>
      <c r="D14" s="560"/>
      <c r="E14" s="560"/>
      <c r="F14" s="560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/>
      <c r="Q14" s="148"/>
      <c r="R14" s="148"/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59" t="str">
        <f>+VLOOKUP($A15,Master!$D$30:$G$226,4,FALSE)</f>
        <v>Porez na dodatu vrijednost</v>
      </c>
      <c r="C15" s="560"/>
      <c r="D15" s="560"/>
      <c r="E15" s="560"/>
      <c r="F15" s="560"/>
      <c r="G15" s="499">
        <v>91572726.909999996</v>
      </c>
      <c r="H15" s="499">
        <v>81980319.979999989</v>
      </c>
      <c r="I15" s="499">
        <v>78800496.590000004</v>
      </c>
      <c r="J15" s="499">
        <v>94537941.62000002</v>
      </c>
      <c r="K15" s="499">
        <v>88184792.75</v>
      </c>
      <c r="L15" s="148">
        <v>100885481.08999999</v>
      </c>
      <c r="M15" s="148">
        <v>119418214.70999996</v>
      </c>
      <c r="N15" s="148">
        <v>126480010.05000001</v>
      </c>
      <c r="O15" s="148">
        <v>119699878.62</v>
      </c>
      <c r="P15" s="148"/>
      <c r="Q15" s="148"/>
      <c r="R15" s="148"/>
      <c r="S15" s="227">
        <f t="shared" si="7"/>
        <v>901559862.32000005</v>
      </c>
      <c r="T15" s="436">
        <f t="shared" si="6"/>
        <v>12.384574396197646</v>
      </c>
      <c r="V15" s="276"/>
      <c r="W15" s="276"/>
      <c r="X15" s="494"/>
    </row>
    <row r="16" spans="1:24">
      <c r="A16" s="135">
        <v>7115</v>
      </c>
      <c r="B16" s="559" t="str">
        <f>+VLOOKUP($A16,Master!$D$30:$G$226,4,FALSE)</f>
        <v>Akcize</v>
      </c>
      <c r="C16" s="560"/>
      <c r="D16" s="560"/>
      <c r="E16" s="560"/>
      <c r="F16" s="560"/>
      <c r="G16" s="499">
        <v>22556344.95999999</v>
      </c>
      <c r="H16" s="499">
        <v>22366846.550000004</v>
      </c>
      <c r="I16" s="499">
        <v>21994790.36999999</v>
      </c>
      <c r="J16" s="499">
        <v>26932676.209999997</v>
      </c>
      <c r="K16" s="499">
        <v>31723753.749999993</v>
      </c>
      <c r="L16" s="148">
        <v>34644163.43</v>
      </c>
      <c r="M16" s="148">
        <v>34841981.669999979</v>
      </c>
      <c r="N16" s="148">
        <v>43213446.429999992</v>
      </c>
      <c r="O16" s="148">
        <v>38641287.919999979</v>
      </c>
      <c r="P16" s="148"/>
      <c r="Q16" s="148"/>
      <c r="R16" s="148"/>
      <c r="S16" s="227">
        <f t="shared" si="7"/>
        <v>276915291.2899999</v>
      </c>
      <c r="T16" s="436">
        <f t="shared" si="6"/>
        <v>3.8039382294600035</v>
      </c>
      <c r="V16" s="276"/>
      <c r="W16" s="276"/>
      <c r="X16" s="494"/>
    </row>
    <row r="17" spans="1:24">
      <c r="A17" s="135">
        <v>7116</v>
      </c>
      <c r="B17" s="559" t="str">
        <f>+VLOOKUP($A17,Master!$D$30:$G$226,4,FALSE)</f>
        <v>Porez na međunarodnu trgovinu i transakcije</v>
      </c>
      <c r="C17" s="560"/>
      <c r="D17" s="560"/>
      <c r="E17" s="560"/>
      <c r="F17" s="560"/>
      <c r="G17" s="499">
        <v>2997811.1100000008</v>
      </c>
      <c r="H17" s="499">
        <v>3849203.2799999993</v>
      </c>
      <c r="I17" s="499">
        <v>4636318.0900000017</v>
      </c>
      <c r="J17" s="499">
        <v>5632584.1600000011</v>
      </c>
      <c r="K17" s="499">
        <v>5010618.790000001</v>
      </c>
      <c r="L17" s="148">
        <v>5120393.0799999991</v>
      </c>
      <c r="M17" s="148">
        <v>6113583.799999998</v>
      </c>
      <c r="N17" s="148">
        <v>5829872.2699999996</v>
      </c>
      <c r="O17" s="148">
        <v>5498962.25</v>
      </c>
      <c r="P17" s="148"/>
      <c r="Q17" s="148"/>
      <c r="R17" s="148"/>
      <c r="S17" s="227">
        <f t="shared" si="7"/>
        <v>44689346.829999998</v>
      </c>
      <c r="T17" s="436">
        <f t="shared" si="6"/>
        <v>0.61388995192109563</v>
      </c>
      <c r="V17" s="276"/>
      <c r="W17" s="276"/>
      <c r="X17" s="494"/>
    </row>
    <row r="18" spans="1:24">
      <c r="A18" s="135">
        <v>7118</v>
      </c>
      <c r="B18" s="559" t="str">
        <f>+VLOOKUP($A18,Master!$D$30:$G$226,4,FALSE)</f>
        <v>Ostali državni porezi</v>
      </c>
      <c r="C18" s="560"/>
      <c r="D18" s="560"/>
      <c r="E18" s="560"/>
      <c r="F18" s="560"/>
      <c r="G18" s="499">
        <v>935525.02999999968</v>
      </c>
      <c r="H18" s="499">
        <v>1177745.5100000002</v>
      </c>
      <c r="I18" s="499">
        <v>1140306.55</v>
      </c>
      <c r="J18" s="499">
        <v>1213350.5000000002</v>
      </c>
      <c r="K18" s="499">
        <v>1273370.2899999998</v>
      </c>
      <c r="L18" s="148">
        <v>1187162.6199999996</v>
      </c>
      <c r="M18" s="148">
        <v>1409919.08</v>
      </c>
      <c r="N18" s="148">
        <v>1444461.2799999996</v>
      </c>
      <c r="O18" s="148">
        <v>1245145.1299999999</v>
      </c>
      <c r="P18" s="148"/>
      <c r="Q18" s="148"/>
      <c r="R18" s="148"/>
      <c r="S18" s="227">
        <f t="shared" si="7"/>
        <v>11026985.989999998</v>
      </c>
      <c r="T18" s="436">
        <f t="shared" si="6"/>
        <v>0.15147582991057321</v>
      </c>
      <c r="V18" s="276"/>
      <c r="W18" s="276"/>
      <c r="X18" s="494"/>
    </row>
    <row r="19" spans="1:24">
      <c r="A19" s="135">
        <v>712</v>
      </c>
      <c r="B19" s="561" t="str">
        <f>+VLOOKUP($A19,Master!$D$30:$G$226,4,FALSE)</f>
        <v>Doprinosi</v>
      </c>
      <c r="C19" s="562"/>
      <c r="D19" s="562"/>
      <c r="E19" s="562"/>
      <c r="F19" s="562"/>
      <c r="G19" s="520">
        <f t="shared" ref="G19" si="8">SUM(G20:G23)</f>
        <v>13548213.420000004</v>
      </c>
      <c r="H19" s="520">
        <f t="shared" ref="H19:L19" si="9">SUM(H20:H23)</f>
        <v>51209301.960000008</v>
      </c>
      <c r="I19" s="520">
        <f t="shared" si="9"/>
        <v>50079162.990000017</v>
      </c>
      <c r="J19" s="520">
        <f t="shared" si="9"/>
        <v>58312079.650000051</v>
      </c>
      <c r="K19" s="520">
        <f t="shared" si="9"/>
        <v>44239433.410000004</v>
      </c>
      <c r="L19" s="520">
        <f t="shared" si="9"/>
        <v>48567223.640000008</v>
      </c>
      <c r="M19" s="520">
        <f t="shared" ref="M19:R19" si="10">SUM(M20:M23)</f>
        <v>55016979.530000024</v>
      </c>
      <c r="N19" s="520">
        <f t="shared" si="10"/>
        <v>54498567.900000021</v>
      </c>
      <c r="O19" s="520">
        <f t="shared" si="10"/>
        <v>54697462.290000021</v>
      </c>
      <c r="P19" s="520">
        <f t="shared" si="10"/>
        <v>0</v>
      </c>
      <c r="Q19" s="520">
        <f t="shared" si="10"/>
        <v>0</v>
      </c>
      <c r="R19" s="520">
        <f t="shared" si="10"/>
        <v>0</v>
      </c>
      <c r="S19" s="521">
        <f t="shared" si="7"/>
        <v>430168424.7900002</v>
      </c>
      <c r="T19" s="522">
        <f t="shared" si="6"/>
        <v>5.9091504428753963</v>
      </c>
      <c r="V19" s="276"/>
      <c r="W19" s="276"/>
      <c r="X19" s="494"/>
    </row>
    <row r="20" spans="1:24">
      <c r="A20" s="135">
        <v>7121</v>
      </c>
      <c r="B20" s="559" t="str">
        <f>+VLOOKUP($A20,Master!$D$30:$G$226,4,FALSE)</f>
        <v>Doprinosi za penzijsko i invalidsko osiguranje</v>
      </c>
      <c r="C20" s="560"/>
      <c r="D20" s="560"/>
      <c r="E20" s="560"/>
      <c r="F20" s="560"/>
      <c r="G20" s="499">
        <v>12277377.310000004</v>
      </c>
      <c r="H20" s="499">
        <v>47091163.350000009</v>
      </c>
      <c r="I20" s="499">
        <v>45892077.740000017</v>
      </c>
      <c r="J20" s="499">
        <v>53612426.220000051</v>
      </c>
      <c r="K20" s="499">
        <v>40659761.590000004</v>
      </c>
      <c r="L20" s="148">
        <v>44568700.900000006</v>
      </c>
      <c r="M20" s="148">
        <v>50382564.300000027</v>
      </c>
      <c r="N20" s="148">
        <v>49830258.150000021</v>
      </c>
      <c r="O20" s="148">
        <v>50178879.670000024</v>
      </c>
      <c r="P20" s="148"/>
      <c r="Q20" s="148"/>
      <c r="R20" s="148"/>
      <c r="S20" s="227">
        <f>+SUM(G20:R20)</f>
        <v>394493209.2300002</v>
      </c>
      <c r="T20" s="436">
        <f t="shared" si="6"/>
        <v>5.4190860781350905</v>
      </c>
      <c r="V20" s="276"/>
      <c r="W20" s="276"/>
      <c r="X20" s="494"/>
    </row>
    <row r="21" spans="1:24">
      <c r="A21" s="135">
        <v>7122</v>
      </c>
      <c r="B21" s="559" t="str">
        <f>+VLOOKUP($A21,Master!$D$30:$G$226,4,FALSE)</f>
        <v>Doprinosi za zdravstveno osiguranje</v>
      </c>
      <c r="C21" s="560"/>
      <c r="D21" s="560"/>
      <c r="E21" s="560"/>
      <c r="F21" s="560"/>
      <c r="G21" s="499">
        <v>307850.36</v>
      </c>
      <c r="H21" s="499">
        <v>382153.79999999981</v>
      </c>
      <c r="I21" s="499">
        <v>494660.43000000023</v>
      </c>
      <c r="J21" s="499">
        <v>456232.43000000005</v>
      </c>
      <c r="K21" s="499">
        <v>296984.01999999996</v>
      </c>
      <c r="L21" s="148">
        <v>372046.09000000032</v>
      </c>
      <c r="M21" s="148">
        <v>516613.78999999986</v>
      </c>
      <c r="N21" s="148">
        <v>463962.05999999994</v>
      </c>
      <c r="O21" s="148">
        <v>380875.6399999999</v>
      </c>
      <c r="P21" s="148"/>
      <c r="Q21" s="148"/>
      <c r="R21" s="148"/>
      <c r="S21" s="227">
        <f t="shared" si="7"/>
        <v>3671378.62</v>
      </c>
      <c r="T21" s="436">
        <f t="shared" si="6"/>
        <v>5.0433103287223377E-2</v>
      </c>
      <c r="V21" s="276"/>
      <c r="W21" s="276"/>
      <c r="X21" s="494"/>
    </row>
    <row r="22" spans="1:24">
      <c r="A22" s="135">
        <v>7123</v>
      </c>
      <c r="B22" s="559" t="str">
        <f>+VLOOKUP($A22,Master!$D$30:$G$226,4,FALSE)</f>
        <v>Doprinosi za osiguranje od nezaposlenosti</v>
      </c>
      <c r="C22" s="560"/>
      <c r="D22" s="560"/>
      <c r="E22" s="560"/>
      <c r="F22" s="560"/>
      <c r="G22" s="499">
        <v>569229.31000000017</v>
      </c>
      <c r="H22" s="499">
        <v>2203988.56</v>
      </c>
      <c r="I22" s="499">
        <v>2137007.6800000002</v>
      </c>
      <c r="J22" s="499">
        <v>2464722.0799999996</v>
      </c>
      <c r="K22" s="499">
        <v>1910648.6899999997</v>
      </c>
      <c r="L22" s="148">
        <v>2095564.3700000006</v>
      </c>
      <c r="M22" s="148">
        <v>2381944.4099999978</v>
      </c>
      <c r="N22" s="148">
        <v>2401758.4099999997</v>
      </c>
      <c r="O22" s="148">
        <v>2372941.4300000011</v>
      </c>
      <c r="P22" s="148"/>
      <c r="Q22" s="148"/>
      <c r="R22" s="148"/>
      <c r="S22" s="227">
        <f t="shared" si="7"/>
        <v>18537804.940000001</v>
      </c>
      <c r="T22" s="436">
        <f t="shared" si="6"/>
        <v>0.25465067159360966</v>
      </c>
    </row>
    <row r="23" spans="1:24">
      <c r="A23" s="135">
        <v>7124</v>
      </c>
      <c r="B23" s="559" t="str">
        <f>+VLOOKUP($A23,Master!$D$30:$G$226,4,FALSE)</f>
        <v>Ostali doprinosi</v>
      </c>
      <c r="C23" s="560"/>
      <c r="D23" s="560"/>
      <c r="E23" s="560"/>
      <c r="F23" s="560"/>
      <c r="G23" s="499">
        <v>393756.44</v>
      </c>
      <c r="H23" s="499">
        <v>1531996.2499999995</v>
      </c>
      <c r="I23" s="499">
        <v>1555417.1400000006</v>
      </c>
      <c r="J23" s="499">
        <v>1778698.9200000009</v>
      </c>
      <c r="K23" s="499">
        <v>1372039.1099999996</v>
      </c>
      <c r="L23" s="148">
        <v>1530912.2800000003</v>
      </c>
      <c r="M23" s="148">
        <v>1735857.0299999998</v>
      </c>
      <c r="N23" s="148">
        <v>1802589.2800000005</v>
      </c>
      <c r="O23" s="148">
        <v>1764765.55</v>
      </c>
      <c r="P23" s="148"/>
      <c r="Q23" s="148"/>
      <c r="R23" s="148"/>
      <c r="S23" s="227">
        <f t="shared" si="7"/>
        <v>13466032.000000002</v>
      </c>
      <c r="T23" s="436">
        <f t="shared" si="6"/>
        <v>0.18498058985947227</v>
      </c>
      <c r="V23" s="495"/>
      <c r="W23" s="495"/>
      <c r="X23" s="494"/>
    </row>
    <row r="24" spans="1:24">
      <c r="A24" s="135">
        <v>713</v>
      </c>
      <c r="B24" s="561" t="str">
        <f>+VLOOKUP($A24,Master!$D$30:$G$226,4,FALSE)</f>
        <v>Takse</v>
      </c>
      <c r="C24" s="562"/>
      <c r="D24" s="562"/>
      <c r="E24" s="562"/>
      <c r="F24" s="562"/>
      <c r="G24" s="160">
        <v>859681.08999999973</v>
      </c>
      <c r="H24" s="160">
        <v>998586.78</v>
      </c>
      <c r="I24" s="160">
        <v>986568.82999999984</v>
      </c>
      <c r="J24" s="160">
        <v>1424375.75</v>
      </c>
      <c r="K24" s="160">
        <v>1250720.22</v>
      </c>
      <c r="L24" s="523">
        <v>1305037.7399999998</v>
      </c>
      <c r="M24" s="523">
        <v>1842088.0599999998</v>
      </c>
      <c r="N24" s="523">
        <v>1839749.1399999992</v>
      </c>
      <c r="O24" s="523">
        <v>1481341.5399999996</v>
      </c>
      <c r="P24" s="523"/>
      <c r="Q24" s="523"/>
      <c r="R24" s="523"/>
      <c r="S24" s="521">
        <f t="shared" si="7"/>
        <v>11988149.149999997</v>
      </c>
      <c r="T24" s="522">
        <f t="shared" si="6"/>
        <v>0.16467916466337892</v>
      </c>
    </row>
    <row r="25" spans="1:24">
      <c r="A25" s="135">
        <v>714</v>
      </c>
      <c r="B25" s="561" t="str">
        <f>+VLOOKUP($A25,Master!$D$30:$G$226,4,FALSE)</f>
        <v>Naknade</v>
      </c>
      <c r="C25" s="562"/>
      <c r="D25" s="562"/>
      <c r="E25" s="562"/>
      <c r="F25" s="562"/>
      <c r="G25" s="160">
        <v>2491580.6799999997</v>
      </c>
      <c r="H25" s="160">
        <v>4111753.23</v>
      </c>
      <c r="I25" s="160">
        <v>3497306.5900000008</v>
      </c>
      <c r="J25" s="160">
        <v>5307671.1800000034</v>
      </c>
      <c r="K25" s="160">
        <v>3457943.4000000004</v>
      </c>
      <c r="L25" s="523">
        <v>4104367.62</v>
      </c>
      <c r="M25" s="523">
        <v>6739444.4200000018</v>
      </c>
      <c r="N25" s="523">
        <v>3916013.2500000005</v>
      </c>
      <c r="O25" s="523">
        <v>4184422.2199999993</v>
      </c>
      <c r="P25" s="523"/>
      <c r="Q25" s="523"/>
      <c r="R25" s="523"/>
      <c r="S25" s="521">
        <f t="shared" si="7"/>
        <v>37810502.590000011</v>
      </c>
      <c r="T25" s="522">
        <f t="shared" si="6"/>
        <v>0.51939643927634394</v>
      </c>
    </row>
    <row r="26" spans="1:24">
      <c r="A26" s="135">
        <v>715</v>
      </c>
      <c r="B26" s="561" t="str">
        <f>+VLOOKUP($A26,Master!$D$30:$G$226,4,FALSE)</f>
        <v>Ostali prihodi</v>
      </c>
      <c r="C26" s="562"/>
      <c r="D26" s="562"/>
      <c r="E26" s="562"/>
      <c r="F26" s="562"/>
      <c r="G26" s="160">
        <v>7787071.8499999996</v>
      </c>
      <c r="H26" s="160">
        <v>2506490.6700000009</v>
      </c>
      <c r="I26" s="160">
        <v>2145824.8499999996</v>
      </c>
      <c r="J26" s="160">
        <v>12834932.449999999</v>
      </c>
      <c r="K26" s="160">
        <v>2024117.1499999983</v>
      </c>
      <c r="L26" s="523">
        <v>13130823.479999989</v>
      </c>
      <c r="M26" s="523">
        <v>18548153.350000001</v>
      </c>
      <c r="N26" s="523">
        <v>3569489.0200000023</v>
      </c>
      <c r="O26" s="523">
        <v>9688784.2400000021</v>
      </c>
      <c r="P26" s="523"/>
      <c r="Q26" s="523"/>
      <c r="R26" s="523"/>
      <c r="S26" s="521">
        <f t="shared" si="7"/>
        <v>72235687.060000002</v>
      </c>
      <c r="T26" s="522">
        <f t="shared" si="6"/>
        <v>0.99228933967059085</v>
      </c>
    </row>
    <row r="27" spans="1:24">
      <c r="A27" s="135">
        <v>73</v>
      </c>
      <c r="B27" s="561" t="str">
        <f>+VLOOKUP($A27,Master!$D$30:$G$226,4,FALSE)</f>
        <v>Primici od otplate kredita i sredstva prenesena iz prethodne godine</v>
      </c>
      <c r="C27" s="562"/>
      <c r="D27" s="562"/>
      <c r="E27" s="562"/>
      <c r="F27" s="562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/>
      <c r="Q27" s="523"/>
      <c r="R27" s="523"/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561" t="str">
        <f>+VLOOKUP($A28,Master!$D$30:$G$226,4,FALSE)</f>
        <v>Donacije i transferi</v>
      </c>
      <c r="C28" s="562"/>
      <c r="D28" s="562"/>
      <c r="E28" s="562"/>
      <c r="F28" s="562"/>
      <c r="G28" s="160">
        <v>4232324.3599999985</v>
      </c>
      <c r="H28" s="160">
        <v>113935.73</v>
      </c>
      <c r="I28" s="160">
        <v>3280879.6100000008</v>
      </c>
      <c r="J28" s="160">
        <v>1986252.18</v>
      </c>
      <c r="K28" s="160">
        <v>1598183.88</v>
      </c>
      <c r="L28" s="523">
        <v>2513469.8999999994</v>
      </c>
      <c r="M28" s="523">
        <v>3161833.91</v>
      </c>
      <c r="N28" s="523">
        <v>3345939.2199999997</v>
      </c>
      <c r="O28" s="523">
        <v>3184467.36</v>
      </c>
      <c r="P28" s="523"/>
      <c r="Q28" s="523"/>
      <c r="R28" s="523"/>
      <c r="S28" s="521">
        <f t="shared" si="7"/>
        <v>23417286.149999995</v>
      </c>
      <c r="T28" s="524">
        <f t="shared" si="6"/>
        <v>0.32167927455801743</v>
      </c>
    </row>
    <row r="29" spans="1:24" ht="13.5" thickBot="1">
      <c r="A29" s="135">
        <v>4</v>
      </c>
      <c r="B29" s="567" t="str">
        <f>+VLOOKUP($A29,Master!$D$30:$G$226,4,FALSE)</f>
        <v>Izdaci budžeta</v>
      </c>
      <c r="C29" s="568"/>
      <c r="D29" s="568"/>
      <c r="E29" s="568"/>
      <c r="F29" s="568"/>
      <c r="G29" s="136">
        <f>+G30+G40+G46+SUM(G47:G51)</f>
        <v>137919964.68000001</v>
      </c>
      <c r="H29" s="136">
        <f t="shared" ref="H29:L29" si="11">+H30+H40+H46+SUM(H47:H51)</f>
        <v>214423047.39999998</v>
      </c>
      <c r="I29" s="136">
        <f t="shared" si="11"/>
        <v>231133105.35999998</v>
      </c>
      <c r="J29" s="136">
        <f t="shared" si="11"/>
        <v>258898074.80999997</v>
      </c>
      <c r="K29" s="136">
        <f t="shared" si="11"/>
        <v>214738705.68000004</v>
      </c>
      <c r="L29" s="136">
        <f t="shared" si="11"/>
        <v>224013155.63</v>
      </c>
      <c r="M29" s="136">
        <f t="shared" ref="M29:R29" si="12">+M30+M40+M46+SUM(M47:M51)</f>
        <v>248783342.31999999</v>
      </c>
      <c r="N29" s="136">
        <f t="shared" si="12"/>
        <v>204284125.99999997</v>
      </c>
      <c r="O29" s="136">
        <f t="shared" si="12"/>
        <v>254470194.15999997</v>
      </c>
      <c r="P29" s="136">
        <f t="shared" si="12"/>
        <v>0</v>
      </c>
      <c r="Q29" s="136">
        <f t="shared" si="12"/>
        <v>0</v>
      </c>
      <c r="R29" s="136">
        <f t="shared" si="12"/>
        <v>0</v>
      </c>
      <c r="S29" s="525">
        <f t="shared" si="7"/>
        <v>1988663716.04</v>
      </c>
      <c r="T29" s="526">
        <f t="shared" si="6"/>
        <v>27.317935025344454</v>
      </c>
    </row>
    <row r="30" spans="1:24">
      <c r="A30" s="135">
        <v>41</v>
      </c>
      <c r="B30" s="571" t="str">
        <f>+VLOOKUP($A30,Master!$D$30:$G$226,4,FALSE)</f>
        <v>Tekući izdaci</v>
      </c>
      <c r="C30" s="572"/>
      <c r="D30" s="572"/>
      <c r="E30" s="572"/>
      <c r="F30" s="572"/>
      <c r="G30" s="172">
        <f t="shared" ref="G30" si="13">+SUM(G31:G39)</f>
        <v>61605376.840000004</v>
      </c>
      <c r="H30" s="172">
        <f t="shared" ref="H30:L30" si="14">+SUM(H31:H39)</f>
        <v>82044417.609999955</v>
      </c>
      <c r="I30" s="172">
        <f t="shared" si="14"/>
        <v>89985207.119999975</v>
      </c>
      <c r="J30" s="172">
        <f t="shared" si="14"/>
        <v>107677861.29000001</v>
      </c>
      <c r="K30" s="172">
        <f t="shared" si="14"/>
        <v>86447033.780000031</v>
      </c>
      <c r="L30" s="172">
        <f t="shared" si="14"/>
        <v>85630951.270000011</v>
      </c>
      <c r="M30" s="172">
        <f t="shared" ref="M30:R30" si="15">+SUM(M31:M39)</f>
        <v>88149714.910000026</v>
      </c>
      <c r="N30" s="172">
        <f t="shared" si="15"/>
        <v>78702299.75</v>
      </c>
      <c r="O30" s="172">
        <f t="shared" si="15"/>
        <v>109971103.67000002</v>
      </c>
      <c r="P30" s="172">
        <f t="shared" si="15"/>
        <v>0</v>
      </c>
      <c r="Q30" s="172">
        <f t="shared" si="15"/>
        <v>0</v>
      </c>
      <c r="R30" s="231">
        <f t="shared" si="15"/>
        <v>0</v>
      </c>
      <c r="S30" s="527">
        <f t="shared" si="7"/>
        <v>790213966.24000001</v>
      </c>
      <c r="T30" s="519">
        <f t="shared" si="6"/>
        <v>10.8550347712131</v>
      </c>
      <c r="U30" s="472"/>
    </row>
    <row r="31" spans="1:24">
      <c r="A31" s="135">
        <v>411</v>
      </c>
      <c r="B31" s="559" t="str">
        <f>+VLOOKUP($A31,Master!$D$30:$G$226,4,FALSE)</f>
        <v>Bruto zarade i doprinosi na teret poslodavca</v>
      </c>
      <c r="C31" s="560"/>
      <c r="D31" s="560"/>
      <c r="E31" s="560"/>
      <c r="F31" s="560"/>
      <c r="G31" s="499">
        <v>55136615.750000007</v>
      </c>
      <c r="H31" s="499">
        <v>55692244.729999967</v>
      </c>
      <c r="I31" s="499">
        <v>55409720.469999999</v>
      </c>
      <c r="J31" s="499">
        <v>52206366.690000013</v>
      </c>
      <c r="K31" s="499">
        <v>59775945.540000021</v>
      </c>
      <c r="L31" s="148">
        <v>56818382.910000011</v>
      </c>
      <c r="M31" s="148">
        <v>56266659.160000019</v>
      </c>
      <c r="N31" s="148">
        <v>55238876.089999989</v>
      </c>
      <c r="O31" s="148">
        <v>57429583.850000039</v>
      </c>
      <c r="P31" s="498"/>
      <c r="Q31" s="148"/>
      <c r="R31" s="148"/>
      <c r="S31" s="227">
        <f t="shared" si="7"/>
        <v>503974395.19000006</v>
      </c>
      <c r="T31" s="436">
        <f t="shared" si="6"/>
        <v>6.9230104975479767</v>
      </c>
      <c r="U31" s="472"/>
    </row>
    <row r="32" spans="1:24">
      <c r="A32" s="135">
        <v>412</v>
      </c>
      <c r="B32" s="559" t="str">
        <f>+VLOOKUP($A32,Master!$D$30:$G$226,4,FALSE)</f>
        <v>Ostala lična primanja</v>
      </c>
      <c r="C32" s="560"/>
      <c r="D32" s="560"/>
      <c r="E32" s="560"/>
      <c r="F32" s="560"/>
      <c r="G32" s="499">
        <v>104790.61</v>
      </c>
      <c r="H32" s="499">
        <v>1837884.4900000002</v>
      </c>
      <c r="I32" s="499">
        <v>2257740.919999999</v>
      </c>
      <c r="J32" s="499">
        <v>1683790.7199999997</v>
      </c>
      <c r="K32" s="499">
        <v>1510365</v>
      </c>
      <c r="L32" s="148">
        <v>1609176.6600000001</v>
      </c>
      <c r="M32" s="148">
        <v>1737204.9199999995</v>
      </c>
      <c r="N32" s="148">
        <v>1253291.9899999995</v>
      </c>
      <c r="O32" s="148">
        <v>1536869.6700000002</v>
      </c>
      <c r="P32" s="148"/>
      <c r="Q32" s="148"/>
      <c r="R32" s="148"/>
      <c r="S32" s="227">
        <f t="shared" si="7"/>
        <v>13531114.979999999</v>
      </c>
      <c r="T32" s="436">
        <f t="shared" si="6"/>
        <v>0.18587462367954721</v>
      </c>
      <c r="U32" s="472"/>
      <c r="V32" s="275"/>
    </row>
    <row r="33" spans="1:24">
      <c r="A33" s="135">
        <v>413</v>
      </c>
      <c r="B33" s="559" t="str">
        <f>+VLOOKUP($A33,Master!$D$30:$G$226,4,FALSE)</f>
        <v>Rashodi za materijal</v>
      </c>
      <c r="C33" s="560"/>
      <c r="D33" s="560"/>
      <c r="E33" s="560"/>
      <c r="F33" s="560"/>
      <c r="G33" s="499">
        <v>201738.93999999997</v>
      </c>
      <c r="H33" s="499">
        <v>3185464.5300000003</v>
      </c>
      <c r="I33" s="499">
        <v>3529714.7899999996</v>
      </c>
      <c r="J33" s="499">
        <v>3288871.4699999997</v>
      </c>
      <c r="K33" s="499">
        <v>2243018</v>
      </c>
      <c r="L33" s="148">
        <v>2355582.7499999995</v>
      </c>
      <c r="M33" s="148">
        <v>3349316.5599999996</v>
      </c>
      <c r="N33" s="148">
        <v>1740999.7799999998</v>
      </c>
      <c r="O33" s="148">
        <v>4498026.6500000013</v>
      </c>
      <c r="P33" s="148"/>
      <c r="Q33" s="148"/>
      <c r="R33" s="148"/>
      <c r="S33" s="227">
        <f t="shared" si="7"/>
        <v>24392733.470000003</v>
      </c>
      <c r="T33" s="436">
        <f t="shared" si="6"/>
        <v>0.33507882838578518</v>
      </c>
      <c r="U33" s="472"/>
    </row>
    <row r="34" spans="1:24" s="334" customFormat="1">
      <c r="A34" s="333">
        <v>414</v>
      </c>
      <c r="B34" s="654" t="str">
        <f>+VLOOKUP($A34,Master!$D$30:$G$226,4,FALSE)</f>
        <v>Rashodi za usluge</v>
      </c>
      <c r="C34" s="655"/>
      <c r="D34" s="655"/>
      <c r="E34" s="655"/>
      <c r="F34" s="655"/>
      <c r="G34" s="499">
        <v>768611.57000000007</v>
      </c>
      <c r="H34" s="499">
        <v>3306116.05</v>
      </c>
      <c r="I34" s="499">
        <v>6882661.3600000003</v>
      </c>
      <c r="J34" s="499">
        <v>6039231.9399999995</v>
      </c>
      <c r="K34" s="499">
        <v>4182544.3599999994</v>
      </c>
      <c r="L34" s="148">
        <v>5247240.6599999992</v>
      </c>
      <c r="M34" s="148">
        <v>6751381.29</v>
      </c>
      <c r="N34" s="148">
        <v>3804248.7099999995</v>
      </c>
      <c r="O34" s="148">
        <v>4402077.8900000006</v>
      </c>
      <c r="P34" s="148"/>
      <c r="Q34" s="148"/>
      <c r="R34" s="148"/>
      <c r="S34" s="227">
        <f t="shared" si="7"/>
        <v>41384113.829999998</v>
      </c>
      <c r="T34" s="436">
        <f t="shared" si="6"/>
        <v>0.5684865287031059</v>
      </c>
      <c r="U34" s="472"/>
    </row>
    <row r="35" spans="1:24">
      <c r="A35" s="135">
        <v>415</v>
      </c>
      <c r="B35" s="559" t="str">
        <f>+VLOOKUP($A35,Master!$D$30:$G$226,4,FALSE)</f>
        <v>Rashodi za tekuće održavanje</v>
      </c>
      <c r="C35" s="560"/>
      <c r="D35" s="560"/>
      <c r="E35" s="560"/>
      <c r="F35" s="560"/>
      <c r="G35" s="499">
        <v>4201.5999999999995</v>
      </c>
      <c r="H35" s="499">
        <v>1444596.6199999996</v>
      </c>
      <c r="I35" s="499">
        <v>1881542.3199999998</v>
      </c>
      <c r="J35" s="499">
        <v>3225908.9499999997</v>
      </c>
      <c r="K35" s="499">
        <v>504578.94999999995</v>
      </c>
      <c r="L35" s="148">
        <v>3145877.9800000004</v>
      </c>
      <c r="M35" s="148">
        <v>3731629.6500000004</v>
      </c>
      <c r="N35" s="148">
        <v>2811315.1200000006</v>
      </c>
      <c r="O35" s="148">
        <v>4062574.1599999997</v>
      </c>
      <c r="P35" s="148"/>
      <c r="Q35" s="148"/>
      <c r="R35" s="148"/>
      <c r="S35" s="227">
        <f t="shared" si="7"/>
        <v>20812225.350000001</v>
      </c>
      <c r="T35" s="436">
        <f t="shared" si="6"/>
        <v>0.28589399769221263</v>
      </c>
      <c r="U35" s="472"/>
    </row>
    <row r="36" spans="1:24">
      <c r="A36" s="135">
        <v>416</v>
      </c>
      <c r="B36" s="559" t="str">
        <f>+VLOOKUP($A36,Master!$D$30:$G$226,4,FALSE)</f>
        <v>Kamate</v>
      </c>
      <c r="C36" s="560"/>
      <c r="D36" s="560"/>
      <c r="E36" s="560"/>
      <c r="F36" s="560"/>
      <c r="G36" s="499">
        <v>4029329.47</v>
      </c>
      <c r="H36" s="499">
        <v>4129191.9600000004</v>
      </c>
      <c r="I36" s="499">
        <v>7187848.6899999976</v>
      </c>
      <c r="J36" s="499">
        <v>31152856.879999992</v>
      </c>
      <c r="K36" s="499">
        <v>8072726.5900000008</v>
      </c>
      <c r="L36" s="148">
        <v>5854363.290000001</v>
      </c>
      <c r="M36" s="148">
        <v>3738849.7</v>
      </c>
      <c r="N36" s="148">
        <v>3977652.6799999997</v>
      </c>
      <c r="O36" s="148">
        <v>25966444.500000004</v>
      </c>
      <c r="P36" s="148"/>
      <c r="Q36" s="148"/>
      <c r="R36" s="148"/>
      <c r="S36" s="227">
        <f>+SUM(G36:R36)</f>
        <v>94109263.75999999</v>
      </c>
      <c r="T36" s="436">
        <f t="shared" si="6"/>
        <v>1.2927629402310534</v>
      </c>
      <c r="U36" s="472"/>
      <c r="V36" s="275"/>
    </row>
    <row r="37" spans="1:24">
      <c r="A37" s="135">
        <v>417</v>
      </c>
      <c r="B37" s="559" t="str">
        <f>+VLOOKUP($A37,Master!$D$30:$G$226,4,FALSE)</f>
        <v>Renta</v>
      </c>
      <c r="C37" s="560"/>
      <c r="D37" s="560"/>
      <c r="E37" s="560"/>
      <c r="F37" s="560"/>
      <c r="G37" s="499">
        <v>155.47</v>
      </c>
      <c r="H37" s="499">
        <v>1060132.9999999998</v>
      </c>
      <c r="I37" s="499">
        <v>1228548.2700000005</v>
      </c>
      <c r="J37" s="499">
        <v>1368144.23</v>
      </c>
      <c r="K37" s="499">
        <v>707637.62000000023</v>
      </c>
      <c r="L37" s="148">
        <v>996164.27000000025</v>
      </c>
      <c r="M37" s="148">
        <v>1022257.5800000003</v>
      </c>
      <c r="N37" s="148">
        <v>1097677.0900000001</v>
      </c>
      <c r="O37" s="148">
        <v>582375.03000000014</v>
      </c>
      <c r="P37" s="148"/>
      <c r="Q37" s="148"/>
      <c r="R37" s="148"/>
      <c r="S37" s="227">
        <f t="shared" si="7"/>
        <v>8063092.5600000015</v>
      </c>
      <c r="T37" s="436">
        <f t="shared" si="6"/>
        <v>0.11076133027459925</v>
      </c>
      <c r="U37" s="472"/>
      <c r="V37" s="275"/>
    </row>
    <row r="38" spans="1:24">
      <c r="A38" s="135">
        <v>418</v>
      </c>
      <c r="B38" s="559" t="str">
        <f>+VLOOKUP($A38,Master!$D$30:$G$226,4,FALSE)</f>
        <v>Subvencije</v>
      </c>
      <c r="C38" s="560"/>
      <c r="D38" s="560"/>
      <c r="E38" s="560"/>
      <c r="F38" s="560"/>
      <c r="G38" s="499">
        <v>1261570.0099999986</v>
      </c>
      <c r="H38" s="499">
        <v>3823193.8399999933</v>
      </c>
      <c r="I38" s="499">
        <v>6034941.5099999923</v>
      </c>
      <c r="J38" s="499">
        <v>4256461.2399999993</v>
      </c>
      <c r="K38" s="499">
        <v>4091213.4399999962</v>
      </c>
      <c r="L38" s="148">
        <v>5603254.6099999957</v>
      </c>
      <c r="M38" s="148">
        <v>6020163.6199999992</v>
      </c>
      <c r="N38" s="148">
        <v>5377628.4600000018</v>
      </c>
      <c r="O38" s="148">
        <v>8420721.0699999966</v>
      </c>
      <c r="P38" s="148"/>
      <c r="Q38" s="148"/>
      <c r="R38" s="148"/>
      <c r="S38" s="227">
        <f t="shared" si="7"/>
        <v>44889147.799999967</v>
      </c>
      <c r="T38" s="436">
        <f t="shared" si="6"/>
        <v>0.61663458384274028</v>
      </c>
      <c r="U38" s="472"/>
    </row>
    <row r="39" spans="1:24">
      <c r="A39" s="135">
        <v>419</v>
      </c>
      <c r="B39" s="559" t="str">
        <f>+VLOOKUP($A39,Master!$D$30:$G$226,4,FALSE)</f>
        <v>Ostali izdaci</v>
      </c>
      <c r="C39" s="560"/>
      <c r="D39" s="560"/>
      <c r="E39" s="560"/>
      <c r="F39" s="560"/>
      <c r="G39" s="499">
        <v>98363.42</v>
      </c>
      <c r="H39" s="499">
        <v>7565592.3899999987</v>
      </c>
      <c r="I39" s="499">
        <v>5572488.7899999991</v>
      </c>
      <c r="J39" s="499">
        <v>4456229.17</v>
      </c>
      <c r="K39" s="499">
        <v>5359004.28</v>
      </c>
      <c r="L39" s="148">
        <v>4000908.1399999997</v>
      </c>
      <c r="M39" s="148">
        <v>5532252.4299999997</v>
      </c>
      <c r="N39" s="148">
        <v>3400609.830000001</v>
      </c>
      <c r="O39" s="148">
        <v>3072430.8499999996</v>
      </c>
      <c r="P39" s="148"/>
      <c r="Q39" s="148"/>
      <c r="R39" s="148"/>
      <c r="S39" s="227">
        <f t="shared" si="7"/>
        <v>39057879.299999997</v>
      </c>
      <c r="T39" s="436">
        <f t="shared" si="6"/>
        <v>0.53653144085607929</v>
      </c>
      <c r="U39" s="472"/>
      <c r="V39" s="275"/>
    </row>
    <row r="40" spans="1:24">
      <c r="A40" s="135">
        <v>42</v>
      </c>
      <c r="B40" s="575" t="str">
        <f>+VLOOKUP($A40,Master!$D$30:$G$226,4,FALSE)</f>
        <v>Transferi za socijalnu zaštitu</v>
      </c>
      <c r="C40" s="576"/>
      <c r="D40" s="576"/>
      <c r="E40" s="576"/>
      <c r="F40" s="576"/>
      <c r="G40" s="178">
        <f>+SUM(G41:G45)</f>
        <v>68107346.939999998</v>
      </c>
      <c r="H40" s="178">
        <f t="shared" ref="H40:L40" si="16">+SUM(H41:H45)</f>
        <v>82067860.660000026</v>
      </c>
      <c r="I40" s="178">
        <f t="shared" si="16"/>
        <v>83535130.719999999</v>
      </c>
      <c r="J40" s="178">
        <f t="shared" si="16"/>
        <v>83363793.789999992</v>
      </c>
      <c r="K40" s="178">
        <f t="shared" si="16"/>
        <v>82007767.449999988</v>
      </c>
      <c r="L40" s="178">
        <f t="shared" si="16"/>
        <v>84080432.439999953</v>
      </c>
      <c r="M40" s="178">
        <f t="shared" ref="M40:R40" si="17">+SUM(M41:M45)</f>
        <v>88657241.409999952</v>
      </c>
      <c r="N40" s="178">
        <f t="shared" si="17"/>
        <v>85114815.50999999</v>
      </c>
      <c r="O40" s="178">
        <f t="shared" si="17"/>
        <v>83190255.849999979</v>
      </c>
      <c r="P40" s="178">
        <f t="shared" si="17"/>
        <v>0</v>
      </c>
      <c r="Q40" s="178">
        <f t="shared" si="17"/>
        <v>0</v>
      </c>
      <c r="R40" s="178">
        <f t="shared" si="17"/>
        <v>0</v>
      </c>
      <c r="S40" s="528">
        <f t="shared" si="7"/>
        <v>740124644.76999986</v>
      </c>
      <c r="T40" s="529">
        <f t="shared" si="6"/>
        <v>10.166966286660163</v>
      </c>
      <c r="U40" s="472"/>
    </row>
    <row r="41" spans="1:24">
      <c r="A41" s="135">
        <v>421</v>
      </c>
      <c r="B41" s="559" t="str">
        <f>+VLOOKUP($A41,Master!$D$30:$G$226,4,FALSE)</f>
        <v>Prava iz oblasti socijalne zaštite</v>
      </c>
      <c r="C41" s="560"/>
      <c r="D41" s="560"/>
      <c r="E41" s="560"/>
      <c r="F41" s="560"/>
      <c r="G41" s="499">
        <v>17183646.739999998</v>
      </c>
      <c r="H41" s="499">
        <v>17507547.41</v>
      </c>
      <c r="I41" s="499">
        <v>16928238.349999998</v>
      </c>
      <c r="J41" s="499">
        <v>17627062.289999999</v>
      </c>
      <c r="K41" s="499">
        <v>17001906.07</v>
      </c>
      <c r="L41" s="148">
        <v>17979185.619999997</v>
      </c>
      <c r="M41" s="148">
        <v>16917527.130000003</v>
      </c>
      <c r="N41" s="148">
        <v>18622201.02</v>
      </c>
      <c r="O41" s="148">
        <v>16239772.940000001</v>
      </c>
      <c r="P41" s="148"/>
      <c r="Q41" s="148"/>
      <c r="R41" s="148"/>
      <c r="S41" s="227">
        <f t="shared" si="7"/>
        <v>156007087.56999999</v>
      </c>
      <c r="T41" s="436">
        <f t="shared" si="6"/>
        <v>2.1430428117916946</v>
      </c>
      <c r="U41" s="472"/>
    </row>
    <row r="42" spans="1:24">
      <c r="A42" s="135">
        <v>422</v>
      </c>
      <c r="B42" s="559" t="str">
        <f>+VLOOKUP($A42,Master!$D$30:$G$226,4,FALSE)</f>
        <v>Sredstva za tehnološke viškove</v>
      </c>
      <c r="C42" s="560"/>
      <c r="D42" s="560"/>
      <c r="E42" s="560"/>
      <c r="F42" s="560"/>
      <c r="G42" s="499">
        <v>0</v>
      </c>
      <c r="H42" s="499">
        <v>1977301.41</v>
      </c>
      <c r="I42" s="499">
        <v>1962698.7999999998</v>
      </c>
      <c r="J42" s="499">
        <v>1911485.76</v>
      </c>
      <c r="K42" s="499">
        <v>1876474.2999999998</v>
      </c>
      <c r="L42" s="148">
        <v>1850184.16</v>
      </c>
      <c r="M42" s="148">
        <v>1906089.0599999998</v>
      </c>
      <c r="N42" s="148">
        <v>1848788.09</v>
      </c>
      <c r="O42" s="148">
        <v>1914382.2699999998</v>
      </c>
      <c r="P42" s="148"/>
      <c r="Q42" s="148"/>
      <c r="R42" s="148"/>
      <c r="S42" s="227">
        <f t="shared" si="7"/>
        <v>15247403.85</v>
      </c>
      <c r="T42" s="436">
        <f t="shared" si="6"/>
        <v>0.20945099179911258</v>
      </c>
      <c r="U42" s="472"/>
      <c r="V42" s="275"/>
    </row>
    <row r="43" spans="1:24">
      <c r="A43" s="135">
        <v>423</v>
      </c>
      <c r="B43" s="559" t="str">
        <f>+VLOOKUP($A43,Master!$D$30:$G$226,4,FALSE)</f>
        <v>Prava iz oblasti penzijskog i invalidskog osiguranja</v>
      </c>
      <c r="C43" s="560"/>
      <c r="D43" s="560"/>
      <c r="E43" s="560"/>
      <c r="F43" s="560"/>
      <c r="G43" s="499">
        <v>49992836.859999999</v>
      </c>
      <c r="H43" s="499">
        <v>60436837.38000001</v>
      </c>
      <c r="I43" s="499">
        <v>61009059.659999989</v>
      </c>
      <c r="J43" s="499">
        <v>61180414.659999989</v>
      </c>
      <c r="K43" s="499">
        <v>60912897.669999979</v>
      </c>
      <c r="L43" s="148">
        <v>61972227.06999997</v>
      </c>
      <c r="M43" s="148">
        <v>61550827.919999957</v>
      </c>
      <c r="N43" s="148">
        <v>62111987.969999999</v>
      </c>
      <c r="O43" s="148">
        <v>62041259.769999973</v>
      </c>
      <c r="P43" s="148"/>
      <c r="Q43" s="148"/>
      <c r="R43" s="148"/>
      <c r="S43" s="227">
        <f t="shared" si="7"/>
        <v>541208348.95999992</v>
      </c>
      <c r="T43" s="436">
        <f t="shared" si="6"/>
        <v>7.4344869838042769</v>
      </c>
      <c r="U43" s="472"/>
    </row>
    <row r="44" spans="1:24">
      <c r="A44" s="135">
        <v>424</v>
      </c>
      <c r="B44" s="559" t="str">
        <f>+VLOOKUP($A44,Master!$D$30:$G$226,4,FALSE)</f>
        <v>Ostala prava iz oblasti zdravstvene zaštite</v>
      </c>
      <c r="C44" s="560"/>
      <c r="D44" s="560"/>
      <c r="E44" s="560"/>
      <c r="F44" s="560"/>
      <c r="G44" s="499">
        <v>896115.2899999998</v>
      </c>
      <c r="H44" s="499">
        <v>923268.97999999986</v>
      </c>
      <c r="I44" s="499">
        <v>1261874.7299999995</v>
      </c>
      <c r="J44" s="499">
        <v>1234497.5799999998</v>
      </c>
      <c r="K44" s="499">
        <v>1046920.1199999999</v>
      </c>
      <c r="L44" s="148">
        <v>1033640.7399999999</v>
      </c>
      <c r="M44" s="148">
        <v>6613796.0999999996</v>
      </c>
      <c r="N44" s="148">
        <v>1831545.6900000004</v>
      </c>
      <c r="O44" s="148">
        <v>1236357.7200000002</v>
      </c>
      <c r="P44" s="148"/>
      <c r="Q44" s="148"/>
      <c r="R44" s="148"/>
      <c r="S44" s="227">
        <f t="shared" si="7"/>
        <v>16078016.950000001</v>
      </c>
      <c r="T44" s="436">
        <f t="shared" si="6"/>
        <v>0.22086098259543663</v>
      </c>
      <c r="U44" s="472"/>
    </row>
    <row r="45" spans="1:24" s="334" customFormat="1">
      <c r="A45" s="333">
        <v>425</v>
      </c>
      <c r="B45" s="650" t="str">
        <f>+VLOOKUP($A45,Master!$D$30:$G$226,4,FALSE)</f>
        <v>Ostala prava iz zdravstvenog osiguranja</v>
      </c>
      <c r="C45" s="651"/>
      <c r="D45" s="651"/>
      <c r="E45" s="651"/>
      <c r="F45" s="651"/>
      <c r="G45" s="499">
        <v>34748.049999999996</v>
      </c>
      <c r="H45" s="499">
        <v>1222905.48</v>
      </c>
      <c r="I45" s="499">
        <v>2373259.1799999997</v>
      </c>
      <c r="J45" s="499">
        <v>1410333.5000000005</v>
      </c>
      <c r="K45" s="499">
        <v>1169569.2899999991</v>
      </c>
      <c r="L45" s="148">
        <v>1245194.8499999996</v>
      </c>
      <c r="M45" s="148">
        <v>1669001.2000000009</v>
      </c>
      <c r="N45" s="148">
        <v>700292.73999999987</v>
      </c>
      <c r="O45" s="148">
        <v>1758483.15</v>
      </c>
      <c r="P45" s="148"/>
      <c r="Q45" s="148"/>
      <c r="R45" s="148"/>
      <c r="S45" s="227">
        <f t="shared" si="7"/>
        <v>11583787.440000001</v>
      </c>
      <c r="T45" s="436">
        <f t="shared" si="6"/>
        <v>0.159124516669643</v>
      </c>
      <c r="U45" s="472"/>
    </row>
    <row r="46" spans="1:24">
      <c r="A46" s="135">
        <v>43</v>
      </c>
      <c r="B46" s="573" t="str">
        <f>+VLOOKUP($A46,Master!$D$30:$G$226,4,FALSE)</f>
        <v xml:space="preserve">Transferi institucijama, pojedincima, nevladinom i javnom sektoru </v>
      </c>
      <c r="C46" s="574"/>
      <c r="D46" s="574"/>
      <c r="E46" s="574"/>
      <c r="F46" s="574"/>
      <c r="G46" s="160">
        <v>3021521.19</v>
      </c>
      <c r="H46" s="160">
        <v>35873257.970000006</v>
      </c>
      <c r="I46" s="160">
        <v>38920245.800000004</v>
      </c>
      <c r="J46" s="160">
        <v>41212139.38000001</v>
      </c>
      <c r="K46" s="160">
        <v>24558346.619999997</v>
      </c>
      <c r="L46" s="160">
        <v>33632618.140000008</v>
      </c>
      <c r="M46" s="160">
        <v>42245841.679999992</v>
      </c>
      <c r="N46" s="160">
        <v>25403126.260000002</v>
      </c>
      <c r="O46" s="160">
        <v>33680575.530000001</v>
      </c>
      <c r="P46" s="160"/>
      <c r="Q46" s="160"/>
      <c r="R46" s="160"/>
      <c r="S46" s="521">
        <f t="shared" si="7"/>
        <v>278547672.57000005</v>
      </c>
      <c r="T46" s="522">
        <f t="shared" si="6"/>
        <v>3.8263619732956036</v>
      </c>
      <c r="U46" s="472"/>
    </row>
    <row r="47" spans="1:24">
      <c r="A47" s="135">
        <v>44</v>
      </c>
      <c r="B47" s="573" t="str">
        <f>+VLOOKUP($A47,Master!$D$30:$G$226,4,FALSE)</f>
        <v>Kapitalni izdaci</v>
      </c>
      <c r="C47" s="574"/>
      <c r="D47" s="574"/>
      <c r="E47" s="574"/>
      <c r="F47" s="574"/>
      <c r="G47" s="160">
        <v>3531423.4500000007</v>
      </c>
      <c r="H47" s="160">
        <v>9832570.8200000003</v>
      </c>
      <c r="I47" s="160">
        <v>15207243.570000002</v>
      </c>
      <c r="J47" s="160">
        <v>22608925.77</v>
      </c>
      <c r="K47" s="160">
        <v>11794812.940000001</v>
      </c>
      <c r="L47" s="160">
        <v>14825602.35</v>
      </c>
      <c r="M47" s="160">
        <v>21925196.23</v>
      </c>
      <c r="N47" s="160">
        <v>10857865.770000001</v>
      </c>
      <c r="O47" s="160">
        <v>26563035.799999997</v>
      </c>
      <c r="P47" s="160"/>
      <c r="Q47" s="160"/>
      <c r="R47" s="160"/>
      <c r="S47" s="521">
        <f t="shared" si="7"/>
        <v>137146676.69999999</v>
      </c>
      <c r="T47" s="522">
        <f t="shared" si="6"/>
        <v>1.8839605574405536</v>
      </c>
      <c r="U47" s="472"/>
      <c r="V47" s="275"/>
      <c r="W47" s="292"/>
      <c r="X47" s="292"/>
    </row>
    <row r="48" spans="1:24">
      <c r="A48" s="135">
        <v>451</v>
      </c>
      <c r="B48" s="652" t="str">
        <f>+VLOOKUP($A48,Master!$D$30:$G$226,4,FALSE)</f>
        <v>Pozajmice i krediti</v>
      </c>
      <c r="C48" s="653"/>
      <c r="D48" s="653"/>
      <c r="E48" s="653"/>
      <c r="F48" s="653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148">
        <v>0</v>
      </c>
      <c r="M48" s="148">
        <v>0</v>
      </c>
      <c r="N48" s="148">
        <v>0</v>
      </c>
      <c r="O48" s="148">
        <v>0</v>
      </c>
      <c r="P48" s="148"/>
      <c r="Q48" s="148"/>
      <c r="R48" s="148"/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44" t="str">
        <f>+VLOOKUP($A49,Master!$D$30:$G$226,4,FALSE)</f>
        <v>Rezerve</v>
      </c>
      <c r="C49" s="645"/>
      <c r="D49" s="645"/>
      <c r="E49" s="645"/>
      <c r="F49" s="645"/>
      <c r="G49" s="499">
        <v>0</v>
      </c>
      <c r="H49" s="499">
        <v>0</v>
      </c>
      <c r="I49" s="499">
        <v>754804.72</v>
      </c>
      <c r="J49" s="499">
        <v>2241991.63</v>
      </c>
      <c r="K49" s="499">
        <v>8144950</v>
      </c>
      <c r="L49" s="148">
        <v>3778637.9000000004</v>
      </c>
      <c r="M49" s="148">
        <v>5528221.54</v>
      </c>
      <c r="N49" s="148">
        <v>13662.199999999999</v>
      </c>
      <c r="O49" s="148">
        <v>5725</v>
      </c>
      <c r="P49" s="148"/>
      <c r="Q49" s="148"/>
      <c r="R49" s="148"/>
      <c r="S49" s="227">
        <f t="shared" si="7"/>
        <v>20467992.989999998</v>
      </c>
      <c r="T49" s="436">
        <f t="shared" si="6"/>
        <v>0.28116533634627799</v>
      </c>
      <c r="U49" s="472"/>
    </row>
    <row r="50" spans="1:21" ht="13.5" thickBot="1">
      <c r="A50" s="135">
        <v>462</v>
      </c>
      <c r="B50" s="579" t="str">
        <f>+VLOOKUP($A50,Master!$D$30:$G$226,4,FALSE)</f>
        <v>Otplata garancija</v>
      </c>
      <c r="C50" s="580"/>
      <c r="D50" s="580"/>
      <c r="E50" s="580"/>
      <c r="F50" s="580"/>
      <c r="G50" s="499">
        <v>0</v>
      </c>
      <c r="H50" s="499">
        <v>2301161.16</v>
      </c>
      <c r="I50" s="499">
        <v>0</v>
      </c>
      <c r="J50" s="499">
        <v>0</v>
      </c>
      <c r="K50" s="499">
        <v>0</v>
      </c>
      <c r="L50" s="148">
        <v>0</v>
      </c>
      <c r="M50" s="148">
        <v>0</v>
      </c>
      <c r="N50" s="148">
        <v>3548206.51</v>
      </c>
      <c r="O50" s="148">
        <v>0</v>
      </c>
      <c r="P50" s="148"/>
      <c r="Q50" s="148"/>
      <c r="R50" s="148"/>
      <c r="S50" s="227">
        <f t="shared" si="7"/>
        <v>5849367.6699999999</v>
      </c>
      <c r="T50" s="436">
        <f t="shared" si="6"/>
        <v>8.035176820473372E-2</v>
      </c>
      <c r="U50" s="472"/>
    </row>
    <row r="51" spans="1:21" ht="13.5" thickBot="1">
      <c r="A51" s="129">
        <v>4630</v>
      </c>
      <c r="B51" s="646" t="str">
        <f>+VLOOKUP($A51,Master!$D$30:$G$226,4,TRUE)</f>
        <v>Otplata obaveza iz prethodnog perioda</v>
      </c>
      <c r="C51" s="647"/>
      <c r="D51" s="647"/>
      <c r="E51" s="647"/>
      <c r="F51" s="647"/>
      <c r="G51" s="430">
        <v>1654296.2599999998</v>
      </c>
      <c r="H51" s="430">
        <v>2303779.1800000002</v>
      </c>
      <c r="I51" s="430">
        <v>2730473.4299999997</v>
      </c>
      <c r="J51" s="430">
        <v>1793362.9499999997</v>
      </c>
      <c r="K51" s="430">
        <v>1785794.8900000004</v>
      </c>
      <c r="L51" s="430">
        <v>2064913.53</v>
      </c>
      <c r="M51" s="430">
        <v>2277126.5499999989</v>
      </c>
      <c r="N51" s="430">
        <v>644150.00000000012</v>
      </c>
      <c r="O51" s="430">
        <v>1059498.3099999998</v>
      </c>
      <c r="P51" s="430"/>
      <c r="Q51" s="430"/>
      <c r="R51" s="430"/>
      <c r="S51" s="398">
        <f>+SUM(G51:R51)</f>
        <v>16313395.099999998</v>
      </c>
      <c r="T51" s="440">
        <f t="shared" si="6"/>
        <v>0.22409433218401856</v>
      </c>
      <c r="U51" s="472"/>
    </row>
    <row r="52" spans="1:21" ht="13.5" thickBot="1">
      <c r="A52" s="61">
        <v>1005</v>
      </c>
      <c r="B52" s="648" t="str">
        <f>+VLOOKUP($A52,Master!$D$30:$G$228,4,FALSE)</f>
        <v>Neto povećanje obaveza</v>
      </c>
      <c r="C52" s="649"/>
      <c r="D52" s="649"/>
      <c r="E52" s="649"/>
      <c r="F52" s="649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" si="18">+G10-G29</f>
        <v>13010858.779999971</v>
      </c>
      <c r="H53" s="136">
        <f t="shared" ref="H53:L53" si="19">+H10-H29</f>
        <v>-34174379.859999985</v>
      </c>
      <c r="I53" s="136">
        <f t="shared" si="19"/>
        <v>13414012.460000038</v>
      </c>
      <c r="J53" s="136">
        <f t="shared" si="19"/>
        <v>58674369.400000066</v>
      </c>
      <c r="K53" s="136">
        <f t="shared" si="19"/>
        <v>-21442799.040000051</v>
      </c>
      <c r="L53" s="136">
        <f t="shared" si="19"/>
        <v>-1388826.4599999785</v>
      </c>
      <c r="M53" s="136">
        <f t="shared" ref="M53:R53" si="20">+M10-M29</f>
        <v>12812606.820000023</v>
      </c>
      <c r="N53" s="136">
        <f t="shared" si="20"/>
        <v>50657659.690000087</v>
      </c>
      <c r="O53" s="136">
        <f t="shared" si="20"/>
        <v>-6567001.6499999762</v>
      </c>
      <c r="P53" s="136">
        <f t="shared" si="20"/>
        <v>0</v>
      </c>
      <c r="Q53" s="136">
        <f t="shared" si="20"/>
        <v>0</v>
      </c>
      <c r="R53" s="136">
        <f t="shared" si="20"/>
        <v>0</v>
      </c>
      <c r="S53" s="530">
        <f>SUM(G53:R53)</f>
        <v>84996500.140000194</v>
      </c>
      <c r="T53" s="531">
        <f t="shared" si="6"/>
        <v>1.1675824572441198</v>
      </c>
    </row>
    <row r="54" spans="1:21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" si="21">+G53+G36</f>
        <v>17040188.24999997</v>
      </c>
      <c r="H54" s="190">
        <f t="shared" ref="H54:L54" si="22">+H53+H36</f>
        <v>-30045187.899999984</v>
      </c>
      <c r="I54" s="190">
        <f t="shared" si="22"/>
        <v>20601861.150000036</v>
      </c>
      <c r="J54" s="190">
        <f t="shared" si="22"/>
        <v>89827226.280000061</v>
      </c>
      <c r="K54" s="190">
        <f t="shared" si="22"/>
        <v>-13370072.450000051</v>
      </c>
      <c r="L54" s="190">
        <f t="shared" si="22"/>
        <v>4465536.8300000224</v>
      </c>
      <c r="M54" s="190">
        <f t="shared" ref="M54:R54" si="23">+M53+M36</f>
        <v>16551456.520000022</v>
      </c>
      <c r="N54" s="190">
        <f t="shared" si="23"/>
        <v>54635312.370000087</v>
      </c>
      <c r="O54" s="190">
        <f t="shared" si="23"/>
        <v>19399442.850000028</v>
      </c>
      <c r="P54" s="190">
        <f t="shared" si="23"/>
        <v>0</v>
      </c>
      <c r="Q54" s="190">
        <f t="shared" si="23"/>
        <v>0</v>
      </c>
      <c r="R54" s="190">
        <f t="shared" si="23"/>
        <v>0</v>
      </c>
      <c r="S54" s="530">
        <f t="shared" si="7"/>
        <v>179105763.90000021</v>
      </c>
      <c r="T54" s="531">
        <f t="shared" si="6"/>
        <v>2.4603453974751734</v>
      </c>
    </row>
    <row r="55" spans="1:21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59757330.13000001</v>
      </c>
      <c r="J55" s="160">
        <f t="shared" si="25"/>
        <v>117170926.2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35337295.060000002</v>
      </c>
      <c r="N55" s="178">
        <f t="shared" si="26"/>
        <v>7581311.2700000014</v>
      </c>
      <c r="O55" s="178">
        <f t="shared" si="26"/>
        <v>44525643.039999999</v>
      </c>
      <c r="P55" s="178">
        <f t="shared" si="26"/>
        <v>0</v>
      </c>
      <c r="Q55" s="178">
        <f t="shared" si="26"/>
        <v>0</v>
      </c>
      <c r="R55" s="178">
        <f t="shared" si="26"/>
        <v>0</v>
      </c>
      <c r="S55" s="532">
        <f t="shared" si="7"/>
        <v>395043236.31000006</v>
      </c>
      <c r="T55" s="533">
        <f t="shared" si="6"/>
        <v>5.426641706526369</v>
      </c>
    </row>
    <row r="56" spans="1:21">
      <c r="A56" s="129">
        <v>4611</v>
      </c>
      <c r="B56" s="601" t="str">
        <f>+VLOOKUP($A56,Master!$D$30:$G$226,4,FALSE)</f>
        <v>Otplata hartija od vrijednosti i kredita rezidentima</v>
      </c>
      <c r="C56" s="602"/>
      <c r="D56" s="602"/>
      <c r="E56" s="602"/>
      <c r="F56" s="602"/>
      <c r="G56" s="554">
        <v>2494755.4499999997</v>
      </c>
      <c r="H56" s="554">
        <v>2954245.6799999997</v>
      </c>
      <c r="I56" s="554">
        <v>23477657.120000005</v>
      </c>
      <c r="J56" s="554">
        <v>95643965.920000002</v>
      </c>
      <c r="K56" s="554">
        <v>9858911.2700000014</v>
      </c>
      <c r="L56" s="196">
        <v>27246632.220000003</v>
      </c>
      <c r="M56" s="196">
        <v>2591103.59</v>
      </c>
      <c r="N56" s="196">
        <v>3042001.86</v>
      </c>
      <c r="O56" s="196">
        <v>13593166.439999999</v>
      </c>
      <c r="P56" s="196"/>
      <c r="Q56" s="196"/>
      <c r="R56" s="196"/>
      <c r="S56" s="235">
        <f t="shared" si="7"/>
        <v>180902439.55000001</v>
      </c>
      <c r="T56" s="444">
        <f t="shared" si="6"/>
        <v>2.4850260251109249</v>
      </c>
    </row>
    <row r="57" spans="1:21" ht="13.5" thickBot="1">
      <c r="A57" s="129">
        <v>4612</v>
      </c>
      <c r="B57" s="577" t="str">
        <f>+VLOOKUP($A57,Master!$D$30:$G$226,4,FALSE)</f>
        <v>Otplata hartija od vrijednosti i kredita nerezidentima</v>
      </c>
      <c r="C57" s="578"/>
      <c r="D57" s="578"/>
      <c r="E57" s="578"/>
      <c r="F57" s="578"/>
      <c r="G57" s="554">
        <v>32313186.740000002</v>
      </c>
      <c r="H57" s="554">
        <v>3787783.5300000007</v>
      </c>
      <c r="I57" s="554">
        <v>36279673.010000005</v>
      </c>
      <c r="J57" s="554">
        <v>21526960.279999997</v>
      </c>
      <c r="K57" s="554">
        <v>29335488.09</v>
      </c>
      <c r="L57" s="196">
        <v>22679727.629999999</v>
      </c>
      <c r="M57" s="196">
        <v>32746191.469999999</v>
      </c>
      <c r="N57" s="196">
        <v>4539309.4100000011</v>
      </c>
      <c r="O57" s="196">
        <v>30932476.600000001</v>
      </c>
      <c r="P57" s="196"/>
      <c r="Q57" s="196"/>
      <c r="R57" s="196"/>
      <c r="S57" s="235">
        <f t="shared" si="7"/>
        <v>214140796.75999999</v>
      </c>
      <c r="T57" s="444">
        <f t="shared" si="6"/>
        <v>2.9416156814154428</v>
      </c>
    </row>
    <row r="58" spans="1:21" ht="13.5" thickBot="1">
      <c r="A58" s="129">
        <v>4418</v>
      </c>
      <c r="B58" s="569" t="str">
        <f>+VLOOKUP($A58,Master!$D$30:$G$226,4,FALSE)</f>
        <v>Izdaci za kupovinu hartija od vrijednosti</v>
      </c>
      <c r="C58" s="570"/>
      <c r="D58" s="570"/>
      <c r="E58" s="570"/>
      <c r="F58" s="570"/>
      <c r="G58" s="432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>
        <v>360695.5</v>
      </c>
      <c r="M58" s="432">
        <v>0</v>
      </c>
      <c r="N58" s="432">
        <v>0</v>
      </c>
      <c r="O58" s="432">
        <v>0</v>
      </c>
      <c r="P58" s="432"/>
      <c r="Q58" s="432"/>
      <c r="R58" s="432"/>
      <c r="S58" s="532">
        <f>SUM(G58:R58)</f>
        <v>3266458.45</v>
      </c>
      <c r="T58" s="534">
        <f t="shared" si="6"/>
        <v>4.4870783823509217E-2</v>
      </c>
    </row>
    <row r="59" spans="1:21" ht="13.5" thickBot="1">
      <c r="A59" s="135">
        <v>451</v>
      </c>
      <c r="B59" s="569" t="str">
        <f>+VLOOKUP($A59,Master!$D$30:$G$226,4,FALSE)</f>
        <v>Pozajmice i krediti</v>
      </c>
      <c r="C59" s="570"/>
      <c r="D59" s="570"/>
      <c r="E59" s="570"/>
      <c r="F59" s="570"/>
      <c r="G59" s="499">
        <v>714721.61</v>
      </c>
      <c r="H59" s="499">
        <v>511310</v>
      </c>
      <c r="I59" s="499">
        <v>913671.44</v>
      </c>
      <c r="J59" s="499">
        <v>968084.1</v>
      </c>
      <c r="K59" s="499">
        <v>667226.13</v>
      </c>
      <c r="L59" s="432">
        <v>1012363.69</v>
      </c>
      <c r="M59" s="432">
        <v>136349.23000000001</v>
      </c>
      <c r="N59" s="432">
        <v>0</v>
      </c>
      <c r="O59" s="432">
        <v>755686.60000000009</v>
      </c>
      <c r="P59" s="432"/>
      <c r="Q59" s="432"/>
      <c r="R59" s="432"/>
      <c r="S59" s="532">
        <f>SUM(G59:R59)</f>
        <v>5679412.8000000007</v>
      </c>
      <c r="T59" s="534">
        <f t="shared" si="6"/>
        <v>7.8017127079412621E-2</v>
      </c>
    </row>
    <row r="60" spans="1:21" ht="13.5" thickBot="1">
      <c r="A60" s="129">
        <v>1002</v>
      </c>
      <c r="B60" s="603" t="str">
        <f>+VLOOKUP($A60,Master!$D$30:$G$226,4,FALSE)</f>
        <v>Nedostajuća sredstva</v>
      </c>
      <c r="C60" s="604"/>
      <c r="D60" s="604"/>
      <c r="E60" s="604"/>
      <c r="F60" s="604"/>
      <c r="G60" s="202">
        <f>+G53-G55-G58-G59</f>
        <v>-22511805.020000033</v>
      </c>
      <c r="H60" s="202">
        <f t="shared" ref="H60:L60" si="27">+H53-H55-H58-H59</f>
        <v>-41427719.069999985</v>
      </c>
      <c r="I60" s="202">
        <f t="shared" si="27"/>
        <v>-48667379.869999968</v>
      </c>
      <c r="J60" s="202">
        <f t="shared" si="27"/>
        <v>-59464640.899999939</v>
      </c>
      <c r="K60" s="202">
        <f t="shared" si="27"/>
        <v>-62799796.720000051</v>
      </c>
      <c r="L60" s="202">
        <f t="shared" si="27"/>
        <v>-52688245.499999978</v>
      </c>
      <c r="M60" s="202">
        <f t="shared" ref="M60" si="28">+M53-M55-M58-M59</f>
        <v>-22661037.46999998</v>
      </c>
      <c r="N60" s="202">
        <f t="shared" ref="N60" si="29">+N53-N55-N58-N59</f>
        <v>43076348.420000084</v>
      </c>
      <c r="O60" s="202">
        <f t="shared" ref="O60" si="30">+O53-O55-O58-O59</f>
        <v>-51848331.289999977</v>
      </c>
      <c r="P60" s="202">
        <f t="shared" ref="P60" si="31">+P53-P55-P58-P59</f>
        <v>0</v>
      </c>
      <c r="Q60" s="202">
        <f t="shared" ref="Q60" si="32">+Q53-Q55-Q58-Q59</f>
        <v>0</v>
      </c>
      <c r="R60" s="202">
        <f t="shared" ref="R60:S60" si="33">+R53-R55-R58-R59</f>
        <v>0</v>
      </c>
      <c r="S60" s="532">
        <f t="shared" si="33"/>
        <v>-318992607.41999984</v>
      </c>
      <c r="T60" s="535">
        <f t="shared" si="6"/>
        <v>-4.3819471601851703</v>
      </c>
    </row>
    <row r="61" spans="1:21" ht="13.5" thickBot="1">
      <c r="A61" s="129">
        <v>1003</v>
      </c>
      <c r="B61" s="567" t="str">
        <f>+VLOOKUP($A61,Master!$D$30:$G$226,4,FALSE)</f>
        <v>Finansiranje</v>
      </c>
      <c r="C61" s="568"/>
      <c r="D61" s="568"/>
      <c r="E61" s="568"/>
      <c r="F61" s="568"/>
      <c r="G61" s="136">
        <f>+SUM(G62:G66)</f>
        <v>22511805.020000033</v>
      </c>
      <c r="H61" s="136">
        <f t="shared" ref="H61:L61" si="34">+SUM(H62:H66)</f>
        <v>41427719.069999985</v>
      </c>
      <c r="I61" s="136">
        <f t="shared" si="34"/>
        <v>48667379.870000005</v>
      </c>
      <c r="J61" s="136">
        <f t="shared" si="34"/>
        <v>59464640.899999946</v>
      </c>
      <c r="K61" s="136">
        <f t="shared" si="34"/>
        <v>62799796.720000051</v>
      </c>
      <c r="L61" s="136">
        <f t="shared" si="34"/>
        <v>52688245.499999978</v>
      </c>
      <c r="M61" s="136">
        <f t="shared" ref="M61:R61" si="35">+SUM(M62:M66)</f>
        <v>22661037.46999998</v>
      </c>
      <c r="N61" s="136">
        <f t="shared" si="35"/>
        <v>-43076348.420000084</v>
      </c>
      <c r="O61" s="136">
        <f t="shared" si="35"/>
        <v>51848331.289999977</v>
      </c>
      <c r="P61" s="136">
        <f t="shared" si="35"/>
        <v>0</v>
      </c>
      <c r="Q61" s="136">
        <f t="shared" si="35"/>
        <v>0</v>
      </c>
      <c r="R61" s="136">
        <f t="shared" si="35"/>
        <v>0</v>
      </c>
      <c r="S61" s="536">
        <f t="shared" si="7"/>
        <v>318992607.41999984</v>
      </c>
      <c r="T61" s="537">
        <f t="shared" si="6"/>
        <v>4.3819471601851703</v>
      </c>
    </row>
    <row r="62" spans="1:21">
      <c r="A62" s="129">
        <v>7511</v>
      </c>
      <c r="B62" s="601" t="str">
        <f>+VLOOKUP($A62,Master!$D$30:$G$226,4,FALSE)</f>
        <v>Pozajmice i krediti od domaćih izvora</v>
      </c>
      <c r="C62" s="602"/>
      <c r="D62" s="602"/>
      <c r="E62" s="602"/>
      <c r="F62" s="602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196">
        <v>0</v>
      </c>
      <c r="M62" s="196">
        <v>0</v>
      </c>
      <c r="N62" s="196">
        <v>0</v>
      </c>
      <c r="O62" s="196">
        <v>0</v>
      </c>
      <c r="P62" s="196"/>
      <c r="Q62" s="196"/>
      <c r="R62" s="196"/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77" t="str">
        <f>+VLOOKUP($A63,Master!$D$30:$G$226,4,FALSE)</f>
        <v>Pozajmice i krediti od inostranih izvora</v>
      </c>
      <c r="C63" s="578"/>
      <c r="D63" s="578"/>
      <c r="E63" s="578"/>
      <c r="F63" s="578"/>
      <c r="G63" s="554">
        <v>1570614.04</v>
      </c>
      <c r="H63" s="554">
        <v>1779527.23</v>
      </c>
      <c r="I63" s="554">
        <v>691084422.79999995</v>
      </c>
      <c r="J63" s="554">
        <v>4579976.1000000006</v>
      </c>
      <c r="K63" s="554">
        <v>275366.86</v>
      </c>
      <c r="L63" s="196">
        <v>2703386.88</v>
      </c>
      <c r="M63" s="196">
        <v>5194962.4800000004</v>
      </c>
      <c r="N63" s="196">
        <v>98091.86</v>
      </c>
      <c r="O63" s="196">
        <v>4771177.0999999996</v>
      </c>
      <c r="P63" s="196"/>
      <c r="Q63" s="196"/>
      <c r="R63" s="196"/>
      <c r="S63" s="235">
        <f t="shared" si="7"/>
        <v>712057525.35000002</v>
      </c>
      <c r="T63" s="444">
        <f t="shared" si="6"/>
        <v>9.7814130438067508</v>
      </c>
    </row>
    <row r="64" spans="1:21">
      <c r="A64" s="129">
        <v>72</v>
      </c>
      <c r="B64" s="577" t="str">
        <f>+VLOOKUP($A64,Master!$D$30:$G$226,4,FALSE)</f>
        <v>Primici od prodaje imovine</v>
      </c>
      <c r="C64" s="578"/>
      <c r="D64" s="578"/>
      <c r="E64" s="578"/>
      <c r="F64" s="578"/>
      <c r="G64" s="554">
        <v>29140.719999999998</v>
      </c>
      <c r="H64" s="554">
        <v>223106.54</v>
      </c>
      <c r="I64" s="554">
        <v>24726.440000000002</v>
      </c>
      <c r="J64" s="554">
        <v>107366.27000000003</v>
      </c>
      <c r="K64" s="554">
        <v>292415.26</v>
      </c>
      <c r="L64" s="196">
        <v>390561.8</v>
      </c>
      <c r="M64" s="196">
        <v>369935.11</v>
      </c>
      <c r="N64" s="196">
        <v>79361.94</v>
      </c>
      <c r="O64" s="196">
        <v>51811.229999999996</v>
      </c>
      <c r="P64" s="196"/>
      <c r="Q64" s="196"/>
      <c r="R64" s="196"/>
      <c r="S64" s="235">
        <f t="shared" si="7"/>
        <v>1568425.31</v>
      </c>
      <c r="T64" s="444">
        <f t="shared" si="6"/>
        <v>2.1545191560091763E-2</v>
      </c>
    </row>
    <row r="65" spans="1:20">
      <c r="A65" s="129">
        <v>73</v>
      </c>
      <c r="B65" s="561" t="s">
        <v>101</v>
      </c>
      <c r="C65" s="562"/>
      <c r="D65" s="562"/>
      <c r="E65" s="562"/>
      <c r="F65" s="562"/>
      <c r="G65" s="160">
        <v>3141945.9600000004</v>
      </c>
      <c r="H65" s="160">
        <v>1296535.4000000001</v>
      </c>
      <c r="I65" s="160">
        <v>960869.5</v>
      </c>
      <c r="J65" s="160">
        <v>1155440.2500000002</v>
      </c>
      <c r="K65" s="160">
        <v>1453164</v>
      </c>
      <c r="L65" s="160">
        <v>2050431.7200000002</v>
      </c>
      <c r="M65" s="160">
        <v>3057323.5199999996</v>
      </c>
      <c r="N65" s="160">
        <v>566167.07999999996</v>
      </c>
      <c r="O65" s="160">
        <v>482610.40999999992</v>
      </c>
      <c r="P65" s="160"/>
      <c r="Q65" s="160"/>
      <c r="R65" s="160"/>
      <c r="S65" s="228">
        <f t="shared" si="7"/>
        <v>14164487.84</v>
      </c>
      <c r="T65" s="437">
        <f t="shared" si="6"/>
        <v>0.19457515886643681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17770104.300000034</v>
      </c>
      <c r="H66" s="210">
        <f t="shared" ref="H66:L66" si="36">-H60-SUM(H62:H65)</f>
        <v>38128549.899999984</v>
      </c>
      <c r="I66" s="210">
        <f t="shared" si="36"/>
        <v>-643402638.87</v>
      </c>
      <c r="J66" s="210">
        <f t="shared" si="36"/>
        <v>53621858.279999942</v>
      </c>
      <c r="K66" s="210">
        <f t="shared" si="36"/>
        <v>60778850.600000054</v>
      </c>
      <c r="L66" s="210">
        <f t="shared" si="36"/>
        <v>47543865.099999979</v>
      </c>
      <c r="M66" s="210">
        <f t="shared" ref="M66:S66" si="37">-M60-SUM(M62:M65)</f>
        <v>14038816.359999981</v>
      </c>
      <c r="N66" s="210">
        <f t="shared" si="37"/>
        <v>-43819969.300000086</v>
      </c>
      <c r="O66" s="210">
        <f t="shared" si="37"/>
        <v>46542732.549999975</v>
      </c>
      <c r="P66" s="210">
        <f t="shared" si="37"/>
        <v>0</v>
      </c>
      <c r="Q66" s="210">
        <f t="shared" si="37"/>
        <v>0</v>
      </c>
      <c r="R66" s="210">
        <f t="shared" si="37"/>
        <v>0</v>
      </c>
      <c r="S66" s="238">
        <f t="shared" si="37"/>
        <v>-408797831.08000016</v>
      </c>
      <c r="T66" s="448">
        <f t="shared" si="6"/>
        <v>-5.6155862340481093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33" t="str">
        <f>+Master!G253</f>
        <v>Plan ostvarenja budžeta</v>
      </c>
      <c r="C83" s="634"/>
      <c r="D83" s="634"/>
      <c r="E83" s="634"/>
      <c r="F83" s="634"/>
      <c r="G83" s="641">
        <v>2024</v>
      </c>
      <c r="H83" s="642"/>
      <c r="I83" s="642"/>
      <c r="J83" s="642"/>
      <c r="K83" s="642"/>
      <c r="L83" s="642"/>
      <c r="M83" s="642"/>
      <c r="N83" s="642"/>
      <c r="O83" s="642"/>
      <c r="P83" s="642"/>
      <c r="Q83" s="642"/>
      <c r="R83" s="643"/>
      <c r="S83" s="96" t="str">
        <f>+S7</f>
        <v>BDP</v>
      </c>
      <c r="T83" s="97">
        <v>7279700000</v>
      </c>
    </row>
    <row r="84" spans="1:26" ht="15.75" customHeight="1">
      <c r="B84" s="635"/>
      <c r="C84" s="636"/>
      <c r="D84" s="636"/>
      <c r="E84" s="636"/>
      <c r="F84" s="637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41" t="str">
        <f>+Master!G247</f>
        <v>Jan - Dec</v>
      </c>
      <c r="T84" s="643">
        <f>+T8</f>
        <v>0</v>
      </c>
    </row>
    <row r="85" spans="1:26" ht="13.5" thickBot="1">
      <c r="B85" s="638"/>
      <c r="C85" s="639"/>
      <c r="D85" s="639"/>
      <c r="E85" s="639"/>
      <c r="F85" s="640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07" t="str">
        <f>+VLOOKUP(LEFT($A86,LEN(A86)-1)*1,Master!$D$30:$G$226,4,FALSE)</f>
        <v>Prihodi budžeta</v>
      </c>
      <c r="C86" s="608"/>
      <c r="D86" s="608"/>
      <c r="E86" s="608"/>
      <c r="F86" s="608"/>
      <c r="G86" s="504">
        <f t="shared" ref="G86:L86" si="43">+G87+G95+SUM(G100:G104)</f>
        <v>150930823.45999998</v>
      </c>
      <c r="H86" s="504">
        <f t="shared" si="43"/>
        <v>180248667.54000002</v>
      </c>
      <c r="I86" s="504">
        <f t="shared" si="43"/>
        <v>244547117.82000002</v>
      </c>
      <c r="J86" s="504">
        <f t="shared" si="43"/>
        <v>317572444.20999998</v>
      </c>
      <c r="K86" s="504">
        <f t="shared" si="43"/>
        <v>193296652.43999997</v>
      </c>
      <c r="L86" s="504">
        <f t="shared" si="43"/>
        <v>222625769.17000002</v>
      </c>
      <c r="M86" s="504">
        <f t="shared" ref="M86:Q86" si="44">+M87+M95+SUM(M100:M104)</f>
        <v>261554283.82000002</v>
      </c>
      <c r="N86" s="504">
        <f t="shared" si="44"/>
        <v>254538932.34000003</v>
      </c>
      <c r="O86" s="504">
        <f t="shared" si="44"/>
        <v>222707674.54760152</v>
      </c>
      <c r="P86" s="504">
        <f t="shared" si="44"/>
        <v>235724553.51601768</v>
      </c>
      <c r="Q86" s="504">
        <f t="shared" si="44"/>
        <v>206397291.22064134</v>
      </c>
      <c r="R86" s="504">
        <f>+R87+R95+SUM(R100:R104)</f>
        <v>282503938.44611555</v>
      </c>
      <c r="S86" s="538">
        <f>+SUM(G86:R86)</f>
        <v>2772648148.530376</v>
      </c>
      <c r="T86" s="539">
        <f>+S86/$T$83*100</f>
        <v>38.087395751615809</v>
      </c>
      <c r="U86" s="243"/>
      <c r="V86" s="292"/>
    </row>
    <row r="87" spans="1:26">
      <c r="A87" s="105" t="str">
        <f t="shared" si="42"/>
        <v>711p</v>
      </c>
      <c r="B87" s="631" t="str">
        <f>+VLOOKUP(LEFT($A87,LEN(A87)-1)*1,Master!$D$30:$G$226,4,FALSE)</f>
        <v>Porezi</v>
      </c>
      <c r="C87" s="632"/>
      <c r="D87" s="632"/>
      <c r="E87" s="632"/>
      <c r="F87" s="632"/>
      <c r="G87" s="540">
        <f t="shared" ref="G87:L87" si="45">+SUM(G88:G94)</f>
        <v>122011952.05999999</v>
      </c>
      <c r="H87" s="540">
        <f t="shared" si="45"/>
        <v>121308599.17000002</v>
      </c>
      <c r="I87" s="540">
        <f t="shared" si="45"/>
        <v>184557374.95000002</v>
      </c>
      <c r="J87" s="540">
        <f t="shared" si="45"/>
        <v>237707133</v>
      </c>
      <c r="K87" s="540">
        <f t="shared" si="45"/>
        <v>140725508.57999998</v>
      </c>
      <c r="L87" s="540">
        <f t="shared" si="45"/>
        <v>153003406.79000002</v>
      </c>
      <c r="M87" s="540">
        <f t="shared" ref="M87:R87" si="46">+SUM(M88:M94)</f>
        <v>176287449.87000003</v>
      </c>
      <c r="N87" s="540">
        <f t="shared" si="46"/>
        <v>187772027.16000003</v>
      </c>
      <c r="O87" s="540">
        <f t="shared" si="46"/>
        <v>163682565.97560155</v>
      </c>
      <c r="P87" s="540">
        <f t="shared" si="46"/>
        <v>153706833.67658257</v>
      </c>
      <c r="Q87" s="540">
        <f t="shared" si="46"/>
        <v>137653378.33863866</v>
      </c>
      <c r="R87" s="541">
        <f t="shared" si="46"/>
        <v>151899426.82955331</v>
      </c>
      <c r="S87" s="542">
        <f t="shared" ref="S87:S141" si="47">+SUM(G87:R87)</f>
        <v>1930315656.4003761</v>
      </c>
      <c r="T87" s="519">
        <f t="shared" ref="T87:T142" si="48">+S87/$T$83*100</f>
        <v>26.516417660073579</v>
      </c>
      <c r="V87" s="292"/>
    </row>
    <row r="88" spans="1:26">
      <c r="A88" s="105" t="str">
        <f t="shared" si="42"/>
        <v>7111p</v>
      </c>
      <c r="B88" s="623" t="str">
        <f>+VLOOKUP(LEFT($A88,LEN(A88)-1)*1,Master!$D$30:$G$229,4,FALSE)</f>
        <v>Porez na dohodak fizičkih lica</v>
      </c>
      <c r="C88" s="624"/>
      <c r="D88" s="624"/>
      <c r="E88" s="624"/>
      <c r="F88" s="624"/>
      <c r="G88" s="77">
        <v>1998079.15</v>
      </c>
      <c r="H88" s="77">
        <v>6162755.9100000001</v>
      </c>
      <c r="I88" s="77">
        <v>6774640.8399999999</v>
      </c>
      <c r="J88" s="77">
        <v>9120679.6699999999</v>
      </c>
      <c r="K88" s="77">
        <v>7999182.8499999996</v>
      </c>
      <c r="L88" s="77">
        <v>5714143.4299999997</v>
      </c>
      <c r="M88" s="77">
        <v>8103849.4699999997</v>
      </c>
      <c r="N88" s="77">
        <v>7506393.2000000002</v>
      </c>
      <c r="O88" s="77">
        <v>5157699.6524483655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86618274.290376037</v>
      </c>
      <c r="T88" s="436">
        <f t="shared" si="48"/>
        <v>1.1898604927452512</v>
      </c>
      <c r="V88" s="292"/>
    </row>
    <row r="89" spans="1:26">
      <c r="A89" s="105" t="str">
        <f t="shared" si="42"/>
        <v>7112p</v>
      </c>
      <c r="B89" s="623" t="str">
        <f>+VLOOKUP(LEFT($A89,LEN(A89)-1)*1,Master!$D$30:$G$229,4,FALSE)</f>
        <v>Porez na dobit pravnih lica</v>
      </c>
      <c r="C89" s="624"/>
      <c r="D89" s="624"/>
      <c r="E89" s="624"/>
      <c r="F89" s="624"/>
      <c r="G89" s="77">
        <v>1951464.9</v>
      </c>
      <c r="H89" s="77">
        <v>5771727.9400000004</v>
      </c>
      <c r="I89" s="77">
        <v>71210822.510000005</v>
      </c>
      <c r="J89" s="77">
        <v>100269900.84</v>
      </c>
      <c r="K89" s="77">
        <v>6533790.1500000004</v>
      </c>
      <c r="L89" s="77">
        <v>5452063.1399999997</v>
      </c>
      <c r="M89" s="77">
        <v>6399901.1399999997</v>
      </c>
      <c r="N89" s="77">
        <v>3297843.93</v>
      </c>
      <c r="O89" s="77">
        <v>1093117.9300000034</v>
      </c>
      <c r="P89" s="77">
        <v>998970.87553201988</v>
      </c>
      <c r="Q89" s="77">
        <v>1001456.9221399399</v>
      </c>
      <c r="R89" s="77">
        <v>1669995.8023280436</v>
      </c>
      <c r="S89" s="101">
        <f t="shared" si="47"/>
        <v>205651056.08000001</v>
      </c>
      <c r="T89" s="436">
        <f t="shared" si="48"/>
        <v>2.8249935585257635</v>
      </c>
      <c r="V89" s="292"/>
    </row>
    <row r="90" spans="1:26">
      <c r="A90" s="105" t="str">
        <f t="shared" si="42"/>
        <v>7113p</v>
      </c>
      <c r="B90" s="623" t="str">
        <f>+VLOOKUP(LEFT($A90,LEN(A90)-1)*1,Master!$D$30:$G$229,4,FALSE)</f>
        <v>Porez na promet nepokretnosti</v>
      </c>
      <c r="C90" s="624"/>
      <c r="D90" s="624"/>
      <c r="E90" s="624"/>
      <c r="F90" s="624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23" t="str">
        <f>+VLOOKUP(LEFT($A91,LEN(A91)-1)*1,Master!$D$30:$G$229,4,FALSE)</f>
        <v>Porez na dodatu vrijednost</v>
      </c>
      <c r="C91" s="624"/>
      <c r="D91" s="624"/>
      <c r="E91" s="624"/>
      <c r="F91" s="624"/>
      <c r="G91" s="77">
        <v>91572726.909999996</v>
      </c>
      <c r="H91" s="77">
        <v>81980319.980000004</v>
      </c>
      <c r="I91" s="77">
        <v>78800496.590000004</v>
      </c>
      <c r="J91" s="77">
        <v>94537941.620000005</v>
      </c>
      <c r="K91" s="77">
        <v>88184792.75</v>
      </c>
      <c r="L91" s="77">
        <v>100885481.09</v>
      </c>
      <c r="M91" s="77">
        <v>119418214.70999999</v>
      </c>
      <c r="N91" s="77">
        <v>126480010.05</v>
      </c>
      <c r="O91" s="77">
        <v>115810449.20999999</v>
      </c>
      <c r="P91" s="77">
        <v>106592102.58641601</v>
      </c>
      <c r="Q91" s="77">
        <v>96782845.757082894</v>
      </c>
      <c r="R91" s="77">
        <v>98587067.036501214</v>
      </c>
      <c r="S91" s="101">
        <f t="shared" si="47"/>
        <v>1199632448.2900002</v>
      </c>
      <c r="T91" s="436">
        <f t="shared" si="48"/>
        <v>16.47914678201025</v>
      </c>
      <c r="V91" s="292"/>
    </row>
    <row r="92" spans="1:26">
      <c r="A92" s="105" t="str">
        <f t="shared" si="42"/>
        <v>7115p</v>
      </c>
      <c r="B92" s="623" t="str">
        <f>+VLOOKUP(LEFT($A92,LEN(A92)-1)*1,Master!$D$30:$G$229,4,FALSE)</f>
        <v>Akcize</v>
      </c>
      <c r="C92" s="624"/>
      <c r="D92" s="624"/>
      <c r="E92" s="624"/>
      <c r="F92" s="624"/>
      <c r="G92" s="77">
        <v>22556344.960000001</v>
      </c>
      <c r="H92" s="77">
        <v>22366846.550000001</v>
      </c>
      <c r="I92" s="77">
        <v>21994790.370000001</v>
      </c>
      <c r="J92" s="77">
        <v>26932676.210000001</v>
      </c>
      <c r="K92" s="77">
        <v>31723753.75</v>
      </c>
      <c r="L92" s="77">
        <v>34644163.43</v>
      </c>
      <c r="M92" s="77">
        <v>34841981.670000002</v>
      </c>
      <c r="N92" s="77">
        <v>43213446.43</v>
      </c>
      <c r="O92" s="77">
        <v>35235663.923153207</v>
      </c>
      <c r="P92" s="77">
        <v>32313707.2157037</v>
      </c>
      <c r="Q92" s="77">
        <v>27518867.618220899</v>
      </c>
      <c r="R92" s="77">
        <v>32457757.872922201</v>
      </c>
      <c r="S92" s="101">
        <f t="shared" si="47"/>
        <v>365800000.00000006</v>
      </c>
      <c r="T92" s="436">
        <f t="shared" si="48"/>
        <v>5.0249323461131645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23" t="str">
        <f>+VLOOKUP(LEFT($A93,LEN(A93)-1)*1,Master!$D$30:$G$229,4,FALSE)</f>
        <v>Porez na međunarodnu trgovinu i transakcije</v>
      </c>
      <c r="C93" s="624"/>
      <c r="D93" s="624"/>
      <c r="E93" s="624"/>
      <c r="F93" s="624"/>
      <c r="G93" s="77">
        <v>2997811.11</v>
      </c>
      <c r="H93" s="77">
        <v>3849203.28</v>
      </c>
      <c r="I93" s="77">
        <v>4636318.09</v>
      </c>
      <c r="J93" s="77">
        <v>5632584.1600000001</v>
      </c>
      <c r="K93" s="77">
        <v>5010618.79</v>
      </c>
      <c r="L93" s="77">
        <v>5120393.08</v>
      </c>
      <c r="M93" s="77">
        <v>6113583.7999999998</v>
      </c>
      <c r="N93" s="77">
        <v>5829872.2699999996</v>
      </c>
      <c r="O93" s="77">
        <v>5167443.16</v>
      </c>
      <c r="P93" s="77">
        <v>4514923.99934946</v>
      </c>
      <c r="Q93" s="77">
        <v>4265187.6368120098</v>
      </c>
      <c r="R93" s="77">
        <v>5157250.0738385394</v>
      </c>
      <c r="S93" s="101">
        <f t="shared" si="47"/>
        <v>58295189.450000003</v>
      </c>
      <c r="T93" s="436">
        <f t="shared" si="48"/>
        <v>0.8007910964737559</v>
      </c>
      <c r="V93" s="292"/>
    </row>
    <row r="94" spans="1:26">
      <c r="A94" s="105" t="str">
        <f t="shared" si="42"/>
        <v>7118p</v>
      </c>
      <c r="B94" s="623" t="str">
        <f>+VLOOKUP(LEFT($A94,LEN(A94)-1)*1,Master!$D$30:$G$229,4,FALSE)</f>
        <v>Ostali državni porezi</v>
      </c>
      <c r="C94" s="624"/>
      <c r="D94" s="624"/>
      <c r="E94" s="624"/>
      <c r="F94" s="624"/>
      <c r="G94" s="77">
        <v>935525.03</v>
      </c>
      <c r="H94" s="77">
        <v>1177745.51</v>
      </c>
      <c r="I94" s="77">
        <v>1140306.55</v>
      </c>
      <c r="J94" s="77">
        <v>1213350.5</v>
      </c>
      <c r="K94" s="77">
        <v>1273370.29</v>
      </c>
      <c r="L94" s="77">
        <v>1187162.6200000001</v>
      </c>
      <c r="M94" s="77">
        <v>1409919.08</v>
      </c>
      <c r="N94" s="77">
        <v>1444461.28</v>
      </c>
      <c r="O94" s="77">
        <v>1218192.1000000001</v>
      </c>
      <c r="P94" s="77">
        <v>1006145.9719203205</v>
      </c>
      <c r="Q94" s="77">
        <v>1174869.5732153801</v>
      </c>
      <c r="R94" s="77">
        <v>1137639.7848642969</v>
      </c>
      <c r="S94" s="101">
        <f t="shared" si="47"/>
        <v>14318688.289999997</v>
      </c>
      <c r="T94" s="436">
        <f t="shared" si="48"/>
        <v>0.19669338420539306</v>
      </c>
      <c r="V94" s="292"/>
    </row>
    <row r="95" spans="1:26">
      <c r="A95" s="105" t="str">
        <f t="shared" si="42"/>
        <v>712p</v>
      </c>
      <c r="B95" s="629" t="str">
        <f>+VLOOKUP(LEFT($A95,LEN(A95)-1)*1,Master!$D$30:$G$229,4,FALSE)</f>
        <v>Doprinosi</v>
      </c>
      <c r="C95" s="630"/>
      <c r="D95" s="630"/>
      <c r="E95" s="630"/>
      <c r="F95" s="630"/>
      <c r="G95" s="543">
        <f>+SUM(G96:G99)</f>
        <v>13548213.42</v>
      </c>
      <c r="H95" s="543">
        <f t="shared" ref="H95:L95" si="49">+SUM(H96:H99)</f>
        <v>51209301.960000001</v>
      </c>
      <c r="I95" s="544">
        <f t="shared" si="49"/>
        <v>50079162.990000002</v>
      </c>
      <c r="J95" s="543">
        <f t="shared" si="49"/>
        <v>58312079.649999999</v>
      </c>
      <c r="K95" s="543">
        <f t="shared" si="49"/>
        <v>44239433.410000004</v>
      </c>
      <c r="L95" s="543">
        <f t="shared" si="49"/>
        <v>48567223.640000001</v>
      </c>
      <c r="M95" s="543">
        <f t="shared" ref="M95:R95" si="50">+SUM(M96:M99)</f>
        <v>55016979.530000001</v>
      </c>
      <c r="N95" s="543">
        <f t="shared" si="50"/>
        <v>54208064.920000002</v>
      </c>
      <c r="O95" s="543">
        <f t="shared" si="50"/>
        <v>47755833.769999966</v>
      </c>
      <c r="P95" s="543">
        <f t="shared" si="50"/>
        <v>53465829.031868093</v>
      </c>
      <c r="Q95" s="543">
        <f t="shared" si="50"/>
        <v>38858209.981027149</v>
      </c>
      <c r="R95" s="545">
        <f t="shared" si="50"/>
        <v>70138715.6471048</v>
      </c>
      <c r="S95" s="546">
        <f t="shared" si="47"/>
        <v>585399047.95000005</v>
      </c>
      <c r="T95" s="522">
        <f t="shared" si="48"/>
        <v>8.0415270952099682</v>
      </c>
      <c r="V95" s="292"/>
    </row>
    <row r="96" spans="1:26">
      <c r="A96" s="105" t="str">
        <f t="shared" si="42"/>
        <v>7121p</v>
      </c>
      <c r="B96" s="623" t="str">
        <f>+VLOOKUP(LEFT($A96,LEN(A96)-1)*1,Master!$D$30:$G$229,4,FALSE)</f>
        <v>Doprinosi za penzijsko i invalidsko osiguranje</v>
      </c>
      <c r="C96" s="624"/>
      <c r="D96" s="624"/>
      <c r="E96" s="624"/>
      <c r="F96" s="624"/>
      <c r="G96" s="77">
        <v>12277377.310000001</v>
      </c>
      <c r="H96" s="77">
        <v>47091163.350000001</v>
      </c>
      <c r="I96" s="77">
        <v>45892077.740000002</v>
      </c>
      <c r="J96" s="77">
        <v>53612426.219999999</v>
      </c>
      <c r="K96" s="77">
        <v>40659761.590000004</v>
      </c>
      <c r="L96" s="77">
        <v>44568700.899999999</v>
      </c>
      <c r="M96" s="77">
        <v>50382564.299999997</v>
      </c>
      <c r="N96" s="77">
        <v>49830258.149999999</v>
      </c>
      <c r="O96" s="77">
        <v>43811539.619999968</v>
      </c>
      <c r="P96" s="77">
        <v>50246198.769257635</v>
      </c>
      <c r="Q96" s="77">
        <v>35735847.985918604</v>
      </c>
      <c r="R96" s="77">
        <v>65674431.954823807</v>
      </c>
      <c r="S96" s="101">
        <f t="shared" si="47"/>
        <v>539782347.88999999</v>
      </c>
      <c r="T96" s="436">
        <f t="shared" si="48"/>
        <v>7.4148982497905136</v>
      </c>
      <c r="V96" s="292"/>
      <c r="W96" s="292"/>
    </row>
    <row r="97" spans="1:23">
      <c r="A97" s="105" t="str">
        <f t="shared" si="42"/>
        <v>7122p</v>
      </c>
      <c r="B97" s="623" t="str">
        <f>+VLOOKUP(LEFT($A97,LEN(A97)-1)*1,Master!$D$30:$G$229,4,FALSE)</f>
        <v>Doprinosi za zdravstveno osiguranje</v>
      </c>
      <c r="C97" s="624"/>
      <c r="D97" s="624"/>
      <c r="E97" s="624"/>
      <c r="F97" s="624"/>
      <c r="G97" s="77">
        <v>307850.36</v>
      </c>
      <c r="H97" s="77">
        <v>382153.8</v>
      </c>
      <c r="I97" s="77">
        <v>494660.43</v>
      </c>
      <c r="J97" s="77">
        <v>456232.43</v>
      </c>
      <c r="K97" s="77">
        <v>296984.02</v>
      </c>
      <c r="L97" s="77">
        <v>372046.09</v>
      </c>
      <c r="M97" s="77">
        <v>516613.79</v>
      </c>
      <c r="N97" s="77">
        <v>173459.08000000002</v>
      </c>
      <c r="O97" s="77">
        <v>0</v>
      </c>
      <c r="P97" s="77">
        <v>0</v>
      </c>
      <c r="Q97" s="77">
        <v>0</v>
      </c>
      <c r="R97" s="77">
        <v>0</v>
      </c>
      <c r="S97" s="101">
        <f t="shared" si="47"/>
        <v>3000000</v>
      </c>
      <c r="T97" s="436">
        <f t="shared" si="48"/>
        <v>4.121048944324629E-2</v>
      </c>
      <c r="V97" s="292"/>
    </row>
    <row r="98" spans="1:23">
      <c r="A98" s="105" t="str">
        <f t="shared" si="42"/>
        <v>7123p</v>
      </c>
      <c r="B98" s="623" t="str">
        <f>+VLOOKUP(LEFT($A98,LEN(A98)-1)*1,Master!$D$30:$G$229,4,FALSE)</f>
        <v>Doprinosi za osiguranje od nezaposlenosti</v>
      </c>
      <c r="C98" s="624"/>
      <c r="D98" s="624"/>
      <c r="E98" s="624"/>
      <c r="F98" s="624"/>
      <c r="G98" s="77">
        <v>569229.31000000006</v>
      </c>
      <c r="H98" s="77">
        <v>2203988.56</v>
      </c>
      <c r="I98" s="77">
        <v>2137007.6800000002</v>
      </c>
      <c r="J98" s="77">
        <v>2464722.08</v>
      </c>
      <c r="K98" s="77">
        <v>1910648.69</v>
      </c>
      <c r="L98" s="77">
        <v>2095564.37</v>
      </c>
      <c r="M98" s="77">
        <v>2381944.41</v>
      </c>
      <c r="N98" s="77">
        <v>2401758.41</v>
      </c>
      <c r="O98" s="77">
        <v>2261919.65</v>
      </c>
      <c r="P98" s="77">
        <v>1799280.6967573734</v>
      </c>
      <c r="Q98" s="77">
        <v>1500429.43254499</v>
      </c>
      <c r="R98" s="77">
        <v>2271124.7506976323</v>
      </c>
      <c r="S98" s="101">
        <f t="shared" si="47"/>
        <v>23997618.039999995</v>
      </c>
      <c r="T98" s="436">
        <f t="shared" si="48"/>
        <v>0.32965119496682549</v>
      </c>
      <c r="V98" s="292"/>
    </row>
    <row r="99" spans="1:23">
      <c r="A99" s="105" t="str">
        <f t="shared" si="42"/>
        <v>7124p</v>
      </c>
      <c r="B99" s="623" t="str">
        <f>+VLOOKUP(LEFT($A99,LEN(A99)-1)*1,Master!$D$30:$G$229,4,FALSE)</f>
        <v>Ostali doprinosi</v>
      </c>
      <c r="C99" s="624"/>
      <c r="D99" s="624"/>
      <c r="E99" s="624"/>
      <c r="F99" s="624"/>
      <c r="G99" s="77">
        <v>393756.44</v>
      </c>
      <c r="H99" s="77">
        <v>1531996.25</v>
      </c>
      <c r="I99" s="77">
        <v>1555417.14</v>
      </c>
      <c r="J99" s="77">
        <v>1778698.92</v>
      </c>
      <c r="K99" s="77">
        <v>1372039.11</v>
      </c>
      <c r="L99" s="77">
        <v>1530912.28</v>
      </c>
      <c r="M99" s="77">
        <v>1735857.03</v>
      </c>
      <c r="N99" s="77">
        <v>1802589.28</v>
      </c>
      <c r="O99" s="77">
        <v>1682374.5</v>
      </c>
      <c r="P99" s="77">
        <v>1420349.56585308</v>
      </c>
      <c r="Q99" s="77">
        <v>1621932.56256355</v>
      </c>
      <c r="R99" s="77">
        <v>2193158.9415833722</v>
      </c>
      <c r="S99" s="101">
        <f t="shared" si="47"/>
        <v>18619082.02</v>
      </c>
      <c r="T99" s="436">
        <f t="shared" si="48"/>
        <v>0.25576716100938224</v>
      </c>
      <c r="V99" s="292"/>
    </row>
    <row r="100" spans="1:23">
      <c r="A100" s="105" t="str">
        <f t="shared" si="42"/>
        <v>713p</v>
      </c>
      <c r="B100" s="629" t="str">
        <f>+VLOOKUP(LEFT($A100,LEN(A100)-1)*1,Master!$D$30:$G$229,4,FALSE)</f>
        <v>Takse</v>
      </c>
      <c r="C100" s="630"/>
      <c r="D100" s="630"/>
      <c r="E100" s="630"/>
      <c r="F100" s="630"/>
      <c r="G100" s="510">
        <v>859681.09</v>
      </c>
      <c r="H100" s="510">
        <v>998586.78</v>
      </c>
      <c r="I100" s="510">
        <v>986568.83000000007</v>
      </c>
      <c r="J100" s="510">
        <v>1424375.7499999998</v>
      </c>
      <c r="K100" s="510">
        <v>1250720.22</v>
      </c>
      <c r="L100" s="510">
        <v>1305037.74</v>
      </c>
      <c r="M100" s="510">
        <v>1800426.57</v>
      </c>
      <c r="N100" s="510">
        <v>1808424.72</v>
      </c>
      <c r="O100" s="510">
        <v>1276524.3220000002</v>
      </c>
      <c r="P100" s="510">
        <v>1366751.5629573569</v>
      </c>
      <c r="Q100" s="510">
        <v>1263472.9773286572</v>
      </c>
      <c r="R100" s="510">
        <v>1510973.937713986</v>
      </c>
      <c r="S100" s="546">
        <f t="shared" si="47"/>
        <v>15851544.500000002</v>
      </c>
      <c r="T100" s="522">
        <f t="shared" si="48"/>
        <v>0.21774996909213296</v>
      </c>
      <c r="V100" s="292"/>
    </row>
    <row r="101" spans="1:23">
      <c r="A101" s="105" t="str">
        <f t="shared" si="42"/>
        <v>714p</v>
      </c>
      <c r="B101" s="629" t="str">
        <f>+VLOOKUP(LEFT($A101,LEN(A101)-1)*1,Master!$D$30:$G$229,4,FALSE)</f>
        <v>Naknade</v>
      </c>
      <c r="C101" s="630"/>
      <c r="D101" s="630"/>
      <c r="E101" s="630"/>
      <c r="F101" s="630"/>
      <c r="G101" s="510">
        <v>2491580.6799999997</v>
      </c>
      <c r="H101" s="510">
        <v>4111753.23</v>
      </c>
      <c r="I101" s="510">
        <v>3497306.59</v>
      </c>
      <c r="J101" s="510">
        <v>5307671.18</v>
      </c>
      <c r="K101" s="510">
        <v>3457943.4</v>
      </c>
      <c r="L101" s="510">
        <v>4104367.62</v>
      </c>
      <c r="M101" s="510">
        <v>6739444.4199999999</v>
      </c>
      <c r="N101" s="510">
        <v>3916013.25</v>
      </c>
      <c r="O101" s="510">
        <v>3596943.34</v>
      </c>
      <c r="P101" s="510">
        <v>8444856.5697788838</v>
      </c>
      <c r="Q101" s="510">
        <v>9539829.9106435124</v>
      </c>
      <c r="R101" s="510">
        <v>7615370.4595776051</v>
      </c>
      <c r="S101" s="546">
        <f t="shared" si="47"/>
        <v>62823080.649999991</v>
      </c>
      <c r="T101" s="522">
        <f t="shared" si="48"/>
        <v>0.86298996730634481</v>
      </c>
      <c r="V101" s="292"/>
    </row>
    <row r="102" spans="1:23">
      <c r="A102" s="105" t="str">
        <f t="shared" si="42"/>
        <v>715p</v>
      </c>
      <c r="B102" s="629" t="str">
        <f>+VLOOKUP(LEFT($A102,LEN(A102)-1)*1,Master!$D$30:$G$229,4,FALSE)</f>
        <v>Ostali prihodi</v>
      </c>
      <c r="C102" s="630"/>
      <c r="D102" s="630"/>
      <c r="E102" s="630"/>
      <c r="F102" s="630"/>
      <c r="G102" s="510">
        <v>7787071.8500000006</v>
      </c>
      <c r="H102" s="510">
        <v>2506490.67</v>
      </c>
      <c r="I102" s="510">
        <v>2145824.85</v>
      </c>
      <c r="J102" s="510">
        <v>12834932.449999999</v>
      </c>
      <c r="K102" s="510">
        <v>2024117.15</v>
      </c>
      <c r="L102" s="510">
        <v>13130823.48</v>
      </c>
      <c r="M102" s="510">
        <v>18548149.52</v>
      </c>
      <c r="N102" s="510">
        <v>3488463.0699999994</v>
      </c>
      <c r="O102" s="510">
        <v>4235278.4899999993</v>
      </c>
      <c r="P102" s="510">
        <v>14669178.907052923</v>
      </c>
      <c r="Q102" s="510">
        <v>14632746.418558965</v>
      </c>
      <c r="R102" s="510">
        <v>25955742.174388066</v>
      </c>
      <c r="S102" s="546">
        <f t="shared" si="47"/>
        <v>121958819.02999996</v>
      </c>
      <c r="T102" s="522">
        <f t="shared" si="48"/>
        <v>1.6753275413821993</v>
      </c>
      <c r="V102" s="292"/>
    </row>
    <row r="103" spans="1:23">
      <c r="A103" s="105" t="str">
        <f t="shared" si="42"/>
        <v>73p</v>
      </c>
      <c r="B103" s="629" t="str">
        <f>+VLOOKUP(LEFT($A103,LEN(A103)-1)*1,Master!$D$30:$G$229,4,FALSE)</f>
        <v>Primici od otplate kredita i sredstva prenesena iz prethodne godine</v>
      </c>
      <c r="C103" s="630"/>
      <c r="D103" s="630"/>
      <c r="E103" s="630"/>
      <c r="F103" s="630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25" t="str">
        <f>+VLOOKUP(LEFT($A104,LEN(A104)-1)*1,Master!$D$30:$G$229,4,FALSE)</f>
        <v>Donacije i transferi</v>
      </c>
      <c r="C104" s="626"/>
      <c r="D104" s="626"/>
      <c r="E104" s="626"/>
      <c r="F104" s="626"/>
      <c r="G104" s="510">
        <v>4232324.3600000003</v>
      </c>
      <c r="H104" s="510">
        <v>113935.73</v>
      </c>
      <c r="I104" s="510">
        <v>3280879.61</v>
      </c>
      <c r="J104" s="510">
        <v>1986252.18</v>
      </c>
      <c r="K104" s="510">
        <v>1598929.68</v>
      </c>
      <c r="L104" s="510">
        <v>2514909.9</v>
      </c>
      <c r="M104" s="510">
        <v>3161833.91</v>
      </c>
      <c r="N104" s="510">
        <v>3345939.22</v>
      </c>
      <c r="O104" s="510">
        <v>2160528.65</v>
      </c>
      <c r="P104" s="510">
        <v>4071103.767777822</v>
      </c>
      <c r="Q104" s="510">
        <v>4449653.5944444016</v>
      </c>
      <c r="R104" s="510">
        <v>25383709.397777781</v>
      </c>
      <c r="S104" s="547">
        <f t="shared" si="47"/>
        <v>56300000</v>
      </c>
      <c r="T104" s="524">
        <f t="shared" si="48"/>
        <v>0.77338351855158871</v>
      </c>
      <c r="V104" s="292"/>
    </row>
    <row r="105" spans="1:23" ht="13.5" thickBot="1">
      <c r="A105" s="105" t="str">
        <f t="shared" si="42"/>
        <v>4p</v>
      </c>
      <c r="B105" s="607" t="str">
        <f>+VLOOKUP(LEFT($A105,LEN(A105)-1)*1,Master!$D$30:$G$229,4,FALSE)</f>
        <v>Izdaci budžeta</v>
      </c>
      <c r="C105" s="608"/>
      <c r="D105" s="608"/>
      <c r="E105" s="608"/>
      <c r="F105" s="608"/>
      <c r="G105" s="505">
        <f t="shared" ref="G105:L105" si="51">+G106+G116+G122+SUM(G123:G127)</f>
        <v>183820665.53</v>
      </c>
      <c r="H105" s="505">
        <f t="shared" si="51"/>
        <v>209034546.72</v>
      </c>
      <c r="I105" s="505">
        <f t="shared" si="51"/>
        <v>223389951.12</v>
      </c>
      <c r="J105" s="505">
        <f t="shared" si="51"/>
        <v>245922148.61000001</v>
      </c>
      <c r="K105" s="505">
        <f t="shared" si="51"/>
        <v>229395964.30000001</v>
      </c>
      <c r="L105" s="505">
        <f t="shared" si="51"/>
        <v>225770245.25999999</v>
      </c>
      <c r="M105" s="505">
        <f t="shared" ref="M105:R105" si="52">+M106+M116+M122+SUM(M123:M127)</f>
        <v>241789206.27000004</v>
      </c>
      <c r="N105" s="505">
        <f t="shared" si="52"/>
        <v>195775083.89999995</v>
      </c>
      <c r="O105" s="505">
        <f t="shared" si="52"/>
        <v>324683120.88</v>
      </c>
      <c r="P105" s="505">
        <f t="shared" si="52"/>
        <v>309512241.25</v>
      </c>
      <c r="Q105" s="505">
        <f t="shared" si="52"/>
        <v>309512241.24000001</v>
      </c>
      <c r="R105" s="505">
        <f t="shared" si="52"/>
        <v>309512211.62999994</v>
      </c>
      <c r="S105" s="548">
        <f>+SUM(G105:R105)</f>
        <v>3008117626.71</v>
      </c>
      <c r="T105" s="549">
        <f t="shared" si="48"/>
        <v>41.321999899858511</v>
      </c>
      <c r="V105" s="275"/>
    </row>
    <row r="106" spans="1:23">
      <c r="A106" s="105" t="str">
        <f t="shared" si="42"/>
        <v>41p</v>
      </c>
      <c r="B106" s="627" t="str">
        <f>+VLOOKUP(LEFT($A106,LEN(A106)-1)*1,Master!$D$30:$G$229,4,FALSE)</f>
        <v>Tekući izdaci</v>
      </c>
      <c r="C106" s="628"/>
      <c r="D106" s="628"/>
      <c r="E106" s="628"/>
      <c r="F106" s="628"/>
      <c r="G106" s="511">
        <f t="shared" ref="G106:L106" si="53">+SUM(G107:G115)</f>
        <v>78841206.859999985</v>
      </c>
      <c r="H106" s="511">
        <f t="shared" si="53"/>
        <v>83014021.199999973</v>
      </c>
      <c r="I106" s="511">
        <f t="shared" si="53"/>
        <v>92048933.290000007</v>
      </c>
      <c r="J106" s="511">
        <f t="shared" si="53"/>
        <v>107050346.88000001</v>
      </c>
      <c r="K106" s="511">
        <f t="shared" si="53"/>
        <v>97740761.239999995</v>
      </c>
      <c r="L106" s="511">
        <f t="shared" si="53"/>
        <v>88589892.949999973</v>
      </c>
      <c r="M106" s="511">
        <f t="shared" ref="M106:R106" si="54">+SUM(M107:M115)</f>
        <v>89195136.260000035</v>
      </c>
      <c r="N106" s="511">
        <f t="shared" si="54"/>
        <v>74903604.239999965</v>
      </c>
      <c r="O106" s="511">
        <f t="shared" si="54"/>
        <v>136034959.76000002</v>
      </c>
      <c r="P106" s="511">
        <f t="shared" si="54"/>
        <v>126609704.89000003</v>
      </c>
      <c r="Q106" s="511">
        <f t="shared" si="54"/>
        <v>126609704.88000003</v>
      </c>
      <c r="R106" s="512">
        <f t="shared" si="54"/>
        <v>126609678.25999996</v>
      </c>
      <c r="S106" s="542">
        <f t="shared" si="47"/>
        <v>1227247950.71</v>
      </c>
      <c r="T106" s="519">
        <f t="shared" si="48"/>
        <v>16.858496238993364</v>
      </c>
      <c r="V106" s="275"/>
      <c r="W106" s="275"/>
    </row>
    <row r="107" spans="1:23">
      <c r="A107" s="105" t="str">
        <f t="shared" si="42"/>
        <v>411p</v>
      </c>
      <c r="B107" s="623" t="str">
        <f>+VLOOKUP(LEFT($A107,LEN(A107)-1)*1,Master!$D$30:$G$229,4,FALSE)</f>
        <v>Bruto zarade i doprinosi na teret poslodavca</v>
      </c>
      <c r="C107" s="624"/>
      <c r="D107" s="624"/>
      <c r="E107" s="624"/>
      <c r="F107" s="624"/>
      <c r="G107" s="77">
        <v>55090717.779999986</v>
      </c>
      <c r="H107" s="77">
        <v>55927681.819999978</v>
      </c>
      <c r="I107" s="77">
        <v>55523778.059999987</v>
      </c>
      <c r="J107" s="77">
        <v>55425859.020000018</v>
      </c>
      <c r="K107" s="77">
        <v>56381450.370000005</v>
      </c>
      <c r="L107" s="77">
        <v>56771011.799999982</v>
      </c>
      <c r="M107" s="77">
        <v>56426791.560000025</v>
      </c>
      <c r="N107" s="77">
        <v>55778240.389999971</v>
      </c>
      <c r="O107" s="77">
        <v>62806361.320000015</v>
      </c>
      <c r="P107" s="77">
        <v>62805999.470000014</v>
      </c>
      <c r="Q107" s="77">
        <v>62805999.470000014</v>
      </c>
      <c r="R107" s="77">
        <v>62805991.889999978</v>
      </c>
      <c r="S107" s="101">
        <f t="shared" si="47"/>
        <v>698549882.94999993</v>
      </c>
      <c r="T107" s="436">
        <f t="shared" si="48"/>
        <v>9.5958608589639667</v>
      </c>
      <c r="V107" s="488"/>
    </row>
    <row r="108" spans="1:23">
      <c r="A108" s="105" t="str">
        <f t="shared" si="42"/>
        <v>412p</v>
      </c>
      <c r="B108" s="623" t="str">
        <f>+VLOOKUP(LEFT($A108,LEN(A108)-1)*1,Master!$D$30:$G$229,4,FALSE)</f>
        <v>Ostala lična primanja</v>
      </c>
      <c r="C108" s="624"/>
      <c r="D108" s="624"/>
      <c r="E108" s="624"/>
      <c r="F108" s="624"/>
      <c r="G108" s="77">
        <v>1845012.37</v>
      </c>
      <c r="H108" s="77">
        <v>1121381.1000000001</v>
      </c>
      <c r="I108" s="77">
        <v>1789478.1000000006</v>
      </c>
      <c r="J108" s="77">
        <v>1613860.580000001</v>
      </c>
      <c r="K108" s="77">
        <v>1532334.9299999995</v>
      </c>
      <c r="L108" s="77">
        <v>1656072.9800000002</v>
      </c>
      <c r="M108" s="77">
        <v>1758849.6600000011</v>
      </c>
      <c r="N108" s="77">
        <v>1228863.3999999999</v>
      </c>
      <c r="O108" s="77">
        <v>2615345.4199999995</v>
      </c>
      <c r="P108" s="77">
        <v>2604939.939999999</v>
      </c>
      <c r="Q108" s="77">
        <v>2604939.939999999</v>
      </c>
      <c r="R108" s="77">
        <v>2604938.5800000005</v>
      </c>
      <c r="S108" s="101">
        <f t="shared" si="47"/>
        <v>22976017</v>
      </c>
      <c r="T108" s="436">
        <f t="shared" si="48"/>
        <v>0.31561763534211573</v>
      </c>
      <c r="V108" s="488"/>
    </row>
    <row r="109" spans="1:23">
      <c r="A109" s="105" t="str">
        <f t="shared" si="42"/>
        <v>413p</v>
      </c>
      <c r="B109" s="623" t="str">
        <f>+VLOOKUP(LEFT($A109,LEN(A109)-1)*1,Master!$D$30:$G$229,4,FALSE)</f>
        <v>Rashodi za materijal</v>
      </c>
      <c r="C109" s="624"/>
      <c r="D109" s="624"/>
      <c r="E109" s="624"/>
      <c r="F109" s="624"/>
      <c r="G109" s="77">
        <v>2369982.58</v>
      </c>
      <c r="H109" s="77">
        <v>4309739.99</v>
      </c>
      <c r="I109" s="77">
        <v>4627461.04</v>
      </c>
      <c r="J109" s="77">
        <v>3794524.9999999995</v>
      </c>
      <c r="K109" s="77">
        <v>3824230.88</v>
      </c>
      <c r="L109" s="77">
        <v>4216176.76</v>
      </c>
      <c r="M109" s="77">
        <v>3288042.01</v>
      </c>
      <c r="N109" s="77">
        <v>2536576.7799999998</v>
      </c>
      <c r="O109" s="77">
        <v>5879314.1699999981</v>
      </c>
      <c r="P109" s="77">
        <v>5015153.0199999968</v>
      </c>
      <c r="Q109" s="77">
        <v>5015153.0199999968</v>
      </c>
      <c r="R109" s="77">
        <v>5015149.2499999981</v>
      </c>
      <c r="S109" s="101">
        <f t="shared" si="47"/>
        <v>49891504.499999985</v>
      </c>
      <c r="T109" s="436">
        <f t="shared" si="48"/>
        <v>0.68535110650164133</v>
      </c>
      <c r="V109" s="488"/>
    </row>
    <row r="110" spans="1:23">
      <c r="A110" s="105" t="str">
        <f t="shared" si="42"/>
        <v>414p</v>
      </c>
      <c r="B110" s="623" t="str">
        <f>+VLOOKUP(LEFT($A110,LEN(A110)-1)*1,Master!$D$30:$G$229,4,FALSE)</f>
        <v>Rashodi za usluge</v>
      </c>
      <c r="C110" s="624"/>
      <c r="D110" s="624"/>
      <c r="E110" s="624"/>
      <c r="F110" s="624"/>
      <c r="G110" s="77">
        <v>2784249.9200000004</v>
      </c>
      <c r="H110" s="77">
        <v>5200756.5299999993</v>
      </c>
      <c r="I110" s="77">
        <v>5783209.3900000025</v>
      </c>
      <c r="J110" s="77">
        <v>6441506.1099999985</v>
      </c>
      <c r="K110" s="77">
        <v>4515023.76</v>
      </c>
      <c r="L110" s="77">
        <v>5470012.5800000001</v>
      </c>
      <c r="M110" s="77">
        <v>4997441.2200000016</v>
      </c>
      <c r="N110" s="77">
        <v>2840935.7999999993</v>
      </c>
      <c r="O110" s="77">
        <v>11163601.780000005</v>
      </c>
      <c r="P110" s="77">
        <v>10908881.100000005</v>
      </c>
      <c r="Q110" s="77">
        <v>10908881.090000005</v>
      </c>
      <c r="R110" s="77">
        <v>10908873.049999999</v>
      </c>
      <c r="S110" s="101">
        <f t="shared" si="47"/>
        <v>81923372.330000013</v>
      </c>
      <c r="T110" s="436">
        <f t="shared" si="48"/>
        <v>1.1253674235202002</v>
      </c>
      <c r="V110" s="488"/>
    </row>
    <row r="111" spans="1:23">
      <c r="A111" s="105" t="str">
        <f t="shared" si="42"/>
        <v>415p</v>
      </c>
      <c r="B111" s="623" t="str">
        <f>+VLOOKUP(LEFT($A111,LEN(A111)-1)*1,Master!$D$30:$G$229,4,FALSE)</f>
        <v>Rashodi za tekuće održavanje</v>
      </c>
      <c r="C111" s="624"/>
      <c r="D111" s="624"/>
      <c r="E111" s="624"/>
      <c r="F111" s="624"/>
      <c r="G111" s="77">
        <v>421997.91000000003</v>
      </c>
      <c r="H111" s="77">
        <v>2207116.13</v>
      </c>
      <c r="I111" s="77">
        <v>2227194.2300000004</v>
      </c>
      <c r="J111" s="77">
        <v>3630793.98</v>
      </c>
      <c r="K111" s="77">
        <v>1842653.52</v>
      </c>
      <c r="L111" s="77">
        <v>3199704.1299999994</v>
      </c>
      <c r="M111" s="77">
        <v>5358791.49</v>
      </c>
      <c r="N111" s="77">
        <v>1479981.49</v>
      </c>
      <c r="O111" s="77">
        <v>4707282.669999999</v>
      </c>
      <c r="P111" s="77">
        <v>4676428.2699999996</v>
      </c>
      <c r="Q111" s="77">
        <v>4676428.2699999996</v>
      </c>
      <c r="R111" s="77">
        <v>4676426.9999999991</v>
      </c>
      <c r="S111" s="101">
        <f t="shared" si="47"/>
        <v>39104799.089999996</v>
      </c>
      <c r="T111" s="436">
        <f t="shared" si="48"/>
        <v>0.53717597002623729</v>
      </c>
      <c r="V111" s="488"/>
    </row>
    <row r="112" spans="1:23">
      <c r="A112" s="105" t="str">
        <f t="shared" si="42"/>
        <v>416p</v>
      </c>
      <c r="B112" s="623" t="str">
        <f>+VLOOKUP(LEFT($A112,LEN(A112)-1)*1,Master!$D$30:$G$229,4,FALSE)</f>
        <v>Kamate</v>
      </c>
      <c r="C112" s="624"/>
      <c r="D112" s="624"/>
      <c r="E112" s="624"/>
      <c r="F112" s="624"/>
      <c r="G112" s="77">
        <v>4503949.2600000007</v>
      </c>
      <c r="H112" s="77">
        <v>3756292.27</v>
      </c>
      <c r="I112" s="77">
        <v>7092103.2000000002</v>
      </c>
      <c r="J112" s="77">
        <v>23844711.640000001</v>
      </c>
      <c r="K112" s="77">
        <v>16055591.880000001</v>
      </c>
      <c r="L112" s="77">
        <v>5378731.6100000013</v>
      </c>
      <c r="M112" s="77">
        <v>3774375.9200000004</v>
      </c>
      <c r="N112" s="77">
        <v>4401368.99</v>
      </c>
      <c r="O112" s="77">
        <v>25791430.839999996</v>
      </c>
      <c r="P112" s="77">
        <v>17655486.75</v>
      </c>
      <c r="Q112" s="77">
        <v>17655486.75</v>
      </c>
      <c r="R112" s="77">
        <v>17655486.710000001</v>
      </c>
      <c r="S112" s="101">
        <f t="shared" si="47"/>
        <v>147565015.82000002</v>
      </c>
      <c r="T112" s="436">
        <f t="shared" si="48"/>
        <v>2.027075508880861</v>
      </c>
      <c r="V112" s="488"/>
    </row>
    <row r="113" spans="1:22">
      <c r="A113" s="105" t="str">
        <f t="shared" si="42"/>
        <v>417p</v>
      </c>
      <c r="B113" s="623" t="str">
        <f>+VLOOKUP(LEFT($A113,LEN(A113)-1)*1,Master!$D$30:$G$229,4,FALSE)</f>
        <v>Renta</v>
      </c>
      <c r="C113" s="624"/>
      <c r="D113" s="624"/>
      <c r="E113" s="624"/>
      <c r="F113" s="624"/>
      <c r="G113" s="77">
        <v>1145827.7</v>
      </c>
      <c r="H113" s="77">
        <v>1121922.1300000001</v>
      </c>
      <c r="I113" s="77">
        <v>1173734.8999999999</v>
      </c>
      <c r="J113" s="77">
        <v>1216286.52</v>
      </c>
      <c r="K113" s="77">
        <v>1123391.8600000001</v>
      </c>
      <c r="L113" s="77">
        <v>1136951.03</v>
      </c>
      <c r="M113" s="77">
        <v>1173779.8900000004</v>
      </c>
      <c r="N113" s="77">
        <v>955386.79999999993</v>
      </c>
      <c r="O113" s="77">
        <v>1256374.8099999996</v>
      </c>
      <c r="P113" s="77">
        <v>1251288.0399999998</v>
      </c>
      <c r="Q113" s="77">
        <v>1251288.0399999998</v>
      </c>
      <c r="R113" s="77">
        <v>1251287.7599999995</v>
      </c>
      <c r="S113" s="101">
        <f t="shared" si="47"/>
        <v>14057519.479999999</v>
      </c>
      <c r="T113" s="436">
        <f t="shared" si="48"/>
        <v>0.19310575270958966</v>
      </c>
      <c r="V113" s="488"/>
    </row>
    <row r="114" spans="1:22">
      <c r="A114" s="105" t="str">
        <f t="shared" si="42"/>
        <v>418p</v>
      </c>
      <c r="B114" s="623" t="str">
        <f>+VLOOKUP(LEFT($A114,LEN(A114)-1)*1,Master!$D$30:$G$229,4,FALSE)</f>
        <v>Subvencije</v>
      </c>
      <c r="C114" s="624"/>
      <c r="D114" s="624"/>
      <c r="E114" s="624"/>
      <c r="F114" s="624"/>
      <c r="G114" s="77">
        <v>2731666.67</v>
      </c>
      <c r="H114" s="77">
        <v>4565115.9800000004</v>
      </c>
      <c r="I114" s="77">
        <v>6441730.6699999999</v>
      </c>
      <c r="J114" s="77">
        <v>6542895.6699999999</v>
      </c>
      <c r="K114" s="77">
        <v>7137211.9099999992</v>
      </c>
      <c r="L114" s="77">
        <v>5996551</v>
      </c>
      <c r="M114" s="77">
        <v>6613693.3300000001</v>
      </c>
      <c r="N114" s="77">
        <v>2663566.67</v>
      </c>
      <c r="O114" s="77">
        <v>9829142.0100000016</v>
      </c>
      <c r="P114" s="77">
        <v>9829142.0100000016</v>
      </c>
      <c r="Q114" s="77">
        <v>9829142.0100000016</v>
      </c>
      <c r="R114" s="77">
        <v>9829142</v>
      </c>
      <c r="S114" s="101">
        <f t="shared" si="47"/>
        <v>82008999.930000022</v>
      </c>
      <c r="T114" s="436">
        <f t="shared" si="48"/>
        <v>1.1265436752888172</v>
      </c>
      <c r="V114" s="488"/>
    </row>
    <row r="115" spans="1:22">
      <c r="A115" s="105" t="str">
        <f t="shared" si="42"/>
        <v>419p</v>
      </c>
      <c r="B115" s="623" t="str">
        <f>+VLOOKUP(LEFT($A115,LEN(A115)-1)*1,Master!$D$30:$G$229,4,FALSE)</f>
        <v>Ostali izdaci</v>
      </c>
      <c r="C115" s="624"/>
      <c r="D115" s="624"/>
      <c r="E115" s="624"/>
      <c r="F115" s="624"/>
      <c r="G115" s="77">
        <v>7947802.6700000009</v>
      </c>
      <c r="H115" s="77">
        <v>4804015.25</v>
      </c>
      <c r="I115" s="77">
        <v>7390243.7000000002</v>
      </c>
      <c r="J115" s="77">
        <v>4539908.3599999994</v>
      </c>
      <c r="K115" s="77">
        <v>5328872.13</v>
      </c>
      <c r="L115" s="77">
        <v>4764681.0599999977</v>
      </c>
      <c r="M115" s="77">
        <v>5803371.1800000006</v>
      </c>
      <c r="N115" s="77">
        <v>3018683.9200000004</v>
      </c>
      <c r="O115" s="77">
        <v>11986106.740000006</v>
      </c>
      <c r="P115" s="77">
        <v>11862386.290000007</v>
      </c>
      <c r="Q115" s="77">
        <v>11862386.290000007</v>
      </c>
      <c r="R115" s="77">
        <v>11862382.02</v>
      </c>
      <c r="S115" s="101">
        <f t="shared" si="47"/>
        <v>91170839.610000014</v>
      </c>
      <c r="T115" s="436">
        <f t="shared" si="48"/>
        <v>1.2523983077599352</v>
      </c>
      <c r="V115" s="488"/>
    </row>
    <row r="116" spans="1:22">
      <c r="A116" s="105" t="str">
        <f t="shared" si="42"/>
        <v>42p</v>
      </c>
      <c r="B116" s="619" t="str">
        <f>+VLOOKUP(LEFT($A116,LEN(A116)-1)*1,Master!$D$30:$G$229,4,FALSE)</f>
        <v>Transferi za socijalnu zaštitu</v>
      </c>
      <c r="C116" s="620"/>
      <c r="D116" s="620"/>
      <c r="E116" s="620"/>
      <c r="F116" s="620"/>
      <c r="G116" s="507">
        <f t="shared" ref="G116:L116" si="55">+SUM(G117:G121)</f>
        <v>73494600.770000011</v>
      </c>
      <c r="H116" s="507">
        <f t="shared" si="55"/>
        <v>82093000.99000001</v>
      </c>
      <c r="I116" s="507">
        <f t="shared" si="55"/>
        <v>81100925.239999995</v>
      </c>
      <c r="J116" s="507">
        <f t="shared" si="55"/>
        <v>83912019.790000007</v>
      </c>
      <c r="K116" s="507">
        <f t="shared" si="55"/>
        <v>82988777.170000002</v>
      </c>
      <c r="L116" s="507">
        <f t="shared" si="55"/>
        <v>87080191.770000011</v>
      </c>
      <c r="M116" s="507">
        <f t="shared" ref="M116:R116" si="56">+SUM(M117:M121)</f>
        <v>83205495.530000001</v>
      </c>
      <c r="N116" s="507">
        <f t="shared" si="56"/>
        <v>85610351.370000005</v>
      </c>
      <c r="O116" s="507">
        <f t="shared" si="56"/>
        <v>87439444.099999994</v>
      </c>
      <c r="P116" s="507">
        <f t="shared" si="56"/>
        <v>86802593.00999999</v>
      </c>
      <c r="Q116" s="507">
        <f t="shared" si="56"/>
        <v>86802593.00999999</v>
      </c>
      <c r="R116" s="507">
        <f t="shared" si="56"/>
        <v>86802592.889999986</v>
      </c>
      <c r="S116" s="546">
        <f t="shared" si="47"/>
        <v>1007332585.64</v>
      </c>
      <c r="T116" s="522">
        <f t="shared" si="48"/>
        <v>13.837556295451737</v>
      </c>
      <c r="V116" s="292"/>
    </row>
    <row r="117" spans="1:22">
      <c r="A117" s="105" t="str">
        <f t="shared" si="42"/>
        <v>421p</v>
      </c>
      <c r="B117" s="623" t="str">
        <f>+VLOOKUP(LEFT($A117,LEN(A117)-1)*1,Master!$D$30:$G$229,4,FALSE)</f>
        <v>Prava iz oblasti socijalne zaštite</v>
      </c>
      <c r="C117" s="624"/>
      <c r="D117" s="624"/>
      <c r="E117" s="624"/>
      <c r="F117" s="624"/>
      <c r="G117" s="499">
        <v>17263673.050000001</v>
      </c>
      <c r="H117" s="499">
        <v>17437731.979999997</v>
      </c>
      <c r="I117" s="499">
        <v>16920688.470000003</v>
      </c>
      <c r="J117" s="499">
        <v>17626340.169999998</v>
      </c>
      <c r="K117" s="499">
        <v>17001906.07</v>
      </c>
      <c r="L117" s="499">
        <v>17977246.739999998</v>
      </c>
      <c r="M117" s="499">
        <v>16917527.130000003</v>
      </c>
      <c r="N117" s="499">
        <v>18622201.02</v>
      </c>
      <c r="O117" s="499">
        <v>18073921.359999999</v>
      </c>
      <c r="P117" s="499">
        <v>18073921.359999999</v>
      </c>
      <c r="Q117" s="499">
        <v>18073921.359999999</v>
      </c>
      <c r="R117" s="499">
        <v>18073921.289999999</v>
      </c>
      <c r="S117" s="101">
        <f t="shared" si="47"/>
        <v>212063000.00000003</v>
      </c>
      <c r="T117" s="436">
        <f t="shared" si="48"/>
        <v>2.9130733409343796</v>
      </c>
      <c r="V117" s="488"/>
    </row>
    <row r="118" spans="1:22">
      <c r="A118" s="105" t="str">
        <f t="shared" ref="A118:A134" si="57">+CONCATENATE(A42,"p")</f>
        <v>422p</v>
      </c>
      <c r="B118" s="623" t="str">
        <f>+VLOOKUP(LEFT($A118,LEN(A118)-1)*1,Master!$D$30:$G$229,4,FALSE)</f>
        <v>Sredstva za tehnološke viškove</v>
      </c>
      <c r="C118" s="624"/>
      <c r="D118" s="624"/>
      <c r="E118" s="624"/>
      <c r="F118" s="624"/>
      <c r="G118" s="499">
        <v>2042355.51</v>
      </c>
      <c r="H118" s="499">
        <v>2083858.33</v>
      </c>
      <c r="I118" s="499">
        <v>8025</v>
      </c>
      <c r="J118" s="499">
        <v>1913496.3</v>
      </c>
      <c r="K118" s="499">
        <v>1869681.84</v>
      </c>
      <c r="L118" s="499">
        <v>1844784.76</v>
      </c>
      <c r="M118" s="499">
        <v>1856591.34</v>
      </c>
      <c r="N118" s="499">
        <v>1850620.4200000002</v>
      </c>
      <c r="O118" s="499">
        <v>2013882.0499999998</v>
      </c>
      <c r="P118" s="499">
        <v>1817334.8199999998</v>
      </c>
      <c r="Q118" s="499">
        <v>1817334.8199999998</v>
      </c>
      <c r="R118" s="499">
        <v>1817334.8099999998</v>
      </c>
      <c r="S118" s="101">
        <f t="shared" si="47"/>
        <v>20935300</v>
      </c>
      <c r="T118" s="436">
        <f t="shared" si="48"/>
        <v>0.28758465321373133</v>
      </c>
      <c r="V118" s="488"/>
    </row>
    <row r="119" spans="1:22">
      <c r="A119" s="105" t="str">
        <f t="shared" si="57"/>
        <v>423p</v>
      </c>
      <c r="B119" s="623" t="str">
        <f>+VLOOKUP(LEFT($A119,LEN(A119)-1)*1,Master!$D$30:$G$229,4,FALSE)</f>
        <v>Prava iz oblasti penzijskog i invalidskog osiguranja</v>
      </c>
      <c r="C119" s="624"/>
      <c r="D119" s="624"/>
      <c r="E119" s="624"/>
      <c r="F119" s="624"/>
      <c r="G119" s="499">
        <v>51133572.210000001</v>
      </c>
      <c r="H119" s="499">
        <v>59516410.680000007</v>
      </c>
      <c r="I119" s="499">
        <v>61117211.769999996</v>
      </c>
      <c r="J119" s="499">
        <v>61317183.320000008</v>
      </c>
      <c r="K119" s="499">
        <v>61062189.260000005</v>
      </c>
      <c r="L119" s="499">
        <v>61903160.270000003</v>
      </c>
      <c r="M119" s="499">
        <v>61711377.060000002</v>
      </c>
      <c r="N119" s="499">
        <v>62111529.930000007</v>
      </c>
      <c r="O119" s="499">
        <v>64325640.68999999</v>
      </c>
      <c r="P119" s="499">
        <v>64325640.68999999</v>
      </c>
      <c r="Q119" s="499">
        <v>64325640.68999999</v>
      </c>
      <c r="R119" s="499">
        <v>64325640.649999991</v>
      </c>
      <c r="S119" s="101">
        <f t="shared" si="47"/>
        <v>737175197.21999979</v>
      </c>
      <c r="T119" s="436">
        <f t="shared" si="48"/>
        <v>10.126450227619268</v>
      </c>
      <c r="V119" s="488"/>
    </row>
    <row r="120" spans="1:22">
      <c r="A120" s="105" t="str">
        <f t="shared" si="57"/>
        <v>424p</v>
      </c>
      <c r="B120" s="623" t="str">
        <f>+VLOOKUP(LEFT($A120,LEN(A120)-1)*1,Master!$D$30:$G$229,4,FALSE)</f>
        <v>Ostala prava iz oblasti zdravstvene zaštite</v>
      </c>
      <c r="C120" s="624"/>
      <c r="D120" s="624"/>
      <c r="E120" s="624"/>
      <c r="F120" s="624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4055000</v>
      </c>
      <c r="M120" s="499">
        <v>1200000</v>
      </c>
      <c r="N120" s="499">
        <v>1506000</v>
      </c>
      <c r="O120" s="499">
        <v>1506000</v>
      </c>
      <c r="P120" s="499">
        <v>1506000</v>
      </c>
      <c r="Q120" s="499">
        <v>1506000</v>
      </c>
      <c r="R120" s="499">
        <v>1506000</v>
      </c>
      <c r="S120" s="101">
        <f t="shared" si="47"/>
        <v>21560000</v>
      </c>
      <c r="T120" s="436">
        <f t="shared" si="48"/>
        <v>0.29616605079879665</v>
      </c>
      <c r="V120" s="488"/>
    </row>
    <row r="121" spans="1:22">
      <c r="A121" s="105" t="str">
        <f t="shared" si="57"/>
        <v>425p</v>
      </c>
      <c r="B121" s="623" t="str">
        <f>+VLOOKUP(LEFT($A121,LEN(A121)-1)*1,Master!$D$30:$G$229,4,FALSE)</f>
        <v>Ostala prava iz zdravstvenog osiguranja</v>
      </c>
      <c r="C121" s="624"/>
      <c r="D121" s="624"/>
      <c r="E121" s="624"/>
      <c r="F121" s="624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1520000</v>
      </c>
      <c r="N121" s="499">
        <v>1520000</v>
      </c>
      <c r="O121" s="499">
        <v>1520000</v>
      </c>
      <c r="P121" s="499">
        <v>1079696.1400000001</v>
      </c>
      <c r="Q121" s="499">
        <v>1079696.1400000001</v>
      </c>
      <c r="R121" s="499">
        <v>1079696.1400000001</v>
      </c>
      <c r="S121" s="101">
        <f t="shared" si="47"/>
        <v>15599088.420000002</v>
      </c>
      <c r="T121" s="436">
        <f t="shared" si="48"/>
        <v>0.21428202288555848</v>
      </c>
      <c r="V121" s="488"/>
    </row>
    <row r="122" spans="1:22">
      <c r="A122" s="105" t="str">
        <f t="shared" si="57"/>
        <v>43p</v>
      </c>
      <c r="B122" s="621" t="str">
        <f>+VLOOKUP(LEFT($A122,LEN(A122)-1)*1,Master!$D$30:$G$229,4,FALSE)</f>
        <v xml:space="preserve">Transferi institucijama, pojedincima, nevladinom i javnom sektoru </v>
      </c>
      <c r="C122" s="622"/>
      <c r="D122" s="622"/>
      <c r="E122" s="622"/>
      <c r="F122" s="622"/>
      <c r="G122" s="510">
        <v>28564147.63000001</v>
      </c>
      <c r="H122" s="510">
        <v>32536023.690000009</v>
      </c>
      <c r="I122" s="510">
        <v>33620505.540000007</v>
      </c>
      <c r="J122" s="510">
        <v>33996126.920000002</v>
      </c>
      <c r="K122" s="510">
        <v>28169682.809999999</v>
      </c>
      <c r="L122" s="510">
        <v>32301939.990000006</v>
      </c>
      <c r="M122" s="510">
        <v>48116062.330000006</v>
      </c>
      <c r="N122" s="510">
        <v>28573392.820000008</v>
      </c>
      <c r="O122" s="510">
        <v>41344037.339999996</v>
      </c>
      <c r="P122" s="510">
        <v>37535806.099999994</v>
      </c>
      <c r="Q122" s="510">
        <v>37535806.099999994</v>
      </c>
      <c r="R122" s="510">
        <v>37535805.210000001</v>
      </c>
      <c r="S122" s="546">
        <f>+SUM(G122:R122)</f>
        <v>419829336.48000008</v>
      </c>
      <c r="T122" s="522">
        <f t="shared" si="48"/>
        <v>5.7671241463247123</v>
      </c>
      <c r="V122" s="488"/>
    </row>
    <row r="123" spans="1:22">
      <c r="A123" s="105" t="str">
        <f t="shared" si="57"/>
        <v>44p</v>
      </c>
      <c r="B123" s="621" t="str">
        <f>+VLOOKUP(LEFT($A123,LEN(A123)-1)*1,Master!$D$30:$G$229,4,FALSE)</f>
        <v>Kapitalni izdaci</v>
      </c>
      <c r="C123" s="622"/>
      <c r="D123" s="622"/>
      <c r="E123" s="622"/>
      <c r="F123" s="622"/>
      <c r="G123" s="510">
        <v>2493461.69</v>
      </c>
      <c r="H123" s="510">
        <v>10868981.66</v>
      </c>
      <c r="I123" s="510">
        <v>15828943.68</v>
      </c>
      <c r="J123" s="510">
        <v>18716642.889999997</v>
      </c>
      <c r="K123" s="510">
        <v>12175709.51</v>
      </c>
      <c r="L123" s="510">
        <v>13530154.32</v>
      </c>
      <c r="M123" s="510">
        <v>16336899.660000002</v>
      </c>
      <c r="N123" s="510">
        <v>6646856.0699999994</v>
      </c>
      <c r="O123" s="510">
        <v>44278288.799999982</v>
      </c>
      <c r="P123" s="510">
        <v>42977746.36999999</v>
      </c>
      <c r="Q123" s="510">
        <v>42977746.36999999</v>
      </c>
      <c r="R123" s="510">
        <v>42977744.680000007</v>
      </c>
      <c r="S123" s="546">
        <f>+SUM(G123:R123)</f>
        <v>269809175.69999999</v>
      </c>
      <c r="T123" s="522">
        <f t="shared" si="48"/>
        <v>3.7063227289586109</v>
      </c>
      <c r="U123" s="292"/>
      <c r="V123" s="488"/>
    </row>
    <row r="124" spans="1:22">
      <c r="A124" s="105" t="str">
        <f t="shared" si="57"/>
        <v>451p</v>
      </c>
      <c r="B124" s="613" t="str">
        <f>+VLOOKUP(LEFT($A124,LEN(A124)-1)*1,Master!$D$30:$G$229,4,FALSE)</f>
        <v>Pozajmice i krediti</v>
      </c>
      <c r="C124" s="614"/>
      <c r="D124" s="614"/>
      <c r="E124" s="614"/>
      <c r="F124" s="614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13" t="str">
        <f>+VLOOKUP(LEFT($A125,LEN(A125)-1)*1,Master!$D$30:$G$229,4,FALSE)</f>
        <v>Rezerve</v>
      </c>
      <c r="C125" s="614"/>
      <c r="D125" s="614"/>
      <c r="E125" s="614"/>
      <c r="F125" s="614"/>
      <c r="G125" s="501">
        <v>0</v>
      </c>
      <c r="H125" s="501">
        <v>0</v>
      </c>
      <c r="I125" s="501">
        <v>754804.72</v>
      </c>
      <c r="J125" s="501">
        <v>2241991.67</v>
      </c>
      <c r="K125" s="501">
        <v>8318950</v>
      </c>
      <c r="L125" s="501">
        <v>4247049.5</v>
      </c>
      <c r="M125" s="501">
        <v>4935612.49</v>
      </c>
      <c r="N125" s="501">
        <v>10879.4</v>
      </c>
      <c r="O125" s="501">
        <v>10387962.93</v>
      </c>
      <c r="P125" s="501">
        <v>10387962.93</v>
      </c>
      <c r="Q125" s="501">
        <v>10387962.93</v>
      </c>
      <c r="R125" s="501">
        <v>10387962.91</v>
      </c>
      <c r="S125" s="101">
        <f t="shared" si="47"/>
        <v>62061139.480000004</v>
      </c>
      <c r="T125" s="436">
        <f t="shared" si="48"/>
        <v>0.85252331112545854</v>
      </c>
      <c r="U125" s="292"/>
      <c r="V125" s="488"/>
    </row>
    <row r="126" spans="1:22">
      <c r="A126" s="105" t="str">
        <f t="shared" si="57"/>
        <v>462p</v>
      </c>
      <c r="B126" s="613" t="str">
        <f>+VLOOKUP(LEFT($A126,LEN(A126)-1)*1,Master!$D$30:$G$229,4,FALSE)</f>
        <v>Otplata garancija</v>
      </c>
      <c r="C126" s="614"/>
      <c r="D126" s="614"/>
      <c r="E126" s="614"/>
      <c r="F126" s="614"/>
      <c r="G126" s="499">
        <v>0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0.5</v>
      </c>
      <c r="P126" s="499">
        <v>0.5</v>
      </c>
      <c r="Q126" s="499">
        <v>0.5</v>
      </c>
      <c r="R126" s="499">
        <v>0.5</v>
      </c>
      <c r="S126" s="101">
        <f t="shared" si="47"/>
        <v>2</v>
      </c>
      <c r="T126" s="436">
        <f t="shared" si="48"/>
        <v>2.7473659628830857E-8</v>
      </c>
      <c r="U126" s="292"/>
      <c r="V126" s="488"/>
    </row>
    <row r="127" spans="1:22">
      <c r="A127" s="106" t="str">
        <f t="shared" si="57"/>
        <v>4630p</v>
      </c>
      <c r="B127" s="613" t="str">
        <f>+VLOOKUP(LEFT($A127,LEN(A127)-1)*1,Master!$D$30:$G$229,4,FALSE)</f>
        <v>Otplata obaveza iz prethodnog perioda</v>
      </c>
      <c r="C127" s="614"/>
      <c r="D127" s="614"/>
      <c r="E127" s="614"/>
      <c r="F127" s="614"/>
      <c r="G127" s="502">
        <v>427248.58</v>
      </c>
      <c r="H127" s="501">
        <v>522519.18</v>
      </c>
      <c r="I127" s="501">
        <v>35838.65</v>
      </c>
      <c r="J127" s="501">
        <v>5020.46</v>
      </c>
      <c r="K127" s="501">
        <v>2083.5699999999997</v>
      </c>
      <c r="L127" s="501">
        <v>21016.73</v>
      </c>
      <c r="M127" s="501">
        <v>0</v>
      </c>
      <c r="N127" s="501">
        <v>30000</v>
      </c>
      <c r="O127" s="501">
        <v>5198427.45</v>
      </c>
      <c r="P127" s="501">
        <v>5198427.45</v>
      </c>
      <c r="Q127" s="501">
        <v>5198427.45</v>
      </c>
      <c r="R127" s="501">
        <v>5198427.18</v>
      </c>
      <c r="S127" s="92">
        <f>+SUM(G127:R127)</f>
        <v>21837436.699999999</v>
      </c>
      <c r="T127" s="444">
        <f t="shared" si="48"/>
        <v>0.29997715153096971</v>
      </c>
      <c r="U127" s="292"/>
      <c r="V127" s="488"/>
    </row>
    <row r="128" spans="1:22" ht="13.5" thickBot="1">
      <c r="A128" s="105" t="str">
        <f t="shared" si="57"/>
        <v>1005p</v>
      </c>
      <c r="B128" s="613" t="str">
        <f>+VLOOKUP(LEFT($A128,LEN(A128)-1)*1,Master!$D$30:$G$229,4,FALSE)</f>
        <v>Neto povećanje obaveza</v>
      </c>
      <c r="C128" s="614"/>
      <c r="D128" s="614"/>
      <c r="E128" s="614"/>
      <c r="F128" s="614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15" t="str">
        <f>+VLOOKUP(LEFT($A129,LEN(A129)-1)*1,Master!$D$30:$G$226,4,FALSE)</f>
        <v>Suficit / deficit</v>
      </c>
      <c r="C129" s="616"/>
      <c r="D129" s="616"/>
      <c r="E129" s="616"/>
      <c r="F129" s="616"/>
      <c r="G129" s="504">
        <f t="shared" ref="G129:L129" si="58">+G86-G105</f>
        <v>-32889842.070000023</v>
      </c>
      <c r="H129" s="505">
        <f t="shared" si="58"/>
        <v>-28785879.179999977</v>
      </c>
      <c r="I129" s="504">
        <f t="shared" si="58"/>
        <v>21157166.700000018</v>
      </c>
      <c r="J129" s="504">
        <f t="shared" si="58"/>
        <v>71650295.599999964</v>
      </c>
      <c r="K129" s="504">
        <f t="shared" si="58"/>
        <v>-36099311.860000044</v>
      </c>
      <c r="L129" s="504">
        <f t="shared" si="58"/>
        <v>-3144476.0899999738</v>
      </c>
      <c r="M129" s="504">
        <f t="shared" ref="M129:R129" si="59">+M86-M105</f>
        <v>19765077.549999982</v>
      </c>
      <c r="N129" s="504">
        <f t="shared" si="59"/>
        <v>58763848.440000087</v>
      </c>
      <c r="O129" s="504">
        <f t="shared" si="59"/>
        <v>-101975446.33239847</v>
      </c>
      <c r="P129" s="504">
        <f t="shared" si="59"/>
        <v>-73787687.733982325</v>
      </c>
      <c r="Q129" s="504">
        <f t="shared" si="59"/>
        <v>-103114950.01935866</v>
      </c>
      <c r="R129" s="504">
        <f t="shared" si="59"/>
        <v>-27008273.183884382</v>
      </c>
      <c r="S129" s="550">
        <f t="shared" si="47"/>
        <v>-235469478.17962381</v>
      </c>
      <c r="T129" s="531">
        <f t="shared" si="48"/>
        <v>-3.2346041482426999</v>
      </c>
      <c r="U129" s="292"/>
      <c r="V129" s="292"/>
    </row>
    <row r="130" spans="1:22" ht="13.5" thickBot="1">
      <c r="A130" s="106" t="str">
        <f t="shared" si="57"/>
        <v>1001p</v>
      </c>
      <c r="B130" s="617" t="str">
        <f>+VLOOKUP(LEFT($A130,LEN(A130)-1)*1,Master!$D$30:$G$226,4,FALSE)</f>
        <v>Primarni suficit/deficit</v>
      </c>
      <c r="C130" s="618"/>
      <c r="D130" s="618"/>
      <c r="E130" s="618"/>
      <c r="F130" s="618"/>
      <c r="G130" s="506">
        <f>+G129+G112</f>
        <v>-28385892.810000021</v>
      </c>
      <c r="H130" s="506">
        <f t="shared" ref="H130:L130" si="60">+H129+H112</f>
        <v>-25029586.909999978</v>
      </c>
      <c r="I130" s="506">
        <f t="shared" si="60"/>
        <v>28249269.900000017</v>
      </c>
      <c r="J130" s="506">
        <f t="shared" si="60"/>
        <v>95495007.239999965</v>
      </c>
      <c r="K130" s="506">
        <f t="shared" si="60"/>
        <v>-20043719.980000041</v>
      </c>
      <c r="L130" s="506">
        <f t="shared" si="60"/>
        <v>2234255.5200000275</v>
      </c>
      <c r="M130" s="506">
        <f t="shared" ref="M130:R130" si="61">+M129+M112</f>
        <v>23539453.469999984</v>
      </c>
      <c r="N130" s="506">
        <f t="shared" si="61"/>
        <v>63165217.430000089</v>
      </c>
      <c r="O130" s="506">
        <f t="shared" si="61"/>
        <v>-76184015.492398471</v>
      </c>
      <c r="P130" s="506">
        <f t="shared" si="61"/>
        <v>-56132200.983982325</v>
      </c>
      <c r="Q130" s="506">
        <f t="shared" si="61"/>
        <v>-85459463.269358665</v>
      </c>
      <c r="R130" s="506">
        <f t="shared" si="61"/>
        <v>-9352786.4738843814</v>
      </c>
      <c r="S130" s="550">
        <f t="shared" si="47"/>
        <v>-87904462.35962379</v>
      </c>
      <c r="T130" s="531">
        <f t="shared" si="48"/>
        <v>-1.207528639361839</v>
      </c>
      <c r="U130" s="292"/>
      <c r="V130" s="292"/>
    </row>
    <row r="131" spans="1:22">
      <c r="A131" s="106" t="str">
        <f t="shared" si="57"/>
        <v>46p</v>
      </c>
      <c r="B131" s="619" t="str">
        <f>+VLOOKUP(LEFT($A131,LEN(A131)-1)*1,Master!$D$30:$G$226,4,FALSE)</f>
        <v>Otplata dugova</v>
      </c>
      <c r="C131" s="620"/>
      <c r="D131" s="620"/>
      <c r="E131" s="620"/>
      <c r="F131" s="620"/>
      <c r="G131" s="507">
        <f>+SUM(G132:G133)</f>
        <v>34814310.539999999</v>
      </c>
      <c r="H131" s="507">
        <f t="shared" ref="H131:L131" si="62">+SUM(H132:H133)</f>
        <v>6742175.8300000001</v>
      </c>
      <c r="I131" s="507">
        <f t="shared" si="62"/>
        <v>59755086.909999996</v>
      </c>
      <c r="J131" s="507">
        <f t="shared" si="62"/>
        <v>101926654.03</v>
      </c>
      <c r="K131" s="507">
        <f t="shared" si="62"/>
        <v>54360722.859999999</v>
      </c>
      <c r="L131" s="507">
        <f t="shared" si="62"/>
        <v>43636763.079999998</v>
      </c>
      <c r="M131" s="508">
        <f t="shared" ref="M131" si="63">+SUM(M132:M133)</f>
        <v>42476800.75</v>
      </c>
      <c r="N131" s="507">
        <f t="shared" ref="N131:R131" si="64">+SUM(N132:N133)</f>
        <v>7860172.6500000004</v>
      </c>
      <c r="O131" s="507">
        <f t="shared" si="64"/>
        <v>39327175.670000002</v>
      </c>
      <c r="P131" s="507">
        <f t="shared" si="64"/>
        <v>37862418.009999998</v>
      </c>
      <c r="Q131" s="507">
        <f t="shared" si="64"/>
        <v>37862418.009999998</v>
      </c>
      <c r="R131" s="507">
        <f t="shared" si="64"/>
        <v>37862417.960000001</v>
      </c>
      <c r="S131" s="551">
        <f t="shared" si="47"/>
        <v>504487116.29999995</v>
      </c>
      <c r="T131" s="533">
        <f t="shared" si="48"/>
        <v>6.930053660178304</v>
      </c>
      <c r="U131" s="292"/>
      <c r="V131" s="292"/>
    </row>
    <row r="132" spans="1:22">
      <c r="A132" s="106" t="str">
        <f t="shared" si="57"/>
        <v>4611p</v>
      </c>
      <c r="B132" s="611" t="str">
        <f>+VLOOKUP(LEFT($A132,LEN(A132)-1)*1,Master!$D$30:$G$226,4,FALSE)</f>
        <v>Otplata hartija od vrijednosti i kredita rezidentima</v>
      </c>
      <c r="C132" s="612"/>
      <c r="D132" s="612"/>
      <c r="E132" s="612"/>
      <c r="F132" s="612"/>
      <c r="G132" s="502">
        <v>2501123.7999999998</v>
      </c>
      <c r="H132" s="502">
        <v>2949295.9899999998</v>
      </c>
      <c r="I132" s="502">
        <v>23477657.120000001</v>
      </c>
      <c r="J132" s="502">
        <v>95643965.920000002</v>
      </c>
      <c r="K132" s="502">
        <v>9857492.6099999994</v>
      </c>
      <c r="L132" s="502">
        <v>28020972.040000003</v>
      </c>
      <c r="M132" s="503">
        <v>2591776.0299999998</v>
      </c>
      <c r="N132" s="503">
        <v>3040506.12</v>
      </c>
      <c r="O132" s="503">
        <v>12819649.92</v>
      </c>
      <c r="P132" s="503">
        <v>11354892.26</v>
      </c>
      <c r="Q132" s="503">
        <v>11354892.26</v>
      </c>
      <c r="R132" s="503">
        <v>11354892.23</v>
      </c>
      <c r="S132" s="92">
        <f t="shared" si="47"/>
        <v>214967116.29999995</v>
      </c>
      <c r="T132" s="444">
        <f t="shared" si="48"/>
        <v>2.9529666923087485</v>
      </c>
      <c r="U132" s="292"/>
      <c r="V132" s="292"/>
    </row>
    <row r="133" spans="1:22" ht="13.5" thickBot="1">
      <c r="A133" s="106" t="str">
        <f t="shared" si="57"/>
        <v>4612p</v>
      </c>
      <c r="B133" s="613" t="str">
        <f>+VLOOKUP(LEFT($A133,LEN(A133)-1)*1,Master!$D$30:$G$226,4,FALSE)</f>
        <v>Otplata hartija od vrijednosti i kredita nerezidentima</v>
      </c>
      <c r="C133" s="614"/>
      <c r="D133" s="614"/>
      <c r="E133" s="614"/>
      <c r="F133" s="614"/>
      <c r="G133" s="502">
        <v>32313186.739999998</v>
      </c>
      <c r="H133" s="502">
        <v>3792879.84</v>
      </c>
      <c r="I133" s="502">
        <v>36277429.789999999</v>
      </c>
      <c r="J133" s="502">
        <v>6282688.1099999994</v>
      </c>
      <c r="K133" s="502">
        <v>44503230.25</v>
      </c>
      <c r="L133" s="502">
        <v>15615791.039999999</v>
      </c>
      <c r="M133" s="503">
        <v>39885024.719999999</v>
      </c>
      <c r="N133" s="503">
        <v>4819666.53</v>
      </c>
      <c r="O133" s="503">
        <v>26507525.75</v>
      </c>
      <c r="P133" s="503">
        <v>26507525.75</v>
      </c>
      <c r="Q133" s="503">
        <v>26507525.75</v>
      </c>
      <c r="R133" s="503">
        <v>26507525.73</v>
      </c>
      <c r="S133" s="92">
        <f t="shared" si="47"/>
        <v>289520000</v>
      </c>
      <c r="T133" s="444">
        <f t="shared" si="48"/>
        <v>3.9770869678695551</v>
      </c>
      <c r="U133" s="292"/>
      <c r="V133" s="292"/>
    </row>
    <row r="134" spans="1:22" ht="13.5" thickBot="1">
      <c r="A134" s="106" t="str">
        <f t="shared" si="57"/>
        <v>4418p</v>
      </c>
      <c r="B134" s="607" t="str">
        <f>+VLOOKUP(LEFT($A134,LEN(A134)-1)*1,Master!$D$30:$G$226,4,FALSE)</f>
        <v>Izdaci za kupovinu hartija od vrijednosti</v>
      </c>
      <c r="C134" s="608"/>
      <c r="D134" s="608"/>
      <c r="E134" s="608"/>
      <c r="F134" s="608"/>
      <c r="G134" s="504">
        <v>0.08</v>
      </c>
      <c r="H134" s="504">
        <v>0.08</v>
      </c>
      <c r="I134" s="504">
        <v>1560695.5</v>
      </c>
      <c r="J134" s="504">
        <v>0</v>
      </c>
      <c r="K134" s="504">
        <v>1500000</v>
      </c>
      <c r="L134" s="504">
        <v>0</v>
      </c>
      <c r="M134" s="504">
        <v>360695.5</v>
      </c>
      <c r="N134" s="504">
        <v>0</v>
      </c>
      <c r="O134" s="504">
        <v>89402.709999999992</v>
      </c>
      <c r="P134" s="504">
        <v>89402.709999999992</v>
      </c>
      <c r="Q134" s="504">
        <v>89402.709999999992</v>
      </c>
      <c r="R134" s="504">
        <v>89402.709999999992</v>
      </c>
      <c r="S134" s="550">
        <f t="shared" si="47"/>
        <v>3779002</v>
      </c>
      <c r="T134" s="531">
        <f t="shared" si="48"/>
        <v>5.1911507342335537E-2</v>
      </c>
      <c r="U134" s="292"/>
      <c r="V134" s="292"/>
    </row>
    <row r="135" spans="1:22" ht="13.5" thickBot="1">
      <c r="A135" s="106" t="s">
        <v>856</v>
      </c>
      <c r="B135" s="607" t="s">
        <v>113</v>
      </c>
      <c r="C135" s="608"/>
      <c r="D135" s="608"/>
      <c r="E135" s="608"/>
      <c r="F135" s="608"/>
      <c r="G135" s="500">
        <v>0.08</v>
      </c>
      <c r="H135" s="500">
        <v>1111649.74</v>
      </c>
      <c r="I135" s="500">
        <v>0</v>
      </c>
      <c r="J135" s="500">
        <v>952060.38</v>
      </c>
      <c r="K135" s="500">
        <v>524490.6</v>
      </c>
      <c r="L135" s="500">
        <v>453252.32</v>
      </c>
      <c r="M135" s="500">
        <v>0</v>
      </c>
      <c r="N135" s="500">
        <v>0</v>
      </c>
      <c r="O135" s="500">
        <v>476013.97</v>
      </c>
      <c r="P135" s="500">
        <v>476013.97</v>
      </c>
      <c r="Q135" s="500">
        <v>476013.97</v>
      </c>
      <c r="R135" s="500">
        <v>476013.97</v>
      </c>
      <c r="S135" s="550">
        <f t="shared" si="47"/>
        <v>4945508.9999999991</v>
      </c>
      <c r="T135" s="531">
        <f t="shared" si="48"/>
        <v>6.7935615478659825E-2</v>
      </c>
      <c r="U135" s="292"/>
      <c r="V135" s="292"/>
    </row>
    <row r="136" spans="1:22" ht="13.5" thickBot="1">
      <c r="A136" s="106" t="str">
        <f>+CONCATENATE(A60,"p")</f>
        <v>1002p</v>
      </c>
      <c r="B136" s="609" t="str">
        <f>+VLOOKUP(LEFT($A136,LEN(A136)-1)*1,Master!$D$30:$G$226,4,FALSE)</f>
        <v>Nedostajuća sredstva</v>
      </c>
      <c r="C136" s="610"/>
      <c r="D136" s="610"/>
      <c r="E136" s="610"/>
      <c r="F136" s="610"/>
      <c r="G136" s="509">
        <f>+G129-G131-G134-G135</f>
        <v>-67704152.770000011</v>
      </c>
      <c r="H136" s="509">
        <f t="shared" ref="H136:R136" si="65">+H129-H131-H134-H135</f>
        <v>-36639704.829999976</v>
      </c>
      <c r="I136" s="509">
        <f t="shared" si="65"/>
        <v>-40158615.709999979</v>
      </c>
      <c r="J136" s="509">
        <f t="shared" si="65"/>
        <v>-31228418.810000036</v>
      </c>
      <c r="K136" s="509">
        <f t="shared" si="65"/>
        <v>-92484525.320000038</v>
      </c>
      <c r="L136" s="509">
        <f t="shared" si="65"/>
        <v>-47234491.489999972</v>
      </c>
      <c r="M136" s="509">
        <f t="shared" si="65"/>
        <v>-23072418.700000018</v>
      </c>
      <c r="N136" s="509">
        <f t="shared" si="65"/>
        <v>50903675.790000089</v>
      </c>
      <c r="O136" s="509">
        <f t="shared" si="65"/>
        <v>-141868038.6823985</v>
      </c>
      <c r="P136" s="509">
        <f t="shared" si="65"/>
        <v>-112215522.42398231</v>
      </c>
      <c r="Q136" s="509">
        <f t="shared" si="65"/>
        <v>-141542784.70935866</v>
      </c>
      <c r="R136" s="509">
        <f t="shared" si="65"/>
        <v>-65436107.823884383</v>
      </c>
      <c r="S136" s="552">
        <f t="shared" si="47"/>
        <v>-748681105.47962379</v>
      </c>
      <c r="T136" s="535">
        <f t="shared" si="48"/>
        <v>-10.284504931241999</v>
      </c>
      <c r="U136" s="292"/>
      <c r="V136" s="292"/>
    </row>
    <row r="137" spans="1:22" ht="13.5" thickBot="1">
      <c r="A137" s="106" t="str">
        <f>+CONCATENATE(A61,"p")</f>
        <v>1003p</v>
      </c>
      <c r="B137" s="607" t="str">
        <f>+VLOOKUP(LEFT($A137,LEN(A137)-1)*1,Master!$D$30:$G$226,4,FALSE)</f>
        <v>Finansiranje</v>
      </c>
      <c r="C137" s="608"/>
      <c r="D137" s="608"/>
      <c r="E137" s="608"/>
      <c r="F137" s="608"/>
      <c r="G137" s="504">
        <f t="shared" ref="G137:L137" si="66">+SUM(G138:G142)</f>
        <v>67704152.770000011</v>
      </c>
      <c r="H137" s="504">
        <f t="shared" si="66"/>
        <v>36639704.829999976</v>
      </c>
      <c r="I137" s="504">
        <f t="shared" si="66"/>
        <v>40158615.709999919</v>
      </c>
      <c r="J137" s="504">
        <f t="shared" si="66"/>
        <v>31228418.810000036</v>
      </c>
      <c r="K137" s="504">
        <f t="shared" si="66"/>
        <v>92484525.320000038</v>
      </c>
      <c r="L137" s="504">
        <f t="shared" si="66"/>
        <v>47234491.489999972</v>
      </c>
      <c r="M137" s="504">
        <f t="shared" ref="M137:R137" si="67">+SUM(M138:M142)</f>
        <v>23072418.700000018</v>
      </c>
      <c r="N137" s="504">
        <f t="shared" si="67"/>
        <v>-50903675.790000089</v>
      </c>
      <c r="O137" s="504">
        <f t="shared" si="67"/>
        <v>141868038.6823985</v>
      </c>
      <c r="P137" s="504">
        <f t="shared" si="67"/>
        <v>112215522.42398231</v>
      </c>
      <c r="Q137" s="504">
        <f t="shared" si="67"/>
        <v>141542784.70935866</v>
      </c>
      <c r="R137" s="504">
        <f t="shared" si="67"/>
        <v>65436107.823884383</v>
      </c>
      <c r="S137" s="553">
        <f t="shared" si="47"/>
        <v>748681105.47962379</v>
      </c>
      <c r="T137" s="537">
        <f t="shared" si="48"/>
        <v>10.284504931241999</v>
      </c>
      <c r="U137" s="292"/>
      <c r="V137" s="292"/>
    </row>
    <row r="138" spans="1:22">
      <c r="A138" s="106" t="str">
        <f>+CONCATENATE(A62,"p")</f>
        <v>7511p</v>
      </c>
      <c r="B138" s="611" t="str">
        <f>+VLOOKUP(LEFT($A138,LEN(A138)-1)*1,Master!$D$30:$G$226,4,FALSE)</f>
        <v>Pozajmice i krediti od domaćih izvora</v>
      </c>
      <c r="C138" s="612"/>
      <c r="D138" s="612"/>
      <c r="E138" s="612"/>
      <c r="F138" s="612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13" t="str">
        <f>+VLOOKUP(LEFT($A139,LEN(A139)-1)*1,Master!$D$30:$G$226,4,FALSE)</f>
        <v>Pozajmice i krediti od inostranih izvora</v>
      </c>
      <c r="C139" s="614"/>
      <c r="D139" s="614"/>
      <c r="E139" s="614"/>
      <c r="F139" s="614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11.909831449098176</v>
      </c>
      <c r="U139" s="292"/>
      <c r="V139" s="292"/>
    </row>
    <row r="140" spans="1:22">
      <c r="A140" s="106" t="str">
        <f>+CONCATENATE(A64,"p")</f>
        <v>72p</v>
      </c>
      <c r="B140" s="613" t="str">
        <f>+VLOOKUP(LEFT($A140,LEN(A140)-1)*1,Master!$D$30:$G$226,4,FALSE)</f>
        <v>Primici od prodaje imovine</v>
      </c>
      <c r="C140" s="614"/>
      <c r="D140" s="614"/>
      <c r="E140" s="614"/>
      <c r="F140" s="614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8.242097888649258E-2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0.13390529829525941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67122630.433485299</v>
      </c>
      <c r="H142" s="86">
        <f t="shared" ref="H142:R142" si="69">-H136-SUM(H138:H141)</f>
        <v>35693731.716884263</v>
      </c>
      <c r="I142" s="86">
        <f t="shared" si="69"/>
        <v>-647644531.79930115</v>
      </c>
      <c r="J142" s="86">
        <f t="shared" si="69"/>
        <v>30316747.518080346</v>
      </c>
      <c r="K142" s="86">
        <f t="shared" si="69"/>
        <v>91031306.509822994</v>
      </c>
      <c r="L142" s="86">
        <f t="shared" si="69"/>
        <v>45203560.89730411</v>
      </c>
      <c r="M142" s="86">
        <f t="shared" si="69"/>
        <v>-157586301.16425741</v>
      </c>
      <c r="N142" s="86">
        <f t="shared" si="69"/>
        <v>-52931128.755128346</v>
      </c>
      <c r="O142" s="86">
        <f t="shared" si="69"/>
        <v>141151601.87268847</v>
      </c>
      <c r="P142" s="86">
        <f t="shared" si="69"/>
        <v>111452335.73422238</v>
      </c>
      <c r="Q142" s="86">
        <f t="shared" si="69"/>
        <v>139339192.23364243</v>
      </c>
      <c r="R142" s="86">
        <f t="shared" si="69"/>
        <v>62784056.282180309</v>
      </c>
      <c r="S142" s="94">
        <f>+SUM(G142:R142)</f>
        <v>-134066798.52037635</v>
      </c>
      <c r="T142" s="448">
        <f t="shared" si="48"/>
        <v>-1.8416527950379322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0q8hqzUBR3jshUvSFuqPDWMZHnFI+Zqkkx7LytyFSuro/nWl71QqwjZtu2NtqPZUgFdnmr357wgqMo7aunktww==" saltValue="iYeKwPkJ4eQx3ej8NVv43A==" spinCount="100000" sheet="1" objects="1" scenarios="1"/>
  <mergeCells count="117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50"/>
  <sheetViews>
    <sheetView topLeftCell="F1" zoomScale="90" zoomScaleNormal="90" workbookViewId="0">
      <pane ySplit="1" topLeftCell="A2" activePane="bottomLeft" state="frozen"/>
      <selection pane="bottomLeft" activeCell="N10" sqref="N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87" t="str">
        <f>+Master!G252</f>
        <v>Ostvarenje budžeta</v>
      </c>
      <c r="C7" s="588"/>
      <c r="D7" s="588"/>
      <c r="E7" s="588"/>
      <c r="F7" s="588"/>
      <c r="G7" s="596">
        <v>2023</v>
      </c>
      <c r="H7" s="597"/>
      <c r="I7" s="597"/>
      <c r="J7" s="597"/>
      <c r="K7" s="597"/>
      <c r="L7" s="597"/>
      <c r="M7" s="597"/>
      <c r="N7" s="597"/>
      <c r="O7" s="597"/>
      <c r="P7" s="597"/>
      <c r="Q7" s="597"/>
      <c r="R7" s="600"/>
      <c r="S7" s="220" t="str">
        <f>+Master!G249</f>
        <v>BDP</v>
      </c>
      <c r="T7" s="221">
        <v>6847118000</v>
      </c>
    </row>
    <row r="8" spans="1:24" ht="16.5" customHeight="1">
      <c r="A8" s="129"/>
      <c r="B8" s="589"/>
      <c r="C8" s="590"/>
      <c r="D8" s="590"/>
      <c r="E8" s="590"/>
      <c r="F8" s="591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96" t="str">
        <f>+Master!G247</f>
        <v>Jan - Dec</v>
      </c>
      <c r="T8" s="600"/>
    </row>
    <row r="9" spans="1:24" ht="13.5" thickBot="1">
      <c r="A9" s="129"/>
      <c r="B9" s="592"/>
      <c r="C9" s="593"/>
      <c r="D9" s="593"/>
      <c r="E9" s="593"/>
      <c r="F9" s="59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67" t="str">
        <f>+VLOOKUP($A10,Master!$D$30:$G$226,4,FALSE)</f>
        <v>Prihodi budžeta</v>
      </c>
      <c r="C10" s="568"/>
      <c r="D10" s="568"/>
      <c r="E10" s="568"/>
      <c r="F10" s="568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37.482314602289613</v>
      </c>
      <c r="V10" s="493"/>
    </row>
    <row r="11" spans="1:24">
      <c r="A11" s="135">
        <v>711</v>
      </c>
      <c r="B11" s="557" t="str">
        <f>+VLOOKUP($A11,Master!$D$30:$G$226,4,FALSE)</f>
        <v>Porezi</v>
      </c>
      <c r="C11" s="558"/>
      <c r="D11" s="558"/>
      <c r="E11" s="558"/>
      <c r="F11" s="558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24.331645511732088</v>
      </c>
      <c r="V11" s="276"/>
    </row>
    <row r="12" spans="1:24">
      <c r="A12" s="135">
        <v>7111</v>
      </c>
      <c r="B12" s="559" t="str">
        <f>+VLOOKUP($A12,Master!$D$30:$G$226,4,FALSE)</f>
        <v>Porez na dohodak fizičkih lica</v>
      </c>
      <c r="C12" s="560"/>
      <c r="D12" s="560"/>
      <c r="E12" s="560"/>
      <c r="F12" s="560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0.96992035189111681</v>
      </c>
    </row>
    <row r="13" spans="1:24">
      <c r="A13" s="135">
        <v>7112</v>
      </c>
      <c r="B13" s="559" t="str">
        <f>+VLOOKUP($A13,Master!$D$30:$G$226,4,FALSE)</f>
        <v>Porez na dobit pravnih lica</v>
      </c>
      <c r="C13" s="560"/>
      <c r="D13" s="560"/>
      <c r="E13" s="560"/>
      <c r="F13" s="560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2.2094620900355451</v>
      </c>
      <c r="V13" s="276"/>
      <c r="W13" s="276"/>
      <c r="X13" s="494"/>
    </row>
    <row r="14" spans="1:24">
      <c r="A14" s="135">
        <v>7113</v>
      </c>
      <c r="B14" s="559" t="str">
        <f>+VLOOKUP($A14,Master!$D$30:$G$226,4,FALSE)</f>
        <v>Porez na promet nepokretnosti</v>
      </c>
      <c r="C14" s="560"/>
      <c r="D14" s="560"/>
      <c r="E14" s="560"/>
      <c r="F14" s="560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59" t="str">
        <f>+VLOOKUP($A15,Master!$D$30:$G$226,4,FALSE)</f>
        <v>Porez na dodatu vrijednost</v>
      </c>
      <c r="C15" s="560"/>
      <c r="D15" s="560"/>
      <c r="E15" s="560"/>
      <c r="F15" s="560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15.470261757866597</v>
      </c>
      <c r="V15" s="276"/>
      <c r="W15" s="276"/>
      <c r="X15" s="494"/>
    </row>
    <row r="16" spans="1:24">
      <c r="A16" s="135">
        <v>7115</v>
      </c>
      <c r="B16" s="559" t="str">
        <f>+VLOOKUP($A16,Master!$D$30:$G$226,4,FALSE)</f>
        <v>Akcize</v>
      </c>
      <c r="C16" s="560"/>
      <c r="D16" s="560"/>
      <c r="E16" s="560"/>
      <c r="F16" s="560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4.7190897682791499</v>
      </c>
      <c r="V16" s="276"/>
      <c r="W16" s="276"/>
      <c r="X16" s="494"/>
    </row>
    <row r="17" spans="1:24">
      <c r="A17" s="135">
        <v>7116</v>
      </c>
      <c r="B17" s="559" t="str">
        <f>+VLOOKUP($A17,Master!$D$30:$G$226,4,FALSE)</f>
        <v>Porez na međunarodnu trgovinu i transakcije</v>
      </c>
      <c r="C17" s="560"/>
      <c r="D17" s="560"/>
      <c r="E17" s="560"/>
      <c r="F17" s="560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0.76223764085853352</v>
      </c>
      <c r="V17" s="276"/>
      <c r="W17" s="276"/>
      <c r="X17" s="494"/>
    </row>
    <row r="18" spans="1:24">
      <c r="A18" s="135">
        <v>7118</v>
      </c>
      <c r="B18" s="559" t="str">
        <f>+VLOOKUP($A18,Master!$D$30:$G$226,4,FALSE)</f>
        <v>Ostali državni porezi</v>
      </c>
      <c r="C18" s="560"/>
      <c r="D18" s="560"/>
      <c r="E18" s="560"/>
      <c r="F18" s="560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0.20067390280114938</v>
      </c>
      <c r="V18" s="276"/>
      <c r="W18" s="276"/>
      <c r="X18" s="494"/>
    </row>
    <row r="19" spans="1:24">
      <c r="A19" s="135">
        <v>712</v>
      </c>
      <c r="B19" s="561" t="str">
        <f>+VLOOKUP($A19,Master!$D$30:$G$226,4,FALSE)</f>
        <v>Doprinosi</v>
      </c>
      <c r="C19" s="562"/>
      <c r="D19" s="562"/>
      <c r="E19" s="562"/>
      <c r="F19" s="562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8.4083637853181443</v>
      </c>
      <c r="V19" s="276"/>
      <c r="W19" s="276"/>
      <c r="X19" s="494"/>
    </row>
    <row r="20" spans="1:24">
      <c r="A20" s="135">
        <v>7121</v>
      </c>
      <c r="B20" s="559" t="str">
        <f>+VLOOKUP($A20,Master!$D$30:$G$226,4,FALSE)</f>
        <v>Doprinosi za penzijsko i invalidsko osiguranje</v>
      </c>
      <c r="C20" s="560"/>
      <c r="D20" s="560"/>
      <c r="E20" s="560"/>
      <c r="F20" s="560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7.6895453878551523</v>
      </c>
      <c r="V20" s="276"/>
      <c r="W20" s="276"/>
      <c r="X20" s="494"/>
    </row>
    <row r="21" spans="1:24">
      <c r="A21" s="135">
        <v>7122</v>
      </c>
      <c r="B21" s="559" t="str">
        <f>+VLOOKUP($A21,Master!$D$30:$G$226,4,FALSE)</f>
        <v>Doprinosi za zdravstveno osiguranje</v>
      </c>
      <c r="C21" s="560"/>
      <c r="D21" s="560"/>
      <c r="E21" s="560"/>
      <c r="F21" s="560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0.10267886196791115</v>
      </c>
      <c r="V21" s="276"/>
      <c r="W21" s="276"/>
      <c r="X21" s="494"/>
    </row>
    <row r="22" spans="1:24">
      <c r="A22" s="135">
        <v>7123</v>
      </c>
      <c r="B22" s="559" t="str">
        <f>+VLOOKUP($A22,Master!$D$30:$G$226,4,FALSE)</f>
        <v>Doprinosi za osiguranje od nezaposlenosti</v>
      </c>
      <c r="C22" s="560"/>
      <c r="D22" s="560"/>
      <c r="E22" s="560"/>
      <c r="F22" s="560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0.35372790552171002</v>
      </c>
    </row>
    <row r="23" spans="1:24">
      <c r="A23" s="135">
        <v>7124</v>
      </c>
      <c r="B23" s="559" t="str">
        <f>+VLOOKUP($A23,Master!$D$30:$G$226,4,FALSE)</f>
        <v>Ostali doprinosi</v>
      </c>
      <c r="C23" s="560"/>
      <c r="D23" s="560"/>
      <c r="E23" s="560"/>
      <c r="F23" s="560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0.26241162997336981</v>
      </c>
      <c r="V23" s="495"/>
      <c r="W23" s="495"/>
      <c r="X23" s="494"/>
    </row>
    <row r="24" spans="1:24">
      <c r="A24" s="135">
        <v>713</v>
      </c>
      <c r="B24" s="561" t="str">
        <f>+VLOOKUP($A24,Master!$D$30:$G$226,4,FALSE)</f>
        <v>Takse</v>
      </c>
      <c r="C24" s="562"/>
      <c r="D24" s="562"/>
      <c r="E24" s="562"/>
      <c r="F24" s="562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0.23392547141731748</v>
      </c>
    </row>
    <row r="25" spans="1:24">
      <c r="A25" s="135">
        <v>714</v>
      </c>
      <c r="B25" s="561" t="str">
        <f>+VLOOKUP($A25,Master!$D$30:$G$226,4,FALSE)</f>
        <v>Naknade</v>
      </c>
      <c r="C25" s="562"/>
      <c r="D25" s="562"/>
      <c r="E25" s="562"/>
      <c r="F25" s="562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0.81373777580582074</v>
      </c>
    </row>
    <row r="26" spans="1:24">
      <c r="A26" s="135">
        <v>715</v>
      </c>
      <c r="B26" s="561" t="str">
        <f>+VLOOKUP($A26,Master!$D$30:$G$226,4,FALSE)</f>
        <v>Ostali prihodi</v>
      </c>
      <c r="C26" s="562"/>
      <c r="D26" s="562"/>
      <c r="E26" s="562"/>
      <c r="F26" s="562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2.653851643275317</v>
      </c>
    </row>
    <row r="27" spans="1:24">
      <c r="A27" s="135">
        <v>73</v>
      </c>
      <c r="B27" s="561" t="str">
        <f>+VLOOKUP($A27,Master!$D$30:$G$226,4,FALSE)</f>
        <v>Primici od otplate kredita i sredstva prenesena iz prethodne godine</v>
      </c>
      <c r="C27" s="562"/>
      <c r="D27" s="562"/>
      <c r="E27" s="562"/>
      <c r="F27" s="562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565" t="str">
        <f>+VLOOKUP($A28,Master!$D$30:$G$226,4,FALSE)</f>
        <v>Donacije i transferi</v>
      </c>
      <c r="C28" s="566"/>
      <c r="D28" s="566"/>
      <c r="E28" s="566"/>
      <c r="F28" s="566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1.0407904147409175</v>
      </c>
    </row>
    <row r="29" spans="1:24" ht="13.5" thickBot="1">
      <c r="A29" s="135">
        <v>4</v>
      </c>
      <c r="B29" s="567" t="str">
        <f>+VLOOKUP($A29,Master!$D$30:$G$226,4,FALSE)</f>
        <v>Izdaci budžeta</v>
      </c>
      <c r="C29" s="568"/>
      <c r="D29" s="568"/>
      <c r="E29" s="568"/>
      <c r="F29" s="568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37.322608122570692</v>
      </c>
    </row>
    <row r="30" spans="1:24">
      <c r="A30" s="135">
        <v>41</v>
      </c>
      <c r="B30" s="571" t="str">
        <f>+VLOOKUP($A30,Master!$D$30:$G$226,4,FALSE)</f>
        <v>Tekući izdaci</v>
      </c>
      <c r="C30" s="572"/>
      <c r="D30" s="572"/>
      <c r="E30" s="572"/>
      <c r="F30" s="572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15.673441382053003</v>
      </c>
      <c r="U30" s="472"/>
    </row>
    <row r="31" spans="1:24">
      <c r="A31" s="135">
        <v>411</v>
      </c>
      <c r="B31" s="559" t="str">
        <f>+VLOOKUP($A31,Master!$D$30:$G$226,4,FALSE)</f>
        <v>Bruto zarade i doprinosi na teret poslodavca</v>
      </c>
      <c r="C31" s="560"/>
      <c r="D31" s="560"/>
      <c r="E31" s="560"/>
      <c r="F31" s="560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9.3928385465242457</v>
      </c>
      <c r="U31" s="472"/>
    </row>
    <row r="32" spans="1:24">
      <c r="A32" s="135">
        <v>412</v>
      </c>
      <c r="B32" s="559" t="str">
        <f>+VLOOKUP($A32,Master!$D$30:$G$226,4,FALSE)</f>
        <v>Ostala lična primanja</v>
      </c>
      <c r="C32" s="560"/>
      <c r="D32" s="560"/>
      <c r="E32" s="560"/>
      <c r="F32" s="560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0.26899141843327362</v>
      </c>
      <c r="U32" s="472"/>
      <c r="V32" s="275"/>
    </row>
    <row r="33" spans="1:24">
      <c r="A33" s="135">
        <v>413</v>
      </c>
      <c r="B33" s="559" t="str">
        <f>+VLOOKUP($A33,Master!$D$30:$G$226,4,FALSE)</f>
        <v>Rashodi za materijal</v>
      </c>
      <c r="C33" s="560"/>
      <c r="D33" s="560"/>
      <c r="E33" s="560"/>
      <c r="F33" s="560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0.66798315408030062</v>
      </c>
      <c r="U33" s="472"/>
    </row>
    <row r="34" spans="1:24" s="334" customFormat="1">
      <c r="A34" s="333">
        <v>414</v>
      </c>
      <c r="B34" s="654" t="str">
        <f>+VLOOKUP($A34,Master!$D$30:$G$226,4,FALSE)</f>
        <v>Rashodi za usluge</v>
      </c>
      <c r="C34" s="655"/>
      <c r="D34" s="655"/>
      <c r="E34" s="655"/>
      <c r="F34" s="655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1.0574641110318239</v>
      </c>
      <c r="U34" s="472"/>
    </row>
    <row r="35" spans="1:24">
      <c r="A35" s="135">
        <v>415</v>
      </c>
      <c r="B35" s="559" t="str">
        <f>+VLOOKUP($A35,Master!$D$30:$G$226,4,FALSE)</f>
        <v>Rashodi za tekuće održavanje</v>
      </c>
      <c r="C35" s="560"/>
      <c r="D35" s="560"/>
      <c r="E35" s="560"/>
      <c r="F35" s="560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0.44055275504234043</v>
      </c>
      <c r="U35" s="472"/>
    </row>
    <row r="36" spans="1:24">
      <c r="A36" s="135">
        <v>416</v>
      </c>
      <c r="B36" s="559" t="str">
        <f>+VLOOKUP($A36,Master!$D$30:$G$226,4,FALSE)</f>
        <v>Kamate</v>
      </c>
      <c r="C36" s="560"/>
      <c r="D36" s="560"/>
      <c r="E36" s="560"/>
      <c r="F36" s="560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1.8189109087940354</v>
      </c>
      <c r="U36" s="472"/>
      <c r="V36" s="275"/>
    </row>
    <row r="37" spans="1:24">
      <c r="A37" s="135">
        <v>417</v>
      </c>
      <c r="B37" s="559" t="str">
        <f>+VLOOKUP($A37,Master!$D$30:$G$226,4,FALSE)</f>
        <v>Renta</v>
      </c>
      <c r="C37" s="560"/>
      <c r="D37" s="560"/>
      <c r="E37" s="560"/>
      <c r="F37" s="560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0.17081277977099271</v>
      </c>
      <c r="U37" s="472"/>
      <c r="V37" s="275"/>
    </row>
    <row r="38" spans="1:24">
      <c r="A38" s="135">
        <v>418</v>
      </c>
      <c r="B38" s="559" t="str">
        <f>+VLOOKUP($A38,Master!$D$30:$G$226,4,FALSE)</f>
        <v>Subvencije</v>
      </c>
      <c r="C38" s="560"/>
      <c r="D38" s="560"/>
      <c r="E38" s="560"/>
      <c r="F38" s="560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1.0862959572187889</v>
      </c>
      <c r="U38" s="472"/>
    </row>
    <row r="39" spans="1:24">
      <c r="A39" s="135">
        <v>419</v>
      </c>
      <c r="B39" s="559" t="str">
        <f>+VLOOKUP($A39,Master!$D$30:$G$226,4,FALSE)</f>
        <v>Ostali izdaci</v>
      </c>
      <c r="C39" s="560"/>
      <c r="D39" s="560"/>
      <c r="E39" s="560"/>
      <c r="F39" s="560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0.76959175115720213</v>
      </c>
      <c r="U39" s="472"/>
      <c r="V39" s="275"/>
    </row>
    <row r="40" spans="1:24">
      <c r="A40" s="135">
        <v>42</v>
      </c>
      <c r="B40" s="575" t="str">
        <f>+VLOOKUP($A40,Master!$D$30:$G$226,4,FALSE)</f>
        <v>Transferi za socijalnu zaštitu</v>
      </c>
      <c r="C40" s="576"/>
      <c r="D40" s="576"/>
      <c r="E40" s="576"/>
      <c r="F40" s="576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12.042402838537324</v>
      </c>
      <c r="U40" s="472"/>
    </row>
    <row r="41" spans="1:24">
      <c r="A41" s="135">
        <v>421</v>
      </c>
      <c r="B41" s="559" t="str">
        <f>+VLOOKUP($A41,Master!$D$30:$G$226,4,FALSE)</f>
        <v>Prava iz oblasti socijalne zaštite</v>
      </c>
      <c r="C41" s="560"/>
      <c r="D41" s="560"/>
      <c r="E41" s="560"/>
      <c r="F41" s="560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3.0653364138021284</v>
      </c>
      <c r="U41" s="472"/>
    </row>
    <row r="42" spans="1:24">
      <c r="A42" s="135">
        <v>422</v>
      </c>
      <c r="B42" s="559" t="str">
        <f>+VLOOKUP($A42,Master!$D$30:$G$226,4,FALSE)</f>
        <v>Sredstva za tehnološke viškove</v>
      </c>
      <c r="C42" s="560"/>
      <c r="D42" s="560"/>
      <c r="E42" s="560"/>
      <c r="F42" s="560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0.34618637826893006</v>
      </c>
      <c r="U42" s="472"/>
      <c r="V42" s="275"/>
    </row>
    <row r="43" spans="1:24">
      <c r="A43" s="135">
        <v>423</v>
      </c>
      <c r="B43" s="559" t="str">
        <f>+VLOOKUP($A43,Master!$D$30:$G$226,4,FALSE)</f>
        <v>Prava iz oblasti penzijskog i invalidskog osiguranja</v>
      </c>
      <c r="C43" s="560"/>
      <c r="D43" s="560"/>
      <c r="E43" s="560"/>
      <c r="F43" s="560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8.0882306732555218</v>
      </c>
      <c r="U43" s="472"/>
    </row>
    <row r="44" spans="1:24">
      <c r="A44" s="135">
        <v>424</v>
      </c>
      <c r="B44" s="559" t="str">
        <f>+VLOOKUP($A44,Master!$D$30:$G$226,4,FALSE)</f>
        <v>Ostala prava iz oblasti zdravstvene zaštite</v>
      </c>
      <c r="C44" s="560"/>
      <c r="D44" s="560"/>
      <c r="E44" s="560"/>
      <c r="F44" s="560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0.30026638229398123</v>
      </c>
      <c r="U44" s="472"/>
    </row>
    <row r="45" spans="1:24" s="334" customFormat="1">
      <c r="A45" s="333">
        <v>425</v>
      </c>
      <c r="B45" s="650" t="str">
        <f>+VLOOKUP($A45,Master!$D$30:$G$226,4,FALSE)</f>
        <v>Ostala prava iz zdravstvenog osiguranja</v>
      </c>
      <c r="C45" s="651"/>
      <c r="D45" s="651"/>
      <c r="E45" s="651"/>
      <c r="F45" s="651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0.24238299091676238</v>
      </c>
      <c r="U45" s="472"/>
    </row>
    <row r="46" spans="1:24">
      <c r="A46" s="135">
        <v>43</v>
      </c>
      <c r="B46" s="573" t="str">
        <f>+VLOOKUP($A46,Master!$D$30:$G$226,4,FALSE)</f>
        <v xml:space="preserve">Transferi institucijama, pojedincima, nevladinom i javnom sektoru </v>
      </c>
      <c r="C46" s="574"/>
      <c r="D46" s="574"/>
      <c r="E46" s="574"/>
      <c r="F46" s="574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5.5599594502387717</v>
      </c>
      <c r="U46" s="472"/>
    </row>
    <row r="47" spans="1:24">
      <c r="A47" s="135">
        <v>44</v>
      </c>
      <c r="B47" s="573" t="str">
        <f>+VLOOKUP($A47,Master!$D$30:$G$226,4,FALSE)</f>
        <v>Kapitalni izdaci</v>
      </c>
      <c r="C47" s="574"/>
      <c r="D47" s="574"/>
      <c r="E47" s="574"/>
      <c r="F47" s="574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3.485287545212453</v>
      </c>
      <c r="U47" s="472"/>
      <c r="V47" s="275"/>
      <c r="W47" s="292"/>
      <c r="X47" s="292"/>
    </row>
    <row r="48" spans="1:24">
      <c r="A48" s="135">
        <v>451</v>
      </c>
      <c r="B48" s="652" t="str">
        <f>+VLOOKUP($A48,Master!$D$30:$G$226,4,FALSE)</f>
        <v>Pozajmice i krediti</v>
      </c>
      <c r="C48" s="653"/>
      <c r="D48" s="653"/>
      <c r="E48" s="653"/>
      <c r="F48" s="653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44" t="str">
        <f>+VLOOKUP($A49,Master!$D$30:$G$226,4,FALSE)</f>
        <v>Rezerve</v>
      </c>
      <c r="C49" s="645"/>
      <c r="D49" s="645"/>
      <c r="E49" s="645"/>
      <c r="F49" s="645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0.26679720299840015</v>
      </c>
      <c r="U49" s="472"/>
    </row>
    <row r="50" spans="1:21" ht="13.5" thickBot="1">
      <c r="A50" s="135">
        <v>462</v>
      </c>
      <c r="B50" s="579" t="str">
        <f>+VLOOKUP($A50,Master!$D$30:$G$226,4,FALSE)</f>
        <v>Otplata garancija</v>
      </c>
      <c r="C50" s="580"/>
      <c r="D50" s="580"/>
      <c r="E50" s="580"/>
      <c r="F50" s="580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4.1091334485545597E-2</v>
      </c>
      <c r="U50" s="472"/>
    </row>
    <row r="51" spans="1:21" ht="13.5" thickBot="1">
      <c r="A51" s="129">
        <v>4630</v>
      </c>
      <c r="B51" s="646" t="str">
        <f>+VLOOKUP($A51,Master!$D$30:$G$226,4,TRUE)</f>
        <v>Otplata obaveza iz prethodnog perioda</v>
      </c>
      <c r="C51" s="647"/>
      <c r="D51" s="647"/>
      <c r="E51" s="647"/>
      <c r="F51" s="647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0.25362836904519537</v>
      </c>
      <c r="U51" s="472"/>
    </row>
    <row r="52" spans="1:21" ht="13.5" thickBot="1">
      <c r="A52" s="61">
        <v>1005</v>
      </c>
      <c r="B52" s="648" t="str">
        <f>+VLOOKUP($A52,Master!$D$30:$G$228,4,FALSE)</f>
        <v>Neto povećanje obaveza</v>
      </c>
      <c r="C52" s="649"/>
      <c r="D52" s="649"/>
      <c r="E52" s="649"/>
      <c r="F52" s="649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0.15970647971891683</v>
      </c>
    </row>
    <row r="54" spans="1:21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1.9786173885129519</v>
      </c>
    </row>
    <row r="55" spans="1:21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4.3990188845876474</v>
      </c>
    </row>
    <row r="56" spans="1:21">
      <c r="A56" s="129">
        <v>4611</v>
      </c>
      <c r="B56" s="601" t="str">
        <f>+VLOOKUP($A56,Master!$D$30:$G$226,4,FALSE)</f>
        <v>Otplata hartija od vrijednosti i kredita rezidentima</v>
      </c>
      <c r="C56" s="602"/>
      <c r="D56" s="602"/>
      <c r="E56" s="602"/>
      <c r="F56" s="602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1.0885684298123677</v>
      </c>
    </row>
    <row r="57" spans="1:21" ht="13.5" thickBot="1">
      <c r="A57" s="129">
        <v>4612</v>
      </c>
      <c r="B57" s="577" t="str">
        <f>+VLOOKUP($A57,Master!$D$30:$G$226,4,FALSE)</f>
        <v>Otplata hartija od vrijednosti i kredita nerezidentima</v>
      </c>
      <c r="C57" s="578"/>
      <c r="D57" s="578"/>
      <c r="E57" s="578"/>
      <c r="F57" s="578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3.3104504547752787</v>
      </c>
    </row>
    <row r="58" spans="1:21" ht="13.5" thickBot="1">
      <c r="A58" s="129">
        <v>4418</v>
      </c>
      <c r="B58" s="569" t="str">
        <f>+VLOOKUP($A58,Master!$D$30:$G$226,4,FALSE)</f>
        <v>Izdaci za kupovinu hartija od vrijednosti</v>
      </c>
      <c r="C58" s="570"/>
      <c r="D58" s="570"/>
      <c r="E58" s="570"/>
      <c r="F58" s="570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1.2546105091222321E-2</v>
      </c>
    </row>
    <row r="59" spans="1:21" ht="13.5" thickBot="1">
      <c r="A59" s="135">
        <v>451</v>
      </c>
      <c r="B59" s="569" t="str">
        <f>+VLOOKUP($A59,Master!$D$30:$G$226,4,FALSE)</f>
        <v>Pozajmice i krediti</v>
      </c>
      <c r="C59" s="570"/>
      <c r="D59" s="570"/>
      <c r="E59" s="570"/>
      <c r="F59" s="570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0.14767666732193016</v>
      </c>
    </row>
    <row r="60" spans="1:21" ht="13.5" thickBot="1">
      <c r="A60" s="129">
        <v>1002</v>
      </c>
      <c r="B60" s="603" t="str">
        <f>+VLOOKUP($A60,Master!$D$30:$G$226,4,FALSE)</f>
        <v>Nedostajuća sredstva</v>
      </c>
      <c r="C60" s="604"/>
      <c r="D60" s="604"/>
      <c r="E60" s="604"/>
      <c r="F60" s="604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-4.3995351772818836</v>
      </c>
    </row>
    <row r="61" spans="1:21" ht="13.5" thickBot="1">
      <c r="A61" s="129">
        <v>1003</v>
      </c>
      <c r="B61" s="567" t="str">
        <f>+VLOOKUP($A61,Master!$D$30:$G$226,4,FALSE)</f>
        <v>Finansiranje</v>
      </c>
      <c r="C61" s="568"/>
      <c r="D61" s="568"/>
      <c r="E61" s="568"/>
      <c r="F61" s="568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4.3995351772818836</v>
      </c>
    </row>
    <row r="62" spans="1:21">
      <c r="A62" s="129">
        <v>7511</v>
      </c>
      <c r="B62" s="601" t="str">
        <f>+VLOOKUP($A62,Master!$D$30:$G$226,4,FALSE)</f>
        <v>Pozajmice i krediti od domaćih izvora</v>
      </c>
      <c r="C62" s="602"/>
      <c r="D62" s="602"/>
      <c r="E62" s="602"/>
      <c r="F62" s="602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2.3221448790571451</v>
      </c>
    </row>
    <row r="63" spans="1:21">
      <c r="A63" s="129">
        <v>7512</v>
      </c>
      <c r="B63" s="577" t="str">
        <f>+VLOOKUP($A63,Master!$D$30:$G$226,4,FALSE)</f>
        <v>Pozajmice i krediti od inostranih izvora</v>
      </c>
      <c r="C63" s="578"/>
      <c r="D63" s="578"/>
      <c r="E63" s="578"/>
      <c r="F63" s="578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2.3255334955524352</v>
      </c>
    </row>
    <row r="64" spans="1:21">
      <c r="A64" s="129">
        <v>72</v>
      </c>
      <c r="B64" s="577" t="str">
        <f>+VLOOKUP($A64,Master!$D$30:$G$226,4,FALSE)</f>
        <v>Primici od prodaje imovine</v>
      </c>
      <c r="C64" s="578"/>
      <c r="D64" s="578"/>
      <c r="E64" s="578"/>
      <c r="F64" s="578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3.9693627742358177E-2</v>
      </c>
    </row>
    <row r="65" spans="1:20">
      <c r="A65" s="129">
        <v>73</v>
      </c>
      <c r="B65" s="577" t="s">
        <v>101</v>
      </c>
      <c r="C65" s="578"/>
      <c r="D65" s="578"/>
      <c r="E65" s="578"/>
      <c r="F65" s="578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0.20239250835168901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-0.49022933342174396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33" t="str">
        <f>+Master!G253</f>
        <v>Plan ostvarenja budžeta</v>
      </c>
      <c r="C83" s="634"/>
      <c r="D83" s="634"/>
      <c r="E83" s="634"/>
      <c r="F83" s="634"/>
      <c r="G83" s="641">
        <v>2023</v>
      </c>
      <c r="H83" s="642"/>
      <c r="I83" s="642"/>
      <c r="J83" s="642"/>
      <c r="K83" s="642"/>
      <c r="L83" s="642"/>
      <c r="M83" s="642"/>
      <c r="N83" s="642"/>
      <c r="O83" s="642"/>
      <c r="P83" s="642"/>
      <c r="Q83" s="642"/>
      <c r="R83" s="643"/>
      <c r="S83" s="96" t="str">
        <f>+S7</f>
        <v>BDP</v>
      </c>
      <c r="T83" s="97">
        <v>6624340418</v>
      </c>
    </row>
    <row r="84" spans="1:26" ht="15.75" customHeight="1">
      <c r="B84" s="635"/>
      <c r="C84" s="636"/>
      <c r="D84" s="636"/>
      <c r="E84" s="636"/>
      <c r="F84" s="637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41" t="str">
        <f>+Master!G247</f>
        <v>Jan - Dec</v>
      </c>
      <c r="T84" s="643">
        <f>+T8</f>
        <v>0</v>
      </c>
    </row>
    <row r="85" spans="1:26" ht="13.5" thickBot="1">
      <c r="B85" s="638"/>
      <c r="C85" s="639"/>
      <c r="D85" s="639"/>
      <c r="E85" s="639"/>
      <c r="F85" s="640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07" t="str">
        <f>+VLOOKUP(LEFT($A86,LEN(A86)-1)*1,Master!$D$30:$G$226,4,FALSE)</f>
        <v>Prihodi budžeta</v>
      </c>
      <c r="C86" s="608"/>
      <c r="D86" s="608"/>
      <c r="E86" s="608"/>
      <c r="F86" s="608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31" t="str">
        <f>+VLOOKUP(LEFT($A87,LEN(A87)-1)*1,Master!$D$30:$G$226,4,FALSE)</f>
        <v>Porezi</v>
      </c>
      <c r="C87" s="632"/>
      <c r="D87" s="632"/>
      <c r="E87" s="632"/>
      <c r="F87" s="632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23" t="str">
        <f>+VLOOKUP(LEFT($A88,LEN(A88)-1)*1,Master!$D$30:$G$229,4,FALSE)</f>
        <v>Porez na dohodak fizičkih lica</v>
      </c>
      <c r="C88" s="624"/>
      <c r="D88" s="624"/>
      <c r="E88" s="624"/>
      <c r="F88" s="624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23" t="str">
        <f>+VLOOKUP(LEFT($A89,LEN(A89)-1)*1,Master!$D$30:$G$229,4,FALSE)</f>
        <v>Porez na dobit pravnih lica</v>
      </c>
      <c r="C89" s="624"/>
      <c r="D89" s="624"/>
      <c r="E89" s="624"/>
      <c r="F89" s="624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23" t="str">
        <f>+VLOOKUP(LEFT($A90,LEN(A90)-1)*1,Master!$D$30:$G$229,4,FALSE)</f>
        <v>Porez na promet nepokretnosti</v>
      </c>
      <c r="C90" s="624"/>
      <c r="D90" s="624"/>
      <c r="E90" s="624"/>
      <c r="F90" s="624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23" t="str">
        <f>+VLOOKUP(LEFT($A91,LEN(A91)-1)*1,Master!$D$30:$G$229,4,FALSE)</f>
        <v>Porez na dodatu vrijednost</v>
      </c>
      <c r="C91" s="624"/>
      <c r="D91" s="624"/>
      <c r="E91" s="624"/>
      <c r="F91" s="624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23" t="str">
        <f>+VLOOKUP(LEFT($A92,LEN(A92)-1)*1,Master!$D$30:$G$229,4,FALSE)</f>
        <v>Akcize</v>
      </c>
      <c r="C92" s="624"/>
      <c r="D92" s="624"/>
      <c r="E92" s="624"/>
      <c r="F92" s="624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23" t="str">
        <f>+VLOOKUP(LEFT($A93,LEN(A93)-1)*1,Master!$D$30:$G$229,4,FALSE)</f>
        <v>Porez na međunarodnu trgovinu i transakcije</v>
      </c>
      <c r="C93" s="624"/>
      <c r="D93" s="624"/>
      <c r="E93" s="624"/>
      <c r="F93" s="624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23" t="str">
        <f>+VLOOKUP(LEFT($A94,LEN(A94)-1)*1,Master!$D$30:$G$229,4,FALSE)</f>
        <v>Ostali državni porezi</v>
      </c>
      <c r="C94" s="624"/>
      <c r="D94" s="624"/>
      <c r="E94" s="624"/>
      <c r="F94" s="624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29" t="str">
        <f>+VLOOKUP(LEFT($A95,LEN(A95)-1)*1,Master!$D$30:$G$229,4,FALSE)</f>
        <v>Doprinosi</v>
      </c>
      <c r="C95" s="630"/>
      <c r="D95" s="630"/>
      <c r="E95" s="630"/>
      <c r="F95" s="630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23" t="str">
        <f>+VLOOKUP(LEFT($A96,LEN(A96)-1)*1,Master!$D$30:$G$229,4,FALSE)</f>
        <v>Doprinosi za penzijsko i invalidsko osiguranje</v>
      </c>
      <c r="C96" s="624"/>
      <c r="D96" s="624"/>
      <c r="E96" s="624"/>
      <c r="F96" s="624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23" t="str">
        <f>+VLOOKUP(LEFT($A97,LEN(A97)-1)*1,Master!$D$30:$G$229,4,FALSE)</f>
        <v>Doprinosi za zdravstveno osiguranje</v>
      </c>
      <c r="C97" s="624"/>
      <c r="D97" s="624"/>
      <c r="E97" s="624"/>
      <c r="F97" s="624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23" t="str">
        <f>+VLOOKUP(LEFT($A98,LEN(A98)-1)*1,Master!$D$30:$G$229,4,FALSE)</f>
        <v>Doprinosi za osiguranje od nezaposlenosti</v>
      </c>
      <c r="C98" s="624"/>
      <c r="D98" s="624"/>
      <c r="E98" s="624"/>
      <c r="F98" s="624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23" t="str">
        <f>+VLOOKUP(LEFT($A99,LEN(A99)-1)*1,Master!$D$30:$G$229,4,FALSE)</f>
        <v>Ostali doprinosi</v>
      </c>
      <c r="C99" s="624"/>
      <c r="D99" s="624"/>
      <c r="E99" s="624"/>
      <c r="F99" s="624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29" t="str">
        <f>+VLOOKUP(LEFT($A100,LEN(A100)-1)*1,Master!$D$30:$G$229,4,FALSE)</f>
        <v>Takse</v>
      </c>
      <c r="C100" s="630"/>
      <c r="D100" s="630"/>
      <c r="E100" s="630"/>
      <c r="F100" s="630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29" t="str">
        <f>+VLOOKUP(LEFT($A101,LEN(A101)-1)*1,Master!$D$30:$G$229,4,FALSE)</f>
        <v>Naknade</v>
      </c>
      <c r="C101" s="630"/>
      <c r="D101" s="630"/>
      <c r="E101" s="630"/>
      <c r="F101" s="630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29" t="str">
        <f>+VLOOKUP(LEFT($A102,LEN(A102)-1)*1,Master!$D$30:$G$229,4,FALSE)</f>
        <v>Ostali prihodi</v>
      </c>
      <c r="C102" s="630"/>
      <c r="D102" s="630"/>
      <c r="E102" s="630"/>
      <c r="F102" s="630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29" t="str">
        <f>+VLOOKUP(LEFT($A103,LEN(A103)-1)*1,Master!$D$30:$G$229,4,FALSE)</f>
        <v>Primici od otplate kredita i sredstva prenesena iz prethodne godine</v>
      </c>
      <c r="C103" s="630"/>
      <c r="D103" s="630"/>
      <c r="E103" s="630"/>
      <c r="F103" s="630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25" t="str">
        <f>+VLOOKUP(LEFT($A104,LEN(A104)-1)*1,Master!$D$30:$G$229,4,FALSE)</f>
        <v>Donacije i transferi</v>
      </c>
      <c r="C104" s="626"/>
      <c r="D104" s="626"/>
      <c r="E104" s="626"/>
      <c r="F104" s="626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07" t="str">
        <f>+VLOOKUP(LEFT($A105,LEN(A105)-1)*1,Master!$D$30:$G$229,4,FALSE)</f>
        <v>Izdaci budžeta</v>
      </c>
      <c r="C105" s="608"/>
      <c r="D105" s="608"/>
      <c r="E105" s="608"/>
      <c r="F105" s="608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27" t="str">
        <f>+VLOOKUP(LEFT($A106,LEN(A106)-1)*1,Master!$D$30:$G$229,4,FALSE)</f>
        <v>Tekući izdaci</v>
      </c>
      <c r="C106" s="628"/>
      <c r="D106" s="628"/>
      <c r="E106" s="628"/>
      <c r="F106" s="628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23" t="str">
        <f>+VLOOKUP(LEFT($A107,LEN(A107)-1)*1,Master!$D$30:$G$229,4,FALSE)</f>
        <v>Bruto zarade i doprinosi na teret poslodavca</v>
      </c>
      <c r="C107" s="624"/>
      <c r="D107" s="624"/>
      <c r="E107" s="624"/>
      <c r="F107" s="624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23" t="str">
        <f>+VLOOKUP(LEFT($A108,LEN(A108)-1)*1,Master!$D$30:$G$229,4,FALSE)</f>
        <v>Ostala lična primanja</v>
      </c>
      <c r="C108" s="624"/>
      <c r="D108" s="624"/>
      <c r="E108" s="624"/>
      <c r="F108" s="624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23" t="str">
        <f>+VLOOKUP(LEFT($A109,LEN(A109)-1)*1,Master!$D$30:$G$229,4,FALSE)</f>
        <v>Rashodi za materijal</v>
      </c>
      <c r="C109" s="624"/>
      <c r="D109" s="624"/>
      <c r="E109" s="624"/>
      <c r="F109" s="624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23" t="str">
        <f>+VLOOKUP(LEFT($A110,LEN(A110)-1)*1,Master!$D$30:$G$229,4,FALSE)</f>
        <v>Rashodi za usluge</v>
      </c>
      <c r="C110" s="624"/>
      <c r="D110" s="624"/>
      <c r="E110" s="624"/>
      <c r="F110" s="624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23" t="str">
        <f>+VLOOKUP(LEFT($A111,LEN(A111)-1)*1,Master!$D$30:$G$229,4,FALSE)</f>
        <v>Rashodi za tekuće održavanje</v>
      </c>
      <c r="C111" s="624"/>
      <c r="D111" s="624"/>
      <c r="E111" s="624"/>
      <c r="F111" s="624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23" t="str">
        <f>+VLOOKUP(LEFT($A112,LEN(A112)-1)*1,Master!$D$30:$G$229,4,FALSE)</f>
        <v>Kamate</v>
      </c>
      <c r="C112" s="624"/>
      <c r="D112" s="624"/>
      <c r="E112" s="624"/>
      <c r="F112" s="624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23" t="str">
        <f>+VLOOKUP(LEFT($A113,LEN(A113)-1)*1,Master!$D$30:$G$229,4,FALSE)</f>
        <v>Renta</v>
      </c>
      <c r="C113" s="624"/>
      <c r="D113" s="624"/>
      <c r="E113" s="624"/>
      <c r="F113" s="624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23" t="str">
        <f>+VLOOKUP(LEFT($A114,LEN(A114)-1)*1,Master!$D$30:$G$229,4,FALSE)</f>
        <v>Subvencije</v>
      </c>
      <c r="C114" s="624"/>
      <c r="D114" s="624"/>
      <c r="E114" s="624"/>
      <c r="F114" s="624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23" t="str">
        <f>+VLOOKUP(LEFT($A115,LEN(A115)-1)*1,Master!$D$30:$G$229,4,FALSE)</f>
        <v>Ostali izdaci</v>
      </c>
      <c r="C115" s="624"/>
      <c r="D115" s="624"/>
      <c r="E115" s="624"/>
      <c r="F115" s="624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19" t="str">
        <f>+VLOOKUP(LEFT($A116,LEN(A116)-1)*1,Master!$D$30:$G$229,4,FALSE)</f>
        <v>Transferi za socijalnu zaštitu</v>
      </c>
      <c r="C116" s="620"/>
      <c r="D116" s="620"/>
      <c r="E116" s="620"/>
      <c r="F116" s="620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23" t="str">
        <f>+VLOOKUP(LEFT($A117,LEN(A117)-1)*1,Master!$D$30:$G$229,4,FALSE)</f>
        <v>Prava iz oblasti socijalne zaštite</v>
      </c>
      <c r="C117" s="624"/>
      <c r="D117" s="624"/>
      <c r="E117" s="624"/>
      <c r="F117" s="624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23" t="str">
        <f>+VLOOKUP(LEFT($A118,LEN(A118)-1)*1,Master!$D$30:$G$229,4,FALSE)</f>
        <v>Sredstva za tehnološke viškove</v>
      </c>
      <c r="C118" s="624"/>
      <c r="D118" s="624"/>
      <c r="E118" s="624"/>
      <c r="F118" s="624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23" t="str">
        <f>+VLOOKUP(LEFT($A119,LEN(A119)-1)*1,Master!$D$30:$G$229,4,FALSE)</f>
        <v>Prava iz oblasti penzijskog i invalidskog osiguranja</v>
      </c>
      <c r="C119" s="624"/>
      <c r="D119" s="624"/>
      <c r="E119" s="624"/>
      <c r="F119" s="624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23" t="str">
        <f>+VLOOKUP(LEFT($A120,LEN(A120)-1)*1,Master!$D$30:$G$229,4,FALSE)</f>
        <v>Ostala prava iz oblasti zdravstvene zaštite</v>
      </c>
      <c r="C120" s="624"/>
      <c r="D120" s="624"/>
      <c r="E120" s="624"/>
      <c r="F120" s="624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23" t="str">
        <f>+VLOOKUP(LEFT($A121,LEN(A121)-1)*1,Master!$D$30:$G$229,4,FALSE)</f>
        <v>Ostala prava iz zdravstvenog osiguranja</v>
      </c>
      <c r="C121" s="624"/>
      <c r="D121" s="624"/>
      <c r="E121" s="624"/>
      <c r="F121" s="624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21" t="str">
        <f>+VLOOKUP(LEFT($A122,LEN(A122)-1)*1,Master!$D$30:$G$229,4,FALSE)</f>
        <v xml:space="preserve">Transferi institucijama, pojedincima, nevladinom i javnom sektoru </v>
      </c>
      <c r="C122" s="622"/>
      <c r="D122" s="622"/>
      <c r="E122" s="622"/>
      <c r="F122" s="622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21" t="str">
        <f>+VLOOKUP(LEFT($A123,LEN(A123)-1)*1,Master!$D$30:$G$229,4,FALSE)</f>
        <v>Kapitalni izdaci</v>
      </c>
      <c r="C123" s="622"/>
      <c r="D123" s="622"/>
      <c r="E123" s="622"/>
      <c r="F123" s="622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13" t="str">
        <f>+VLOOKUP(LEFT($A124,LEN(A124)-1)*1,Master!$D$30:$G$229,4,FALSE)</f>
        <v>Pozajmice i krediti</v>
      </c>
      <c r="C124" s="614"/>
      <c r="D124" s="614"/>
      <c r="E124" s="614"/>
      <c r="F124" s="614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13" t="str">
        <f>+VLOOKUP(LEFT($A125,LEN(A125)-1)*1,Master!$D$30:$G$229,4,FALSE)</f>
        <v>Rezerve</v>
      </c>
      <c r="C125" s="614"/>
      <c r="D125" s="614"/>
      <c r="E125" s="614"/>
      <c r="F125" s="614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13" t="str">
        <f>+VLOOKUP(LEFT($A126,LEN(A126)-1)*1,Master!$D$30:$G$229,4,FALSE)</f>
        <v>Otplata garancija</v>
      </c>
      <c r="C126" s="614"/>
      <c r="D126" s="614"/>
      <c r="E126" s="614"/>
      <c r="F126" s="614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13" t="str">
        <f>+VLOOKUP(LEFT($A127,LEN(A127)-1)*1,Master!$D$30:$G$229,4,FALSE)</f>
        <v>Otplata obaveza iz prethodnog perioda</v>
      </c>
      <c r="C127" s="614"/>
      <c r="D127" s="614"/>
      <c r="E127" s="614"/>
      <c r="F127" s="614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13" t="str">
        <f>+VLOOKUP(LEFT($A128,LEN(A128)-1)*1,Master!$D$30:$G$229,4,FALSE)</f>
        <v>Neto povećanje obaveza</v>
      </c>
      <c r="C128" s="614"/>
      <c r="D128" s="614"/>
      <c r="E128" s="614"/>
      <c r="F128" s="614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15" t="str">
        <f>+VLOOKUP(LEFT($A129,LEN(A129)-1)*1,Master!$D$30:$G$226,4,FALSE)</f>
        <v>Suficit / deficit</v>
      </c>
      <c r="C129" s="616"/>
      <c r="D129" s="616"/>
      <c r="E129" s="616"/>
      <c r="F129" s="616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17" t="str">
        <f>+VLOOKUP(LEFT($A130,LEN(A130)-1)*1,Master!$D$30:$G$226,4,FALSE)</f>
        <v>Primarni suficit/deficit</v>
      </c>
      <c r="C130" s="618"/>
      <c r="D130" s="618"/>
      <c r="E130" s="618"/>
      <c r="F130" s="618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19" t="str">
        <f>+VLOOKUP(LEFT($A131,LEN(A131)-1)*1,Master!$D$30:$G$226,4,FALSE)</f>
        <v>Otplata dugova</v>
      </c>
      <c r="C131" s="620"/>
      <c r="D131" s="620"/>
      <c r="E131" s="620"/>
      <c r="F131" s="620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11" t="str">
        <f>+VLOOKUP(LEFT($A132,LEN(A132)-1)*1,Master!$D$30:$G$226,4,FALSE)</f>
        <v>Otplata hartija od vrijednosti i kredita rezidentima</v>
      </c>
      <c r="C132" s="612"/>
      <c r="D132" s="612"/>
      <c r="E132" s="612"/>
      <c r="F132" s="612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13" t="str">
        <f>+VLOOKUP(LEFT($A133,LEN(A133)-1)*1,Master!$D$30:$G$226,4,FALSE)</f>
        <v>Otplata hartija od vrijednosti i kredita nerezidentima</v>
      </c>
      <c r="C133" s="614"/>
      <c r="D133" s="614"/>
      <c r="E133" s="614"/>
      <c r="F133" s="614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07" t="str">
        <f>+VLOOKUP(LEFT($A134,LEN(A134)-1)*1,Master!$D$30:$G$226,4,FALSE)</f>
        <v>Izdaci za kupovinu hartija od vrijednosti</v>
      </c>
      <c r="C134" s="608"/>
      <c r="D134" s="608"/>
      <c r="E134" s="608"/>
      <c r="F134" s="608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07" t="s">
        <v>113</v>
      </c>
      <c r="C135" s="608"/>
      <c r="D135" s="608"/>
      <c r="E135" s="608"/>
      <c r="F135" s="608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09" t="str">
        <f>+VLOOKUP(LEFT($A136,LEN(A136)-1)*1,Master!$D$30:$G$226,4,FALSE)</f>
        <v>Nedostajuća sredstva</v>
      </c>
      <c r="C136" s="610"/>
      <c r="D136" s="610"/>
      <c r="E136" s="610"/>
      <c r="F136" s="610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07" t="str">
        <f>+VLOOKUP(LEFT($A137,LEN(A137)-1)*1,Master!$D$30:$G$226,4,FALSE)</f>
        <v>Finansiranje</v>
      </c>
      <c r="C137" s="608"/>
      <c r="D137" s="608"/>
      <c r="E137" s="608"/>
      <c r="F137" s="608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11" t="str">
        <f>+VLOOKUP(LEFT($A138,LEN(A138)-1)*1,Master!$D$30:$G$226,4,FALSE)</f>
        <v>Pozajmice i krediti od domaćih izvora</v>
      </c>
      <c r="C138" s="612"/>
      <c r="D138" s="612"/>
      <c r="E138" s="612"/>
      <c r="F138" s="612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13" t="str">
        <f>+VLOOKUP(LEFT($A139,LEN(A139)-1)*1,Master!$D$30:$G$226,4,FALSE)</f>
        <v>Pozajmice i krediti od inostranih izvora</v>
      </c>
      <c r="C139" s="614"/>
      <c r="D139" s="614"/>
      <c r="E139" s="614"/>
      <c r="F139" s="614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13" t="str">
        <f>+VLOOKUP(LEFT($A140,LEN(A140)-1)*1,Master!$D$30:$G$226,4,FALSE)</f>
        <v>Primici od prodaje imovine</v>
      </c>
      <c r="C140" s="614"/>
      <c r="D140" s="614"/>
      <c r="E140" s="614"/>
      <c r="F140" s="614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87" t="str">
        <f>+Master!G252</f>
        <v>Ostvarenje budžeta</v>
      </c>
      <c r="C7" s="588"/>
      <c r="D7" s="588"/>
      <c r="E7" s="588"/>
      <c r="F7" s="588"/>
      <c r="G7" s="596">
        <v>2022</v>
      </c>
      <c r="H7" s="597"/>
      <c r="I7" s="597"/>
      <c r="J7" s="597"/>
      <c r="K7" s="597"/>
      <c r="L7" s="597"/>
      <c r="M7" s="597"/>
      <c r="N7" s="597"/>
      <c r="O7" s="597"/>
      <c r="P7" s="597"/>
      <c r="Q7" s="597"/>
      <c r="R7" s="600"/>
      <c r="S7" s="220" t="str">
        <f>+Master!G249</f>
        <v>BDP</v>
      </c>
      <c r="T7" s="221">
        <v>5796761000</v>
      </c>
    </row>
    <row r="8" spans="1:23" ht="16.5" customHeight="1">
      <c r="A8" s="129"/>
      <c r="B8" s="589"/>
      <c r="C8" s="590"/>
      <c r="D8" s="590"/>
      <c r="E8" s="590"/>
      <c r="F8" s="591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96" t="str">
        <f>+Master!G247</f>
        <v>Jan - Dec</v>
      </c>
      <c r="T8" s="600"/>
    </row>
    <row r="9" spans="1:23" ht="13.5" thickBot="1">
      <c r="A9" s="129"/>
      <c r="B9" s="592"/>
      <c r="C9" s="593"/>
      <c r="D9" s="593"/>
      <c r="E9" s="593"/>
      <c r="F9" s="59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67" t="str">
        <f>+VLOOKUP($A10,Master!$D$30:$G$226,4,FALSE)</f>
        <v>Prihodi budžeta</v>
      </c>
      <c r="C10" s="568"/>
      <c r="D10" s="568"/>
      <c r="E10" s="568"/>
      <c r="F10" s="568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557" t="str">
        <f>+VLOOKUP($A11,Master!$D$30:$G$226,4,FALSE)</f>
        <v>Porezi</v>
      </c>
      <c r="C11" s="558"/>
      <c r="D11" s="558"/>
      <c r="E11" s="558"/>
      <c r="F11" s="558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59" t="str">
        <f>+VLOOKUP($A12,Master!$D$30:$G$226,4,FALSE)</f>
        <v>Porez na dohodak fizičkih lica</v>
      </c>
      <c r="C12" s="560"/>
      <c r="D12" s="560"/>
      <c r="E12" s="560"/>
      <c r="F12" s="560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59" t="str">
        <f>+VLOOKUP($A13,Master!$D$30:$G$226,4,FALSE)</f>
        <v>Porez na dobit pravnih lica</v>
      </c>
      <c r="C13" s="560"/>
      <c r="D13" s="560"/>
      <c r="E13" s="560"/>
      <c r="F13" s="560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59" t="str">
        <f>+VLOOKUP($A14,Master!$D$30:$G$226,4,FALSE)</f>
        <v>Porez na promet nepokretnosti</v>
      </c>
      <c r="C14" s="560"/>
      <c r="D14" s="560"/>
      <c r="E14" s="560"/>
      <c r="F14" s="560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59" t="str">
        <f>+VLOOKUP($A15,Master!$D$30:$G$226,4,FALSE)</f>
        <v>Porez na dodatu vrijednost</v>
      </c>
      <c r="C15" s="560"/>
      <c r="D15" s="560"/>
      <c r="E15" s="560"/>
      <c r="F15" s="560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59" t="str">
        <f>+VLOOKUP($A16,Master!$D$30:$G$226,4,FALSE)</f>
        <v>Akcize</v>
      </c>
      <c r="C16" s="560"/>
      <c r="D16" s="560"/>
      <c r="E16" s="560"/>
      <c r="F16" s="560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59" t="str">
        <f>+VLOOKUP($A17,Master!$D$30:$G$226,4,FALSE)</f>
        <v>Porez na međunarodnu trgovinu i transakcije</v>
      </c>
      <c r="C17" s="560"/>
      <c r="D17" s="560"/>
      <c r="E17" s="560"/>
      <c r="F17" s="560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59" t="str">
        <f>+VLOOKUP($A18,Master!$D$30:$G$226,4,FALSE)</f>
        <v>Ostali državni porezi</v>
      </c>
      <c r="C18" s="560"/>
      <c r="D18" s="560"/>
      <c r="E18" s="560"/>
      <c r="F18" s="560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61" t="str">
        <f>+VLOOKUP($A19,Master!$D$30:$G$226,4,FALSE)</f>
        <v>Doprinosi</v>
      </c>
      <c r="C19" s="562"/>
      <c r="D19" s="562"/>
      <c r="E19" s="562"/>
      <c r="F19" s="562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59" t="str">
        <f>+VLOOKUP($A20,Master!$D$30:$G$226,4,FALSE)</f>
        <v>Doprinosi za penzijsko i invalidsko osiguranje</v>
      </c>
      <c r="C20" s="560"/>
      <c r="D20" s="560"/>
      <c r="E20" s="560"/>
      <c r="F20" s="560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59" t="str">
        <f>+VLOOKUP($A21,Master!$D$30:$G$226,4,FALSE)</f>
        <v>Doprinosi za zdravstveno osiguranje</v>
      </c>
      <c r="C21" s="560"/>
      <c r="D21" s="560"/>
      <c r="E21" s="560"/>
      <c r="F21" s="560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59" t="str">
        <f>+VLOOKUP($A22,Master!$D$30:$G$226,4,FALSE)</f>
        <v>Doprinosi za osiguranje od nezaposlenosti</v>
      </c>
      <c r="C22" s="560"/>
      <c r="D22" s="560"/>
      <c r="E22" s="560"/>
      <c r="F22" s="560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59" t="str">
        <f>+VLOOKUP($A23,Master!$D$30:$G$226,4,FALSE)</f>
        <v>Ostali doprinosi</v>
      </c>
      <c r="C23" s="560"/>
      <c r="D23" s="560"/>
      <c r="E23" s="560"/>
      <c r="F23" s="560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61" t="str">
        <f>+VLOOKUP($A24,Master!$D$30:$G$226,4,FALSE)</f>
        <v>Takse</v>
      </c>
      <c r="C24" s="562"/>
      <c r="D24" s="562"/>
      <c r="E24" s="562"/>
      <c r="F24" s="562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61" t="str">
        <f>+VLOOKUP($A25,Master!$D$30:$G$226,4,FALSE)</f>
        <v>Naknade</v>
      </c>
      <c r="C25" s="562"/>
      <c r="D25" s="562"/>
      <c r="E25" s="562"/>
      <c r="F25" s="562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61" t="str">
        <f>+VLOOKUP($A26,Master!$D$30:$G$226,4,FALSE)</f>
        <v>Ostali prihodi</v>
      </c>
      <c r="C26" s="562"/>
      <c r="D26" s="562"/>
      <c r="E26" s="562"/>
      <c r="F26" s="562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61" t="str">
        <f>+VLOOKUP($A27,Master!$D$30:$G$226,4,FALSE)</f>
        <v>Primici od otplate kredita i sredstva prenesena iz prethodne godine</v>
      </c>
      <c r="C27" s="562"/>
      <c r="D27" s="562"/>
      <c r="E27" s="562"/>
      <c r="F27" s="562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61" t="str">
        <f>+VLOOKUP($A28,Master!$D$30:$G$226,4,FALSE)</f>
        <v>Donacije i transferi</v>
      </c>
      <c r="C28" s="562"/>
      <c r="D28" s="562"/>
      <c r="E28" s="562"/>
      <c r="F28" s="562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67" t="str">
        <f>+VLOOKUP($A29,Master!$D$30:$G$226,4,FALSE)</f>
        <v>Izdaci budžeta</v>
      </c>
      <c r="C29" s="568"/>
      <c r="D29" s="568"/>
      <c r="E29" s="568"/>
      <c r="F29" s="568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571" t="str">
        <f>+VLOOKUP($A30,Master!$D$30:$G$226,4,FALSE)</f>
        <v>Tekući izdaci</v>
      </c>
      <c r="C30" s="572"/>
      <c r="D30" s="572"/>
      <c r="E30" s="572"/>
      <c r="F30" s="572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59" t="str">
        <f>+VLOOKUP($A31,Master!$D$30:$G$226,4,FALSE)</f>
        <v>Bruto zarade i doprinosi na teret poslodavca</v>
      </c>
      <c r="C31" s="560"/>
      <c r="D31" s="560"/>
      <c r="E31" s="560"/>
      <c r="F31" s="560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59" t="str">
        <f>+VLOOKUP($A32,Master!$D$30:$G$226,4,FALSE)</f>
        <v>Ostala lična primanja</v>
      </c>
      <c r="C32" s="560"/>
      <c r="D32" s="560"/>
      <c r="E32" s="560"/>
      <c r="F32" s="560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59" t="str">
        <f>+VLOOKUP($A33,Master!$D$30:$G$226,4,FALSE)</f>
        <v>Rashodi za materijal</v>
      </c>
      <c r="C33" s="560"/>
      <c r="D33" s="560"/>
      <c r="E33" s="560"/>
      <c r="F33" s="560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54" t="str">
        <f>+VLOOKUP($A34,Master!$D$30:$G$226,4,FALSE)</f>
        <v>Rashodi za usluge</v>
      </c>
      <c r="C34" s="655"/>
      <c r="D34" s="655"/>
      <c r="E34" s="655"/>
      <c r="F34" s="655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59" t="str">
        <f>+VLOOKUP($A35,Master!$D$30:$G$226,4,FALSE)</f>
        <v>Rashodi za tekuće održavanje</v>
      </c>
      <c r="C35" s="560"/>
      <c r="D35" s="560"/>
      <c r="E35" s="560"/>
      <c r="F35" s="560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59" t="str">
        <f>+VLOOKUP($A36,Master!$D$30:$G$226,4,FALSE)</f>
        <v>Kamate</v>
      </c>
      <c r="C36" s="560"/>
      <c r="D36" s="560"/>
      <c r="E36" s="560"/>
      <c r="F36" s="560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59" t="str">
        <f>+VLOOKUP($A37,Master!$D$30:$G$226,4,FALSE)</f>
        <v>Renta</v>
      </c>
      <c r="C37" s="560"/>
      <c r="D37" s="560"/>
      <c r="E37" s="560"/>
      <c r="F37" s="560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59" t="str">
        <f>+VLOOKUP($A38,Master!$D$30:$G$226,4,FALSE)</f>
        <v>Subvencije</v>
      </c>
      <c r="C38" s="560"/>
      <c r="D38" s="560"/>
      <c r="E38" s="560"/>
      <c r="F38" s="560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59" t="str">
        <f>+VLOOKUP($A39,Master!$D$30:$G$226,4,FALSE)</f>
        <v>Ostali izdaci</v>
      </c>
      <c r="C39" s="560"/>
      <c r="D39" s="560"/>
      <c r="E39" s="560"/>
      <c r="F39" s="560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75" t="str">
        <f>+VLOOKUP($A40,Master!$D$30:$G$226,4,FALSE)</f>
        <v>Transferi za socijalnu zaštitu</v>
      </c>
      <c r="C40" s="576"/>
      <c r="D40" s="576"/>
      <c r="E40" s="576"/>
      <c r="F40" s="576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59" t="str">
        <f>+VLOOKUP($A41,Master!$D$30:$G$226,4,FALSE)</f>
        <v>Prava iz oblasti socijalne zaštite</v>
      </c>
      <c r="C41" s="560"/>
      <c r="D41" s="560"/>
      <c r="E41" s="560"/>
      <c r="F41" s="560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59" t="str">
        <f>+VLOOKUP($A42,Master!$D$30:$G$226,4,FALSE)</f>
        <v>Sredstva za tehnološke viškove</v>
      </c>
      <c r="C42" s="560"/>
      <c r="D42" s="560"/>
      <c r="E42" s="560"/>
      <c r="F42" s="560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59" t="str">
        <f>+VLOOKUP($A43,Master!$D$30:$G$226,4,FALSE)</f>
        <v>Prava iz oblasti penzijskog i invalidskog osiguranja</v>
      </c>
      <c r="C43" s="560"/>
      <c r="D43" s="560"/>
      <c r="E43" s="560"/>
      <c r="F43" s="560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59" t="str">
        <f>+VLOOKUP($A44,Master!$D$30:$G$226,4,FALSE)</f>
        <v>Ostala prava iz oblasti zdravstvene zaštite</v>
      </c>
      <c r="C44" s="560"/>
      <c r="D44" s="560"/>
      <c r="E44" s="560"/>
      <c r="F44" s="560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50" t="str">
        <f>+VLOOKUP($A45,Master!$D$30:$G$226,4,FALSE)</f>
        <v>Ostala prava iz zdravstvenog osiguranja</v>
      </c>
      <c r="C45" s="651"/>
      <c r="D45" s="651"/>
      <c r="E45" s="651"/>
      <c r="F45" s="651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73" t="str">
        <f>+VLOOKUP($A46,Master!$D$30:$G$226,4,FALSE)</f>
        <v xml:space="preserve">Transferi institucijama, pojedincima, nevladinom i javnom sektoru </v>
      </c>
      <c r="C46" s="574"/>
      <c r="D46" s="574"/>
      <c r="E46" s="574"/>
      <c r="F46" s="574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73" t="str">
        <f>+VLOOKUP($A47,Master!$D$30:$G$226,4,FALSE)</f>
        <v>Kapitalni izdaci</v>
      </c>
      <c r="C47" s="574"/>
      <c r="D47" s="574"/>
      <c r="E47" s="574"/>
      <c r="F47" s="574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52" t="str">
        <f>+VLOOKUP($A48,Master!$D$30:$G$226,4,FALSE)</f>
        <v>Pozajmice i krediti</v>
      </c>
      <c r="C48" s="653"/>
      <c r="D48" s="653"/>
      <c r="E48" s="653"/>
      <c r="F48" s="653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44" t="str">
        <f>+VLOOKUP($A49,Master!$D$30:$G$226,4,FALSE)</f>
        <v>Rezerve</v>
      </c>
      <c r="C49" s="645"/>
      <c r="D49" s="645"/>
      <c r="E49" s="645"/>
      <c r="F49" s="645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79" t="str">
        <f>+VLOOKUP($A50,Master!$D$30:$G$226,4,FALSE)</f>
        <v>Otplata garancija</v>
      </c>
      <c r="C50" s="580"/>
      <c r="D50" s="580"/>
      <c r="E50" s="580"/>
      <c r="F50" s="580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46" t="str">
        <f>+VLOOKUP($A51,Master!$D$30:$G$226,4,TRUE)</f>
        <v>Otplata obaveza iz prethodnog perioda</v>
      </c>
      <c r="C51" s="647"/>
      <c r="D51" s="647"/>
      <c r="E51" s="647"/>
      <c r="F51" s="647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48" t="str">
        <f>+VLOOKUP($A52,Master!$D$30:$G$228,4,FALSE)</f>
        <v>Neto povećanje obaveza</v>
      </c>
      <c r="C52" s="649"/>
      <c r="D52" s="649"/>
      <c r="E52" s="649"/>
      <c r="F52" s="649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601" t="str">
        <f>+VLOOKUP($A56,Master!$D$30:$G$226,4,FALSE)</f>
        <v>Otplata hartija od vrijednosti i kredita rezidentima</v>
      </c>
      <c r="C56" s="602"/>
      <c r="D56" s="602"/>
      <c r="E56" s="602"/>
      <c r="F56" s="602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77" t="str">
        <f>+VLOOKUP($A57,Master!$D$30:$G$226,4,FALSE)</f>
        <v>Otplata hartija od vrijednosti i kredita nerezidentima</v>
      </c>
      <c r="C57" s="578"/>
      <c r="D57" s="578"/>
      <c r="E57" s="578"/>
      <c r="F57" s="578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569" t="str">
        <f>+VLOOKUP($A58,Master!$D$30:$G$226,4,FALSE)</f>
        <v>Izdaci za kupovinu hartija od vrijednosti</v>
      </c>
      <c r="C58" s="570"/>
      <c r="D58" s="570"/>
      <c r="E58" s="570"/>
      <c r="F58" s="570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569" t="str">
        <f>+VLOOKUP($A59,Master!$D$30:$G$226,4,FALSE)</f>
        <v>Pozajmice i krediti</v>
      </c>
      <c r="C59" s="570"/>
      <c r="D59" s="570"/>
      <c r="E59" s="570"/>
      <c r="F59" s="570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603" t="str">
        <f>+VLOOKUP($A60,Master!$D$30:$G$226,4,FALSE)</f>
        <v>Nedostajuća sredstva</v>
      </c>
      <c r="C60" s="604"/>
      <c r="D60" s="604"/>
      <c r="E60" s="604"/>
      <c r="F60" s="604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67" t="str">
        <f>+VLOOKUP($A61,Master!$D$30:$G$226,4,FALSE)</f>
        <v>Finansiranje</v>
      </c>
      <c r="C61" s="568"/>
      <c r="D61" s="568"/>
      <c r="E61" s="568"/>
      <c r="F61" s="568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601" t="str">
        <f>+VLOOKUP($A62,Master!$D$30:$G$226,4,FALSE)</f>
        <v>Pozajmice i krediti od domaćih izvora</v>
      </c>
      <c r="C62" s="602"/>
      <c r="D62" s="602"/>
      <c r="E62" s="602"/>
      <c r="F62" s="602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601" t="str">
        <f>+VLOOKUP($A63,Master!$D$30:$G$226,4,FALSE)</f>
        <v>Pozajmice i krediti od inostranih izvora</v>
      </c>
      <c r="C63" s="602"/>
      <c r="D63" s="602"/>
      <c r="E63" s="602"/>
      <c r="F63" s="602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77" t="str">
        <f>+VLOOKUP($A64,Master!$D$30:$G$226,4,FALSE)</f>
        <v>Primici od prodaje imovine</v>
      </c>
      <c r="C64" s="578"/>
      <c r="D64" s="578"/>
      <c r="E64" s="578"/>
      <c r="F64" s="578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77" t="s">
        <v>101</v>
      </c>
      <c r="C65" s="578"/>
      <c r="D65" s="578"/>
      <c r="E65" s="578"/>
      <c r="F65" s="578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33" t="str">
        <f>+Master!G253</f>
        <v>Plan ostvarenja budžeta</v>
      </c>
      <c r="C83" s="634"/>
      <c r="D83" s="634"/>
      <c r="E83" s="634"/>
      <c r="F83" s="634"/>
      <c r="G83" s="641">
        <v>2022</v>
      </c>
      <c r="H83" s="642"/>
      <c r="I83" s="642"/>
      <c r="J83" s="642"/>
      <c r="K83" s="642"/>
      <c r="L83" s="642"/>
      <c r="M83" s="642"/>
      <c r="N83" s="642"/>
      <c r="O83" s="642"/>
      <c r="P83" s="642"/>
      <c r="Q83" s="642"/>
      <c r="R83" s="643"/>
      <c r="S83" s="96" t="str">
        <f>+S7</f>
        <v>BDP</v>
      </c>
      <c r="T83" s="97">
        <v>5700400000</v>
      </c>
    </row>
    <row r="84" spans="1:26" ht="15.75" customHeight="1">
      <c r="B84" s="635"/>
      <c r="C84" s="636"/>
      <c r="D84" s="636"/>
      <c r="E84" s="636"/>
      <c r="F84" s="637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41" t="str">
        <f>+Master!G247</f>
        <v>Jan - Dec</v>
      </c>
      <c r="T84" s="643">
        <f>+T8</f>
        <v>0</v>
      </c>
    </row>
    <row r="85" spans="1:26" ht="13.5" thickBot="1">
      <c r="B85" s="638"/>
      <c r="C85" s="639"/>
      <c r="D85" s="639"/>
      <c r="E85" s="639"/>
      <c r="F85" s="640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07" t="str">
        <f>+VLOOKUP(LEFT($A86,LEN(A86)-1)*1,Master!$D$30:$G$226,4,FALSE)</f>
        <v>Prihodi budžeta</v>
      </c>
      <c r="C86" s="608"/>
      <c r="D86" s="608"/>
      <c r="E86" s="608"/>
      <c r="F86" s="608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31" t="str">
        <f>+VLOOKUP(LEFT($A87,LEN(A87)-1)*1,Master!$D$30:$G$226,4,FALSE)</f>
        <v>Porezi</v>
      </c>
      <c r="C87" s="632"/>
      <c r="D87" s="632"/>
      <c r="E87" s="632"/>
      <c r="F87" s="632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23" t="str">
        <f>+VLOOKUP(LEFT($A88,LEN(A88)-1)*1,Master!$D$30:$G$229,4,FALSE)</f>
        <v>Porez na dohodak fizičkih lica</v>
      </c>
      <c r="C88" s="624"/>
      <c r="D88" s="624"/>
      <c r="E88" s="624"/>
      <c r="F88" s="624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23" t="str">
        <f>+VLOOKUP(LEFT($A89,LEN(A89)-1)*1,Master!$D$30:$G$229,4,FALSE)</f>
        <v>Porez na dobit pravnih lica</v>
      </c>
      <c r="C89" s="624"/>
      <c r="D89" s="624"/>
      <c r="E89" s="624"/>
      <c r="F89" s="624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23" t="str">
        <f>+VLOOKUP(LEFT($A90,LEN(A90)-1)*1,Master!$D$30:$G$229,4,FALSE)</f>
        <v>Porez na promet nepokretnosti</v>
      </c>
      <c r="C90" s="624"/>
      <c r="D90" s="624"/>
      <c r="E90" s="624"/>
      <c r="F90" s="624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23" t="str">
        <f>+VLOOKUP(LEFT($A91,LEN(A91)-1)*1,Master!$D$30:$G$229,4,FALSE)</f>
        <v>Porez na dodatu vrijednost</v>
      </c>
      <c r="C91" s="624"/>
      <c r="D91" s="624"/>
      <c r="E91" s="624"/>
      <c r="F91" s="624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23" t="str">
        <f>+VLOOKUP(LEFT($A92,LEN(A92)-1)*1,Master!$D$30:$G$229,4,FALSE)</f>
        <v>Akcize</v>
      </c>
      <c r="C92" s="624"/>
      <c r="D92" s="624"/>
      <c r="E92" s="624"/>
      <c r="F92" s="624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23" t="str">
        <f>+VLOOKUP(LEFT($A93,LEN(A93)-1)*1,Master!$D$30:$G$229,4,FALSE)</f>
        <v>Porez na međunarodnu trgovinu i transakcije</v>
      </c>
      <c r="C93" s="624"/>
      <c r="D93" s="624"/>
      <c r="E93" s="624"/>
      <c r="F93" s="624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23" t="str">
        <f>+VLOOKUP(LEFT($A94,LEN(A94)-1)*1,Master!$D$30:$G$229,4,FALSE)</f>
        <v>Ostali državni porezi</v>
      </c>
      <c r="C94" s="624"/>
      <c r="D94" s="624"/>
      <c r="E94" s="624"/>
      <c r="F94" s="624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29" t="str">
        <f>+VLOOKUP(LEFT($A95,LEN(A95)-1)*1,Master!$D$30:$G$229,4,FALSE)</f>
        <v>Doprinosi</v>
      </c>
      <c r="C95" s="630"/>
      <c r="D95" s="630"/>
      <c r="E95" s="630"/>
      <c r="F95" s="630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23" t="str">
        <f>+VLOOKUP(LEFT($A96,LEN(A96)-1)*1,Master!$D$30:$G$229,4,FALSE)</f>
        <v>Doprinosi za penzijsko i invalidsko osiguranje</v>
      </c>
      <c r="C96" s="624"/>
      <c r="D96" s="624"/>
      <c r="E96" s="624"/>
      <c r="F96" s="624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23" t="str">
        <f>+VLOOKUP(LEFT($A97,LEN(A97)-1)*1,Master!$D$30:$G$229,4,FALSE)</f>
        <v>Doprinosi za zdravstveno osiguranje</v>
      </c>
      <c r="C97" s="624"/>
      <c r="D97" s="624"/>
      <c r="E97" s="624"/>
      <c r="F97" s="624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23" t="str">
        <f>+VLOOKUP(LEFT($A98,LEN(A98)-1)*1,Master!$D$30:$G$229,4,FALSE)</f>
        <v>Doprinosi za osiguranje od nezaposlenosti</v>
      </c>
      <c r="C98" s="624"/>
      <c r="D98" s="624"/>
      <c r="E98" s="624"/>
      <c r="F98" s="624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23" t="str">
        <f>+VLOOKUP(LEFT($A99,LEN(A99)-1)*1,Master!$D$30:$G$229,4,FALSE)</f>
        <v>Ostali doprinosi</v>
      </c>
      <c r="C99" s="624"/>
      <c r="D99" s="624"/>
      <c r="E99" s="624"/>
      <c r="F99" s="624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29" t="str">
        <f>+VLOOKUP(LEFT($A100,LEN(A100)-1)*1,Master!$D$30:$G$229,4,FALSE)</f>
        <v>Takse</v>
      </c>
      <c r="C100" s="630"/>
      <c r="D100" s="630"/>
      <c r="E100" s="630"/>
      <c r="F100" s="630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29" t="str">
        <f>+VLOOKUP(LEFT($A101,LEN(A101)-1)*1,Master!$D$30:$G$229,4,FALSE)</f>
        <v>Naknade</v>
      </c>
      <c r="C101" s="630"/>
      <c r="D101" s="630"/>
      <c r="E101" s="630"/>
      <c r="F101" s="630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29" t="str">
        <f>+VLOOKUP(LEFT($A102,LEN(A102)-1)*1,Master!$D$30:$G$229,4,FALSE)</f>
        <v>Ostali prihodi</v>
      </c>
      <c r="C102" s="630"/>
      <c r="D102" s="630"/>
      <c r="E102" s="630"/>
      <c r="F102" s="630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29" t="str">
        <f>+VLOOKUP(LEFT($A103,LEN(A103)-1)*1,Master!$D$30:$G$229,4,FALSE)</f>
        <v>Primici od otplate kredita i sredstva prenesena iz prethodne godine</v>
      </c>
      <c r="C103" s="630"/>
      <c r="D103" s="630"/>
      <c r="E103" s="630"/>
      <c r="F103" s="630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25" t="str">
        <f>+VLOOKUP(LEFT($A104,LEN(A104)-1)*1,Master!$D$30:$G$229,4,FALSE)</f>
        <v>Donacije i transferi</v>
      </c>
      <c r="C104" s="626"/>
      <c r="D104" s="626"/>
      <c r="E104" s="626"/>
      <c r="F104" s="626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07" t="str">
        <f>+VLOOKUP(LEFT($A105,LEN(A105)-1)*1,Master!$D$30:$G$229,4,FALSE)</f>
        <v>Izdaci budžeta</v>
      </c>
      <c r="C105" s="608"/>
      <c r="D105" s="608"/>
      <c r="E105" s="608"/>
      <c r="F105" s="608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27" t="str">
        <f>+VLOOKUP(LEFT($A106,LEN(A106)-1)*1,Master!$D$30:$G$229,4,FALSE)</f>
        <v>Tekući izdaci</v>
      </c>
      <c r="C106" s="628"/>
      <c r="D106" s="628"/>
      <c r="E106" s="628"/>
      <c r="F106" s="628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23" t="str">
        <f>+VLOOKUP(LEFT($A107,LEN(A107)-1)*1,Master!$D$30:$G$229,4,FALSE)</f>
        <v>Bruto zarade i doprinosi na teret poslodavca</v>
      </c>
      <c r="C107" s="624"/>
      <c r="D107" s="624"/>
      <c r="E107" s="624"/>
      <c r="F107" s="624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23" t="str">
        <f>+VLOOKUP(LEFT($A108,LEN(A108)-1)*1,Master!$D$30:$G$229,4,FALSE)</f>
        <v>Ostala lična primanja</v>
      </c>
      <c r="C108" s="624"/>
      <c r="D108" s="624"/>
      <c r="E108" s="624"/>
      <c r="F108" s="624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23" t="str">
        <f>+VLOOKUP(LEFT($A109,LEN(A109)-1)*1,Master!$D$30:$G$229,4,FALSE)</f>
        <v>Rashodi za materijal</v>
      </c>
      <c r="C109" s="624"/>
      <c r="D109" s="624"/>
      <c r="E109" s="624"/>
      <c r="F109" s="624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23" t="str">
        <f>+VLOOKUP(LEFT($A110,LEN(A110)-1)*1,Master!$D$30:$G$229,4,FALSE)</f>
        <v>Rashodi za usluge</v>
      </c>
      <c r="C110" s="624"/>
      <c r="D110" s="624"/>
      <c r="E110" s="624"/>
      <c r="F110" s="624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23" t="str">
        <f>+VLOOKUP(LEFT($A111,LEN(A111)-1)*1,Master!$D$30:$G$229,4,FALSE)</f>
        <v>Rashodi za tekuće održavanje</v>
      </c>
      <c r="C111" s="624"/>
      <c r="D111" s="624"/>
      <c r="E111" s="624"/>
      <c r="F111" s="624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23" t="str">
        <f>+VLOOKUP(LEFT($A112,LEN(A112)-1)*1,Master!$D$30:$G$229,4,FALSE)</f>
        <v>Kamate</v>
      </c>
      <c r="C112" s="624"/>
      <c r="D112" s="624"/>
      <c r="E112" s="624"/>
      <c r="F112" s="624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23" t="str">
        <f>+VLOOKUP(LEFT($A113,LEN(A113)-1)*1,Master!$D$30:$G$229,4,FALSE)</f>
        <v>Renta</v>
      </c>
      <c r="C113" s="624"/>
      <c r="D113" s="624"/>
      <c r="E113" s="624"/>
      <c r="F113" s="624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23" t="str">
        <f>+VLOOKUP(LEFT($A114,LEN(A114)-1)*1,Master!$D$30:$G$229,4,FALSE)</f>
        <v>Subvencije</v>
      </c>
      <c r="C114" s="624"/>
      <c r="D114" s="624"/>
      <c r="E114" s="624"/>
      <c r="F114" s="624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23" t="str">
        <f>+VLOOKUP(LEFT($A115,LEN(A115)-1)*1,Master!$D$30:$G$229,4,FALSE)</f>
        <v>Ostali izdaci</v>
      </c>
      <c r="C115" s="624"/>
      <c r="D115" s="624"/>
      <c r="E115" s="624"/>
      <c r="F115" s="624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19" t="str">
        <f>+VLOOKUP(LEFT($A116,LEN(A116)-1)*1,Master!$D$30:$G$229,4,FALSE)</f>
        <v>Transferi za socijalnu zaštitu</v>
      </c>
      <c r="C116" s="620"/>
      <c r="D116" s="620"/>
      <c r="E116" s="620"/>
      <c r="F116" s="620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23" t="str">
        <f>+VLOOKUP(LEFT($A117,LEN(A117)-1)*1,Master!$D$30:$G$229,4,FALSE)</f>
        <v>Prava iz oblasti socijalne zaštite</v>
      </c>
      <c r="C117" s="624"/>
      <c r="D117" s="624"/>
      <c r="E117" s="624"/>
      <c r="F117" s="624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23" t="str">
        <f>+VLOOKUP(LEFT($A118,LEN(A118)-1)*1,Master!$D$30:$G$229,4,FALSE)</f>
        <v>Sredstva za tehnološke viškove</v>
      </c>
      <c r="C118" s="624"/>
      <c r="D118" s="624"/>
      <c r="E118" s="624"/>
      <c r="F118" s="624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23" t="str">
        <f>+VLOOKUP(LEFT($A119,LEN(A119)-1)*1,Master!$D$30:$G$229,4,FALSE)</f>
        <v>Prava iz oblasti penzijskog i invalidskog osiguranja</v>
      </c>
      <c r="C119" s="624"/>
      <c r="D119" s="624"/>
      <c r="E119" s="624"/>
      <c r="F119" s="624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23" t="str">
        <f>+VLOOKUP(LEFT($A120,LEN(A120)-1)*1,Master!$D$30:$G$229,4,FALSE)</f>
        <v>Ostala prava iz oblasti zdravstvene zaštite</v>
      </c>
      <c r="C120" s="624"/>
      <c r="D120" s="624"/>
      <c r="E120" s="624"/>
      <c r="F120" s="624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23" t="str">
        <f>+VLOOKUP(LEFT($A121,LEN(A121)-1)*1,Master!$D$30:$G$229,4,FALSE)</f>
        <v>Ostala prava iz zdravstvenog osiguranja</v>
      </c>
      <c r="C121" s="624"/>
      <c r="D121" s="624"/>
      <c r="E121" s="624"/>
      <c r="F121" s="624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21" t="str">
        <f>+VLOOKUP(LEFT($A122,LEN(A122)-1)*1,Master!$D$30:$G$229,4,FALSE)</f>
        <v xml:space="preserve">Transferi institucijama, pojedincima, nevladinom i javnom sektoru </v>
      </c>
      <c r="C122" s="622"/>
      <c r="D122" s="622"/>
      <c r="E122" s="622"/>
      <c r="F122" s="622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21" t="str">
        <f>+VLOOKUP(LEFT($A123,LEN(A123)-1)*1,Master!$D$30:$G$229,4,FALSE)</f>
        <v>Kapitalni izdaci</v>
      </c>
      <c r="C123" s="622"/>
      <c r="D123" s="622"/>
      <c r="E123" s="622"/>
      <c r="F123" s="622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13" t="str">
        <f>+VLOOKUP(LEFT($A124,LEN(A124)-1)*1,Master!$D$30:$G$229,4,FALSE)</f>
        <v>Pozajmice i krediti</v>
      </c>
      <c r="C124" s="614"/>
      <c r="D124" s="614"/>
      <c r="E124" s="614"/>
      <c r="F124" s="614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13" t="str">
        <f>+VLOOKUP(LEFT($A125,LEN(A125)-1)*1,Master!$D$30:$G$229,4,FALSE)</f>
        <v>Rezerve</v>
      </c>
      <c r="C125" s="614"/>
      <c r="D125" s="614"/>
      <c r="E125" s="614"/>
      <c r="F125" s="614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13" t="str">
        <f>+VLOOKUP(LEFT($A126,LEN(A126)-1)*1,Master!$D$30:$G$229,4,FALSE)</f>
        <v>Otplata garancija</v>
      </c>
      <c r="C126" s="614"/>
      <c r="D126" s="614"/>
      <c r="E126" s="614"/>
      <c r="F126" s="614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13" t="str">
        <f>+VLOOKUP(LEFT($A127,LEN(A127)-1)*1,Master!$D$30:$G$229,4,FALSE)</f>
        <v>Otplata obaveza iz prethodnog perioda</v>
      </c>
      <c r="C127" s="614"/>
      <c r="D127" s="614"/>
      <c r="E127" s="614"/>
      <c r="F127" s="614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13" t="str">
        <f>+VLOOKUP(LEFT($A128,LEN(A128)-1)*1,Master!$D$30:$G$229,4,FALSE)</f>
        <v>Neto povećanje obaveza</v>
      </c>
      <c r="C128" s="614"/>
      <c r="D128" s="614"/>
      <c r="E128" s="614"/>
      <c r="F128" s="614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15" t="str">
        <f>+VLOOKUP(LEFT($A129,LEN(A129)-1)*1,Master!$D$30:$G$226,4,FALSE)</f>
        <v>Suficit / deficit</v>
      </c>
      <c r="C129" s="616"/>
      <c r="D129" s="616"/>
      <c r="E129" s="616"/>
      <c r="F129" s="616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17" t="str">
        <f>+VLOOKUP(LEFT($A130,LEN(A130)-1)*1,Master!$D$30:$G$226,4,FALSE)</f>
        <v>Primarni suficit/deficit</v>
      </c>
      <c r="C130" s="618"/>
      <c r="D130" s="618"/>
      <c r="E130" s="618"/>
      <c r="F130" s="618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19" t="str">
        <f>+VLOOKUP(LEFT($A131,LEN(A131)-1)*1,Master!$D$30:$G$226,4,FALSE)</f>
        <v>Otplata dugova</v>
      </c>
      <c r="C131" s="620"/>
      <c r="D131" s="620"/>
      <c r="E131" s="620"/>
      <c r="F131" s="620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11" t="str">
        <f>+VLOOKUP(LEFT($A132,LEN(A132)-1)*1,Master!$D$30:$G$226,4,FALSE)</f>
        <v>Otplata hartija od vrijednosti i kredita rezidentima</v>
      </c>
      <c r="C132" s="612"/>
      <c r="D132" s="612"/>
      <c r="E132" s="612"/>
      <c r="F132" s="612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13" t="str">
        <f>+VLOOKUP(LEFT($A133,LEN(A133)-1)*1,Master!$D$30:$G$226,4,FALSE)</f>
        <v>Otplata hartija od vrijednosti i kredita nerezidentima</v>
      </c>
      <c r="C133" s="614"/>
      <c r="D133" s="614"/>
      <c r="E133" s="614"/>
      <c r="F133" s="614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07" t="str">
        <f>+VLOOKUP(LEFT($A134,LEN(A134)-1)*1,Master!$D$30:$G$226,4,FALSE)</f>
        <v>Izdaci za kupovinu hartija od vrijednosti</v>
      </c>
      <c r="C134" s="608"/>
      <c r="D134" s="608"/>
      <c r="E134" s="608"/>
      <c r="F134" s="608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09" t="str">
        <f>+VLOOKUP(LEFT($A135,LEN(A135)-1)*1,Master!$D$30:$G$226,4,FALSE)</f>
        <v>Nedostajuća sredstva</v>
      </c>
      <c r="C135" s="610"/>
      <c r="D135" s="610"/>
      <c r="E135" s="610"/>
      <c r="F135" s="610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07" t="str">
        <f>+VLOOKUP(LEFT($A136,LEN(A136)-1)*1,Master!$D$30:$G$226,4,FALSE)</f>
        <v>Finansiranje</v>
      </c>
      <c r="C136" s="608"/>
      <c r="D136" s="608"/>
      <c r="E136" s="608"/>
      <c r="F136" s="608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11" t="str">
        <f>+VLOOKUP(LEFT($A137,LEN(A137)-1)*1,Master!$D$30:$G$226,4,FALSE)</f>
        <v>Pozajmice i krediti od domaćih izvora</v>
      </c>
      <c r="C137" s="612"/>
      <c r="D137" s="612"/>
      <c r="E137" s="612"/>
      <c r="F137" s="612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13" t="str">
        <f>+VLOOKUP(LEFT($A138,LEN(A138)-1)*1,Master!$D$30:$G$226,4,FALSE)</f>
        <v>Pozajmice i krediti od inostranih izvora</v>
      </c>
      <c r="C138" s="614"/>
      <c r="D138" s="614"/>
      <c r="E138" s="614"/>
      <c r="F138" s="614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13" t="str">
        <f>+VLOOKUP(LEFT($A139,LEN(A139)-1)*1,Master!$D$30:$G$226,4,FALSE)</f>
        <v>Primici od prodaje imovine</v>
      </c>
      <c r="C139" s="614"/>
      <c r="D139" s="614"/>
      <c r="E139" s="614"/>
      <c r="F139" s="614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87" t="str">
        <f>+Master!G252</f>
        <v>Ostvarenje budžeta</v>
      </c>
      <c r="C7" s="588"/>
      <c r="D7" s="588"/>
      <c r="E7" s="588"/>
      <c r="F7" s="588"/>
      <c r="G7" s="596">
        <v>2021</v>
      </c>
      <c r="H7" s="597"/>
      <c r="I7" s="597"/>
      <c r="J7" s="597"/>
      <c r="K7" s="597"/>
      <c r="L7" s="597"/>
      <c r="M7" s="597"/>
      <c r="N7" s="597"/>
      <c r="O7" s="597"/>
      <c r="P7" s="597"/>
      <c r="Q7" s="597"/>
      <c r="R7" s="600"/>
      <c r="S7" s="220" t="str">
        <f>+Master!G249</f>
        <v>BDP</v>
      </c>
      <c r="T7" s="221">
        <v>4955116000</v>
      </c>
    </row>
    <row r="8" spans="1:22" ht="16.5" customHeight="1">
      <c r="A8" s="129"/>
      <c r="B8" s="589"/>
      <c r="C8" s="590"/>
      <c r="D8" s="590"/>
      <c r="E8" s="590"/>
      <c r="F8" s="591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96" t="str">
        <f>+Master!G247</f>
        <v>Jan - Dec</v>
      </c>
      <c r="T8" s="600"/>
    </row>
    <row r="9" spans="1:22" ht="13.5" thickBot="1">
      <c r="A9" s="129"/>
      <c r="B9" s="592"/>
      <c r="C9" s="593"/>
      <c r="D9" s="593"/>
      <c r="E9" s="593"/>
      <c r="F9" s="59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555" t="str">
        <f>+VLOOKUP($A10,Master!$D$30:$G$226,4,FALSE)</f>
        <v>Prihodi budžeta</v>
      </c>
      <c r="C10" s="556"/>
      <c r="D10" s="556"/>
      <c r="E10" s="556"/>
      <c r="F10" s="556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557" t="str">
        <f>+VLOOKUP($A11,Master!$D$30:$G$226,4,FALSE)</f>
        <v>Porezi</v>
      </c>
      <c r="C11" s="558"/>
      <c r="D11" s="558"/>
      <c r="E11" s="558"/>
      <c r="F11" s="558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59" t="str">
        <f>+VLOOKUP($A12,Master!$D$30:$G$226,4,FALSE)</f>
        <v>Porez na dohodak fizičkih lica</v>
      </c>
      <c r="C12" s="560"/>
      <c r="D12" s="560"/>
      <c r="E12" s="560"/>
      <c r="F12" s="560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59" t="str">
        <f>+VLOOKUP($A13,Master!$D$30:$G$226,4,FALSE)</f>
        <v>Porez na dobit pravnih lica</v>
      </c>
      <c r="C13" s="560"/>
      <c r="D13" s="560"/>
      <c r="E13" s="560"/>
      <c r="F13" s="560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59" t="str">
        <f>+VLOOKUP($A14,Master!$D$30:$G$226,4,FALSE)</f>
        <v>Porez na promet nepokretnosti</v>
      </c>
      <c r="C14" s="560"/>
      <c r="D14" s="560"/>
      <c r="E14" s="560"/>
      <c r="F14" s="560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59" t="str">
        <f>+VLOOKUP($A15,Master!$D$30:$G$226,4,FALSE)</f>
        <v>Porez na dodatu vrijednost</v>
      </c>
      <c r="C15" s="560"/>
      <c r="D15" s="560"/>
      <c r="E15" s="560"/>
      <c r="F15" s="560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59" t="str">
        <f>+VLOOKUP($A16,Master!$D$30:$G$226,4,FALSE)</f>
        <v>Akcize</v>
      </c>
      <c r="C16" s="560"/>
      <c r="D16" s="560"/>
      <c r="E16" s="560"/>
      <c r="F16" s="560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59" t="str">
        <f>+VLOOKUP($A17,Master!$D$30:$G$226,4,FALSE)</f>
        <v>Porez na međunarodnu trgovinu i transakcije</v>
      </c>
      <c r="C17" s="560"/>
      <c r="D17" s="560"/>
      <c r="E17" s="560"/>
      <c r="F17" s="560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59" t="str">
        <f>+VLOOKUP($A18,Master!$D$30:$G$226,4,FALSE)</f>
        <v>Ostali državni porezi</v>
      </c>
      <c r="C18" s="560"/>
      <c r="D18" s="560"/>
      <c r="E18" s="560"/>
      <c r="F18" s="560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563" t="str">
        <f>+VLOOKUP($A19,Master!$D$30:$G$226,4,FALSE)</f>
        <v>Doprinosi</v>
      </c>
      <c r="C19" s="564"/>
      <c r="D19" s="564"/>
      <c r="E19" s="564"/>
      <c r="F19" s="564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59" t="str">
        <f>+VLOOKUP($A20,Master!$D$30:$G$226,4,FALSE)</f>
        <v>Doprinosi za penzijsko i invalidsko osiguranje</v>
      </c>
      <c r="C20" s="560"/>
      <c r="D20" s="560"/>
      <c r="E20" s="560"/>
      <c r="F20" s="560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59" t="str">
        <f>+VLOOKUP($A21,Master!$D$30:$G$226,4,FALSE)</f>
        <v>Doprinosi za zdravstveno osiguranje</v>
      </c>
      <c r="C21" s="560"/>
      <c r="D21" s="560"/>
      <c r="E21" s="560"/>
      <c r="F21" s="560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59" t="str">
        <f>+VLOOKUP($A22,Master!$D$30:$G$226,4,FALSE)</f>
        <v>Doprinosi za osiguranje od nezaposlenosti</v>
      </c>
      <c r="C22" s="560"/>
      <c r="D22" s="560"/>
      <c r="E22" s="560"/>
      <c r="F22" s="560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59" t="str">
        <f>+VLOOKUP($A23,Master!$D$30:$G$226,4,FALSE)</f>
        <v>Ostali doprinosi</v>
      </c>
      <c r="C23" s="560"/>
      <c r="D23" s="560"/>
      <c r="E23" s="560"/>
      <c r="F23" s="560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61" t="str">
        <f>+VLOOKUP($A24,Master!$D$30:$G$226,4,FALSE)</f>
        <v>Takse</v>
      </c>
      <c r="C24" s="562"/>
      <c r="D24" s="562"/>
      <c r="E24" s="562"/>
      <c r="F24" s="562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61" t="str">
        <f>+VLOOKUP($A25,Master!$D$30:$G$226,4,FALSE)</f>
        <v>Naknade</v>
      </c>
      <c r="C25" s="562"/>
      <c r="D25" s="562"/>
      <c r="E25" s="562"/>
      <c r="F25" s="562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61" t="str">
        <f>+VLOOKUP($A26,Master!$D$30:$G$226,4,FALSE)</f>
        <v>Ostali prihodi</v>
      </c>
      <c r="C26" s="562"/>
      <c r="D26" s="562"/>
      <c r="E26" s="562"/>
      <c r="F26" s="562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61" t="str">
        <f>+VLOOKUP($A27,Master!$D$30:$G$226,4,FALSE)</f>
        <v>Primici od otplate kredita i sredstva prenesena iz prethodne godine</v>
      </c>
      <c r="C27" s="562"/>
      <c r="D27" s="562"/>
      <c r="E27" s="562"/>
      <c r="F27" s="562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65" t="str">
        <f>+VLOOKUP($A28,Master!$D$30:$G$226,4,FALSE)</f>
        <v>Donacije i transferi</v>
      </c>
      <c r="C28" s="566"/>
      <c r="D28" s="566"/>
      <c r="E28" s="566"/>
      <c r="F28" s="566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67" t="str">
        <f>+VLOOKUP($A29,Master!$D$30:$G$226,4,FALSE)</f>
        <v>Izdaci budžeta</v>
      </c>
      <c r="C29" s="568"/>
      <c r="D29" s="568"/>
      <c r="E29" s="568"/>
      <c r="F29" s="568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571" t="str">
        <f>+VLOOKUP($A30,Master!$D$30:$G$226,4,FALSE)</f>
        <v>Tekući izdaci</v>
      </c>
      <c r="C30" s="572"/>
      <c r="D30" s="572"/>
      <c r="E30" s="572"/>
      <c r="F30" s="572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59" t="str">
        <f>+VLOOKUP($A31,Master!$D$30:$G$226,4,FALSE)</f>
        <v>Bruto zarade i doprinosi na teret poslodavca</v>
      </c>
      <c r="C31" s="560"/>
      <c r="D31" s="560"/>
      <c r="E31" s="560"/>
      <c r="F31" s="560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59" t="str">
        <f>+VLOOKUP($A32,Master!$D$30:$G$226,4,FALSE)</f>
        <v>Ostala lična primanja</v>
      </c>
      <c r="C32" s="560"/>
      <c r="D32" s="560"/>
      <c r="E32" s="560"/>
      <c r="F32" s="560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59" t="str">
        <f>+VLOOKUP($A33,Master!$D$30:$G$226,4,FALSE)</f>
        <v>Rashodi za materijal</v>
      </c>
      <c r="C33" s="560"/>
      <c r="D33" s="560"/>
      <c r="E33" s="560"/>
      <c r="F33" s="560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54" t="str">
        <f>+VLOOKUP($A34,Master!$D$30:$G$226,4,FALSE)</f>
        <v>Rashodi za usluge</v>
      </c>
      <c r="C34" s="655"/>
      <c r="D34" s="655"/>
      <c r="E34" s="655"/>
      <c r="F34" s="655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59" t="str">
        <f>+VLOOKUP($A35,Master!$D$30:$G$226,4,FALSE)</f>
        <v>Rashodi za tekuće održavanje</v>
      </c>
      <c r="C35" s="560"/>
      <c r="D35" s="560"/>
      <c r="E35" s="560"/>
      <c r="F35" s="560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59" t="str">
        <f>+VLOOKUP($A36,Master!$D$30:$G$226,4,FALSE)</f>
        <v>Kamate</v>
      </c>
      <c r="C36" s="560"/>
      <c r="D36" s="560"/>
      <c r="E36" s="560"/>
      <c r="F36" s="560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59" t="str">
        <f>+VLOOKUP($A37,Master!$D$30:$G$226,4,FALSE)</f>
        <v>Renta</v>
      </c>
      <c r="C37" s="560"/>
      <c r="D37" s="560"/>
      <c r="E37" s="560"/>
      <c r="F37" s="560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59" t="str">
        <f>+VLOOKUP($A38,Master!$D$30:$G$226,4,FALSE)</f>
        <v>Subvencije</v>
      </c>
      <c r="C38" s="560"/>
      <c r="D38" s="560"/>
      <c r="E38" s="560"/>
      <c r="F38" s="560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54" t="str">
        <f>+VLOOKUP($A39,Master!$D$30:$G$226,4,FALSE)</f>
        <v>Ostali izdaci</v>
      </c>
      <c r="C39" s="655"/>
      <c r="D39" s="655"/>
      <c r="E39" s="655"/>
      <c r="F39" s="655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75" t="str">
        <f>+VLOOKUP($A40,Master!$D$30:$G$226,4,FALSE)</f>
        <v>Transferi za socijalnu zaštitu</v>
      </c>
      <c r="C40" s="576"/>
      <c r="D40" s="576"/>
      <c r="E40" s="576"/>
      <c r="F40" s="576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59" t="str">
        <f>+VLOOKUP($A41,Master!$D$30:$G$226,4,FALSE)</f>
        <v>Prava iz oblasti socijalne zaštite</v>
      </c>
      <c r="C41" s="560"/>
      <c r="D41" s="560"/>
      <c r="E41" s="560"/>
      <c r="F41" s="560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59" t="str">
        <f>+VLOOKUP($A42,Master!$D$30:$G$226,4,FALSE)</f>
        <v>Sredstva za tehnološke viškove</v>
      </c>
      <c r="C42" s="560"/>
      <c r="D42" s="560"/>
      <c r="E42" s="560"/>
      <c r="F42" s="560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59" t="str">
        <f>+VLOOKUP($A43,Master!$D$30:$G$226,4,FALSE)</f>
        <v>Prava iz oblasti penzijskog i invalidskog osiguranja</v>
      </c>
      <c r="C43" s="560"/>
      <c r="D43" s="560"/>
      <c r="E43" s="560"/>
      <c r="F43" s="560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59" t="str">
        <f>+VLOOKUP($A44,Master!$D$30:$G$226,4,FALSE)</f>
        <v>Ostala prava iz oblasti zdravstvene zaštite</v>
      </c>
      <c r="C44" s="560"/>
      <c r="D44" s="560"/>
      <c r="E44" s="560"/>
      <c r="F44" s="560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50" t="str">
        <f>+VLOOKUP($A45,Master!$D$30:$G$226,4,FALSE)</f>
        <v>Ostala prava iz zdravstvenog osiguranja</v>
      </c>
      <c r="C45" s="651"/>
      <c r="D45" s="651"/>
      <c r="E45" s="651"/>
      <c r="F45" s="651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73" t="str">
        <f>+VLOOKUP($A46,Master!$D$30:$G$226,4,FALSE)</f>
        <v xml:space="preserve">Transferi institucijama, pojedincima, nevladinom i javnom sektoru </v>
      </c>
      <c r="C46" s="574"/>
      <c r="D46" s="574"/>
      <c r="E46" s="574"/>
      <c r="F46" s="574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73" t="str">
        <f>+VLOOKUP($A47,Master!$D$30:$G$226,4,FALSE)</f>
        <v>Kapitalni izdaci</v>
      </c>
      <c r="C47" s="574"/>
      <c r="D47" s="574"/>
      <c r="E47" s="574"/>
      <c r="F47" s="574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52" t="str">
        <f>+VLOOKUP($A48,Master!$D$30:$G$226,4,FALSE)</f>
        <v>Pozajmice i krediti</v>
      </c>
      <c r="C48" s="653"/>
      <c r="D48" s="653"/>
      <c r="E48" s="653"/>
      <c r="F48" s="653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44" t="str">
        <f>+VLOOKUP($A49,Master!$D$30:$G$226,4,FALSE)</f>
        <v>Rezerve</v>
      </c>
      <c r="C49" s="645"/>
      <c r="D49" s="645"/>
      <c r="E49" s="645"/>
      <c r="F49" s="645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79" t="str">
        <f>+VLOOKUP($A50,Master!$D$30:$G$226,4,FALSE)</f>
        <v>Otplata garancija</v>
      </c>
      <c r="C50" s="580"/>
      <c r="D50" s="580"/>
      <c r="E50" s="580"/>
      <c r="F50" s="580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46" t="str">
        <f>+VLOOKUP($A51,Master!$D$30:$G$226,4,TRUE)</f>
        <v>Otplata obaveza iz prethodnog perioda</v>
      </c>
      <c r="C51" s="647"/>
      <c r="D51" s="647"/>
      <c r="E51" s="647"/>
      <c r="F51" s="647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48" t="str">
        <f>+VLOOKUP($A52,Master!$D$30:$G$228,4,FALSE)</f>
        <v>Neto povećanje obaveza</v>
      </c>
      <c r="C52" s="649"/>
      <c r="D52" s="649"/>
      <c r="E52" s="649"/>
      <c r="F52" s="649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601" t="str">
        <f>+VLOOKUP($A56,Master!$D$30:$G$226,4,FALSE)</f>
        <v>Otplata hartija od vrijednosti i kredita rezidentima</v>
      </c>
      <c r="C56" s="602"/>
      <c r="D56" s="602"/>
      <c r="E56" s="602"/>
      <c r="F56" s="602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77" t="str">
        <f>+VLOOKUP($A57,Master!$D$30:$G$226,4,FALSE)</f>
        <v>Otplata hartija od vrijednosti i kredita nerezidentima</v>
      </c>
      <c r="C57" s="578"/>
      <c r="D57" s="578"/>
      <c r="E57" s="578"/>
      <c r="F57" s="578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569" t="str">
        <f>+VLOOKUP($A58,Master!$D$30:$G$226,4,FALSE)</f>
        <v>Izdaci za kupovinu hartija od vrijednosti</v>
      </c>
      <c r="C58" s="570"/>
      <c r="D58" s="570"/>
      <c r="E58" s="570"/>
      <c r="F58" s="570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603" t="str">
        <f>+VLOOKUP($A59,Master!$D$30:$G$226,4,FALSE)</f>
        <v>Nedostajuća sredstva</v>
      </c>
      <c r="C59" s="604"/>
      <c r="D59" s="604"/>
      <c r="E59" s="604"/>
      <c r="F59" s="604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67" t="str">
        <f>+VLOOKUP($A60,Master!$D$30:$G$226,4,FALSE)</f>
        <v>Finansiranje</v>
      </c>
      <c r="C60" s="568"/>
      <c r="D60" s="568"/>
      <c r="E60" s="568"/>
      <c r="F60" s="568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601" t="str">
        <f>+VLOOKUP($A61,Master!$D$30:$G$226,4,FALSE)</f>
        <v>Pozajmice i krediti od domaćih izvora</v>
      </c>
      <c r="C61" s="602"/>
      <c r="D61" s="602"/>
      <c r="E61" s="602"/>
      <c r="F61" s="602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77" t="str">
        <f>+VLOOKUP($A62,Master!$D$30:$G$226,4,FALSE)</f>
        <v>Pozajmice i krediti od inostranih izvora</v>
      </c>
      <c r="C62" s="578"/>
      <c r="D62" s="578"/>
      <c r="E62" s="578"/>
      <c r="F62" s="578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77" t="str">
        <f>+VLOOKUP($A63,Master!$D$30:$G$226,4,FALSE)</f>
        <v>Primici od prodaje imovine</v>
      </c>
      <c r="C63" s="578"/>
      <c r="D63" s="578"/>
      <c r="E63" s="578"/>
      <c r="F63" s="578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33" t="str">
        <f>+Master!G253</f>
        <v>Plan ostvarenja budžeta</v>
      </c>
      <c r="C81" s="634"/>
      <c r="D81" s="634"/>
      <c r="E81" s="634"/>
      <c r="F81" s="634"/>
      <c r="G81" s="641">
        <v>2021</v>
      </c>
      <c r="H81" s="642"/>
      <c r="I81" s="642"/>
      <c r="J81" s="642"/>
      <c r="K81" s="642"/>
      <c r="L81" s="642"/>
      <c r="M81" s="642"/>
      <c r="N81" s="642"/>
      <c r="O81" s="642"/>
      <c r="P81" s="642"/>
      <c r="Q81" s="642"/>
      <c r="R81" s="643"/>
      <c r="S81" s="96" t="str">
        <f>+S7</f>
        <v>BDP</v>
      </c>
      <c r="T81" s="97">
        <v>4636600000</v>
      </c>
    </row>
    <row r="82" spans="1:21" ht="15.75" customHeight="1">
      <c r="B82" s="635"/>
      <c r="C82" s="636"/>
      <c r="D82" s="636"/>
      <c r="E82" s="636"/>
      <c r="F82" s="637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41" t="str">
        <f>+Master!G247</f>
        <v>Jan - Dec</v>
      </c>
      <c r="T82" s="643">
        <f>+T8</f>
        <v>0</v>
      </c>
    </row>
    <row r="83" spans="1:21" ht="13.5" thickBot="1">
      <c r="B83" s="638"/>
      <c r="C83" s="639"/>
      <c r="D83" s="639"/>
      <c r="E83" s="639"/>
      <c r="F83" s="640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56" t="str">
        <f>+VLOOKUP(LEFT($A84,LEN(A84)-1)*1,Master!$D$30:$G$226,4,FALSE)</f>
        <v>Prihodi budžeta</v>
      </c>
      <c r="C84" s="657"/>
      <c r="D84" s="657"/>
      <c r="E84" s="657"/>
      <c r="F84" s="657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31" t="str">
        <f>+VLOOKUP(LEFT($A85,LEN(A85)-1)*1,Master!$D$30:$G$226,4,FALSE)</f>
        <v>Porezi</v>
      </c>
      <c r="C85" s="632"/>
      <c r="D85" s="632"/>
      <c r="E85" s="632"/>
      <c r="F85" s="632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23" t="str">
        <f>+VLOOKUP(LEFT($A86,LEN(A86)-1)*1,Master!$D$30:$G$229,4,FALSE)</f>
        <v>Porez na dohodak fizičkih lica</v>
      </c>
      <c r="C86" s="624"/>
      <c r="D86" s="624"/>
      <c r="E86" s="624"/>
      <c r="F86" s="624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23" t="str">
        <f>+VLOOKUP(LEFT($A87,LEN(A87)-1)*1,Master!$D$30:$G$229,4,FALSE)</f>
        <v>Porez na dobit pravnih lica</v>
      </c>
      <c r="C87" s="624"/>
      <c r="D87" s="624"/>
      <c r="E87" s="624"/>
      <c r="F87" s="624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23" t="str">
        <f>+VLOOKUP(LEFT($A88,LEN(A88)-1)*1,Master!$D$30:$G$229,4,FALSE)</f>
        <v>Porez na promet nepokretnosti</v>
      </c>
      <c r="C88" s="624"/>
      <c r="D88" s="624"/>
      <c r="E88" s="624"/>
      <c r="F88" s="624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23" t="str">
        <f>+VLOOKUP(LEFT($A89,LEN(A89)-1)*1,Master!$D$30:$G$229,4,FALSE)</f>
        <v>Porez na dodatu vrijednost</v>
      </c>
      <c r="C89" s="624"/>
      <c r="D89" s="624"/>
      <c r="E89" s="624"/>
      <c r="F89" s="624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23" t="str">
        <f>+VLOOKUP(LEFT($A90,LEN(A90)-1)*1,Master!$D$30:$G$229,4,FALSE)</f>
        <v>Akcize</v>
      </c>
      <c r="C90" s="624"/>
      <c r="D90" s="624"/>
      <c r="E90" s="624"/>
      <c r="F90" s="624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23" t="str">
        <f>+VLOOKUP(LEFT($A91,LEN(A91)-1)*1,Master!$D$30:$G$229,4,FALSE)</f>
        <v>Porez na međunarodnu trgovinu i transakcije</v>
      </c>
      <c r="C91" s="624"/>
      <c r="D91" s="624"/>
      <c r="E91" s="624"/>
      <c r="F91" s="624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23" t="str">
        <f>+VLOOKUP(LEFT($A92,LEN(A92)-1)*1,Master!$D$30:$G$229,4,FALSE)</f>
        <v>Ostali državni porezi</v>
      </c>
      <c r="C92" s="624"/>
      <c r="D92" s="624"/>
      <c r="E92" s="624"/>
      <c r="F92" s="624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58" t="str">
        <f>+VLOOKUP(LEFT($A93,LEN(A93)-1)*1,Master!$D$30:$G$229,4,FALSE)</f>
        <v>Doprinosi</v>
      </c>
      <c r="C93" s="659"/>
      <c r="D93" s="659"/>
      <c r="E93" s="659"/>
      <c r="F93" s="659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23" t="str">
        <f>+VLOOKUP(LEFT($A94,LEN(A94)-1)*1,Master!$D$30:$G$229,4,FALSE)</f>
        <v>Doprinosi za penzijsko i invalidsko osiguranje</v>
      </c>
      <c r="C94" s="624"/>
      <c r="D94" s="624"/>
      <c r="E94" s="624"/>
      <c r="F94" s="624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23" t="str">
        <f>+VLOOKUP(LEFT($A95,LEN(A95)-1)*1,Master!$D$30:$G$229,4,FALSE)</f>
        <v>Doprinosi za zdravstveno osiguranje</v>
      </c>
      <c r="C95" s="624"/>
      <c r="D95" s="624"/>
      <c r="E95" s="624"/>
      <c r="F95" s="624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23" t="str">
        <f>+VLOOKUP(LEFT($A96,LEN(A96)-1)*1,Master!$D$30:$G$229,4,FALSE)</f>
        <v>Doprinosi za osiguranje od nezaposlenosti</v>
      </c>
      <c r="C96" s="624"/>
      <c r="D96" s="624"/>
      <c r="E96" s="624"/>
      <c r="F96" s="624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23" t="str">
        <f>+VLOOKUP(LEFT($A97,LEN(A97)-1)*1,Master!$D$30:$G$229,4,FALSE)</f>
        <v>Ostali doprinosi</v>
      </c>
      <c r="C97" s="624"/>
      <c r="D97" s="624"/>
      <c r="E97" s="624"/>
      <c r="F97" s="624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29" t="str">
        <f>+VLOOKUP(LEFT($A98,LEN(A98)-1)*1,Master!$D$30:$G$229,4,FALSE)</f>
        <v>Takse</v>
      </c>
      <c r="C98" s="630"/>
      <c r="D98" s="630"/>
      <c r="E98" s="630"/>
      <c r="F98" s="630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29" t="str">
        <f>+VLOOKUP(LEFT($A99,LEN(A99)-1)*1,Master!$D$30:$G$229,4,FALSE)</f>
        <v>Naknade</v>
      </c>
      <c r="C99" s="630"/>
      <c r="D99" s="630"/>
      <c r="E99" s="630"/>
      <c r="F99" s="630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29" t="str">
        <f>+VLOOKUP(LEFT($A100,LEN(A100)-1)*1,Master!$D$30:$G$229,4,FALSE)</f>
        <v>Ostali prihodi</v>
      </c>
      <c r="C100" s="630"/>
      <c r="D100" s="630"/>
      <c r="E100" s="630"/>
      <c r="F100" s="630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29" t="str">
        <f>+VLOOKUP(LEFT($A101,LEN(A101)-1)*1,Master!$D$30:$G$229,4,FALSE)</f>
        <v>Primici od otplate kredita i sredstva prenesena iz prethodne godine</v>
      </c>
      <c r="C101" s="630"/>
      <c r="D101" s="630"/>
      <c r="E101" s="630"/>
      <c r="F101" s="630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25" t="str">
        <f>+VLOOKUP(LEFT($A102,LEN(A102)-1)*1,Master!$D$30:$G$229,4,FALSE)</f>
        <v>Donacije i transferi</v>
      </c>
      <c r="C102" s="626"/>
      <c r="D102" s="626"/>
      <c r="E102" s="626"/>
      <c r="F102" s="626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07" t="str">
        <f>+VLOOKUP(LEFT($A103,LEN(A103)-1)*1,Master!$D$30:$G$229,4,FALSE)</f>
        <v>Izdaci budžeta</v>
      </c>
      <c r="C103" s="608"/>
      <c r="D103" s="608"/>
      <c r="E103" s="608"/>
      <c r="F103" s="608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27" t="str">
        <f>+VLOOKUP(LEFT($A104,LEN(A104)-1)*1,Master!$D$30:$G$229,4,FALSE)</f>
        <v>Tekući izdaci</v>
      </c>
      <c r="C104" s="628"/>
      <c r="D104" s="628"/>
      <c r="E104" s="628"/>
      <c r="F104" s="628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23" t="str">
        <f>+VLOOKUP(LEFT($A105,LEN(A105)-1)*1,Master!$D$30:$G$229,4,FALSE)</f>
        <v>Bruto zarade i doprinosi na teret poslodavca</v>
      </c>
      <c r="C105" s="624"/>
      <c r="D105" s="624"/>
      <c r="E105" s="624"/>
      <c r="F105" s="624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23" t="str">
        <f>+VLOOKUP(LEFT($A106,LEN(A106)-1)*1,Master!$D$30:$G$229,4,FALSE)</f>
        <v>Ostala lična primanja</v>
      </c>
      <c r="C106" s="624"/>
      <c r="D106" s="624"/>
      <c r="E106" s="624"/>
      <c r="F106" s="624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23" t="str">
        <f>+VLOOKUP(LEFT($A107,LEN(A107)-1)*1,Master!$D$30:$G$229,4,FALSE)</f>
        <v>Rashodi za materijal</v>
      </c>
      <c r="C107" s="624"/>
      <c r="D107" s="624"/>
      <c r="E107" s="624"/>
      <c r="F107" s="624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23" t="str">
        <f>+VLOOKUP(LEFT($A108,LEN(A108)-1)*1,Master!$D$30:$G$229,4,FALSE)</f>
        <v>Rashodi za usluge</v>
      </c>
      <c r="C108" s="624"/>
      <c r="D108" s="624"/>
      <c r="E108" s="624"/>
      <c r="F108" s="624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23" t="str">
        <f>+VLOOKUP(LEFT($A109,LEN(A109)-1)*1,Master!$D$30:$G$229,4,FALSE)</f>
        <v>Rashodi za tekuće održavanje</v>
      </c>
      <c r="C109" s="624"/>
      <c r="D109" s="624"/>
      <c r="E109" s="624"/>
      <c r="F109" s="624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23" t="str">
        <f>+VLOOKUP(LEFT($A110,LEN(A110)-1)*1,Master!$D$30:$G$229,4,FALSE)</f>
        <v>Kamate</v>
      </c>
      <c r="C110" s="624"/>
      <c r="D110" s="624"/>
      <c r="E110" s="624"/>
      <c r="F110" s="624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23" t="str">
        <f>+VLOOKUP(LEFT($A111,LEN(A111)-1)*1,Master!$D$30:$G$229,4,FALSE)</f>
        <v>Renta</v>
      </c>
      <c r="C111" s="624"/>
      <c r="D111" s="624"/>
      <c r="E111" s="624"/>
      <c r="F111" s="624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23" t="str">
        <f>+VLOOKUP(LEFT($A112,LEN(A112)-1)*1,Master!$D$30:$G$229,4,FALSE)</f>
        <v>Subvencije</v>
      </c>
      <c r="C112" s="624"/>
      <c r="D112" s="624"/>
      <c r="E112" s="624"/>
      <c r="F112" s="624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23" t="str">
        <f>+VLOOKUP(LEFT($A113,LEN(A113)-1)*1,Master!$D$30:$G$229,4,FALSE)</f>
        <v>Ostali izdaci</v>
      </c>
      <c r="C113" s="624"/>
      <c r="D113" s="624"/>
      <c r="E113" s="624"/>
      <c r="F113" s="624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19" t="str">
        <f>+VLOOKUP(LEFT($A114,LEN(A114)-1)*1,Master!$D$30:$G$229,4,FALSE)</f>
        <v>Transferi za socijalnu zaštitu</v>
      </c>
      <c r="C114" s="620"/>
      <c r="D114" s="620"/>
      <c r="E114" s="620"/>
      <c r="F114" s="620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23" t="str">
        <f>+VLOOKUP(LEFT($A115,LEN(A115)-1)*1,Master!$D$30:$G$229,4,FALSE)</f>
        <v>Prava iz oblasti socijalne zaštite</v>
      </c>
      <c r="C115" s="624"/>
      <c r="D115" s="624"/>
      <c r="E115" s="624"/>
      <c r="F115" s="624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23" t="str">
        <f>+VLOOKUP(LEFT($A116,LEN(A116)-1)*1,Master!$D$30:$G$229,4,FALSE)</f>
        <v>Sredstva za tehnološke viškove</v>
      </c>
      <c r="C116" s="624"/>
      <c r="D116" s="624"/>
      <c r="E116" s="624"/>
      <c r="F116" s="624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23" t="str">
        <f>+VLOOKUP(LEFT($A117,LEN(A117)-1)*1,Master!$D$30:$G$229,4,FALSE)</f>
        <v>Prava iz oblasti penzijskog i invalidskog osiguranja</v>
      </c>
      <c r="C117" s="624"/>
      <c r="D117" s="624"/>
      <c r="E117" s="624"/>
      <c r="F117" s="624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23" t="str">
        <f>+VLOOKUP(LEFT($A118,LEN(A118)-1)*1,Master!$D$30:$G$229,4,FALSE)</f>
        <v>Ostala prava iz oblasti zdravstvene zaštite</v>
      </c>
      <c r="C118" s="624"/>
      <c r="D118" s="624"/>
      <c r="E118" s="624"/>
      <c r="F118" s="624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23" t="str">
        <f>+VLOOKUP(LEFT($A119,LEN(A119)-1)*1,Master!$D$30:$G$229,4,FALSE)</f>
        <v>Ostala prava iz zdravstvenog osiguranja</v>
      </c>
      <c r="C119" s="624"/>
      <c r="D119" s="624"/>
      <c r="E119" s="624"/>
      <c r="F119" s="624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21" t="str">
        <f>+VLOOKUP(LEFT($A120,LEN(A120)-1)*1,Master!$D$30:$G$229,4,FALSE)</f>
        <v xml:space="preserve">Transferi institucijama, pojedincima, nevladinom i javnom sektoru </v>
      </c>
      <c r="C120" s="622"/>
      <c r="D120" s="622"/>
      <c r="E120" s="622"/>
      <c r="F120" s="622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21" t="str">
        <f>+VLOOKUP(LEFT($A121,LEN(A121)-1)*1,Master!$D$30:$G$229,4,FALSE)</f>
        <v>Kapitalni izdaci</v>
      </c>
      <c r="C121" s="622"/>
      <c r="D121" s="622"/>
      <c r="E121" s="622"/>
      <c r="F121" s="622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13" t="str">
        <f>+VLOOKUP(LEFT($A122,LEN(A122)-1)*1,Master!$D$30:$G$229,4,FALSE)</f>
        <v>Pozajmice i krediti</v>
      </c>
      <c r="C122" s="614"/>
      <c r="D122" s="614"/>
      <c r="E122" s="614"/>
      <c r="F122" s="614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13" t="str">
        <f>+VLOOKUP(LEFT($A123,LEN(A123)-1)*1,Master!$D$30:$G$229,4,FALSE)</f>
        <v>Rezerve</v>
      </c>
      <c r="C123" s="614"/>
      <c r="D123" s="614"/>
      <c r="E123" s="614"/>
      <c r="F123" s="614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13" t="str">
        <f>+VLOOKUP(LEFT($A124,LEN(A124)-1)*1,Master!$D$30:$G$229,4,FALSE)</f>
        <v>Otplata garancija</v>
      </c>
      <c r="C124" s="614"/>
      <c r="D124" s="614"/>
      <c r="E124" s="614"/>
      <c r="F124" s="614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13" t="str">
        <f>+VLOOKUP(LEFT($A125,LEN(A125)-1)*1,Master!$D$30:$G$229,4,FALSE)</f>
        <v>Otplata obaveza iz prethodnog perioda</v>
      </c>
      <c r="C125" s="614"/>
      <c r="D125" s="614"/>
      <c r="E125" s="614"/>
      <c r="F125" s="614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13" t="str">
        <f>+VLOOKUP(LEFT($A126,LEN(A126)-1)*1,Master!$D$30:$G$229,4,FALSE)</f>
        <v>Neto povećanje obaveza</v>
      </c>
      <c r="C126" s="614"/>
      <c r="D126" s="614"/>
      <c r="E126" s="614"/>
      <c r="F126" s="614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15" t="str">
        <f>+VLOOKUP(LEFT($A127,LEN(A127)-1)*1,Master!$D$30:$G$226,4,FALSE)</f>
        <v>Suficit / deficit</v>
      </c>
      <c r="C127" s="616"/>
      <c r="D127" s="616"/>
      <c r="E127" s="616"/>
      <c r="F127" s="616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17" t="str">
        <f>+VLOOKUP(LEFT($A128,LEN(A128)-1)*1,Master!$D$30:$G$226,4,FALSE)</f>
        <v>Primarni suficit/deficit</v>
      </c>
      <c r="C128" s="618"/>
      <c r="D128" s="618"/>
      <c r="E128" s="618"/>
      <c r="F128" s="618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19" t="str">
        <f>+VLOOKUP(LEFT($A129,LEN(A129)-1)*1,Master!$D$30:$G$226,4,FALSE)</f>
        <v>Otplata dugova</v>
      </c>
      <c r="C129" s="620"/>
      <c r="D129" s="620"/>
      <c r="E129" s="620"/>
      <c r="F129" s="620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11" t="str">
        <f>+VLOOKUP(LEFT($A130,LEN(A130)-1)*1,Master!$D$30:$G$226,4,FALSE)</f>
        <v>Otplata hartija od vrijednosti i kredita rezidentima</v>
      </c>
      <c r="C130" s="612"/>
      <c r="D130" s="612"/>
      <c r="E130" s="612"/>
      <c r="F130" s="612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13" t="str">
        <f>+VLOOKUP(LEFT($A131,LEN(A131)-1)*1,Master!$D$30:$G$226,4,FALSE)</f>
        <v>Otplata hartija od vrijednosti i kredita nerezidentima</v>
      </c>
      <c r="C131" s="614"/>
      <c r="D131" s="614"/>
      <c r="E131" s="614"/>
      <c r="F131" s="614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07" t="str">
        <f>+VLOOKUP(LEFT($A132,LEN(A132)-1)*1,Master!$D$30:$G$226,4,FALSE)</f>
        <v>Izdaci za kupovinu hartija od vrijednosti</v>
      </c>
      <c r="C132" s="608"/>
      <c r="D132" s="608"/>
      <c r="E132" s="608"/>
      <c r="F132" s="608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09" t="str">
        <f>+VLOOKUP(LEFT($A133,LEN(A133)-1)*1,Master!$D$30:$G$226,4,FALSE)</f>
        <v>Nedostajuća sredstva</v>
      </c>
      <c r="C133" s="610"/>
      <c r="D133" s="610"/>
      <c r="E133" s="610"/>
      <c r="F133" s="610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07" t="str">
        <f>+VLOOKUP(LEFT($A134,LEN(A134)-1)*1,Master!$D$30:$G$226,4,FALSE)</f>
        <v>Finansiranje</v>
      </c>
      <c r="C134" s="608"/>
      <c r="D134" s="608"/>
      <c r="E134" s="608"/>
      <c r="F134" s="608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11" t="str">
        <f>+VLOOKUP(LEFT($A135,LEN(A135)-1)*1,Master!$D$30:$G$226,4,FALSE)</f>
        <v>Pozajmice i krediti od domaćih izvora</v>
      </c>
      <c r="C135" s="612"/>
      <c r="D135" s="612"/>
      <c r="E135" s="612"/>
      <c r="F135" s="612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13" t="str">
        <f>+VLOOKUP(LEFT($A136,LEN(A136)-1)*1,Master!$D$30:$G$226,4,FALSE)</f>
        <v>Pozajmice i krediti od inostranih izvora</v>
      </c>
      <c r="C136" s="614"/>
      <c r="D136" s="614"/>
      <c r="E136" s="614"/>
      <c r="F136" s="614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13" t="str">
        <f>+VLOOKUP(LEFT($A137,LEN(A137)-1)*1,Master!$D$30:$G$226,4,FALSE)</f>
        <v>Primici od prodaje imovine</v>
      </c>
      <c r="C137" s="614"/>
      <c r="D137" s="614"/>
      <c r="E137" s="614"/>
      <c r="F137" s="614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87" t="str">
        <f>+Master!G252</f>
        <v>Ostvarenje budžeta</v>
      </c>
      <c r="C7" s="588"/>
      <c r="D7" s="588"/>
      <c r="E7" s="588"/>
      <c r="F7" s="588"/>
      <c r="G7" s="596">
        <v>2020</v>
      </c>
      <c r="H7" s="597"/>
      <c r="I7" s="597"/>
      <c r="J7" s="597"/>
      <c r="K7" s="597"/>
      <c r="L7" s="597"/>
      <c r="M7" s="597"/>
      <c r="N7" s="597"/>
      <c r="O7" s="597"/>
      <c r="P7" s="597"/>
      <c r="Q7" s="597"/>
      <c r="R7" s="600"/>
      <c r="S7" s="220" t="str">
        <f>+Master!G249</f>
        <v>BDP</v>
      </c>
      <c r="T7" s="221">
        <v>4185600000</v>
      </c>
    </row>
    <row r="8" spans="1:20" ht="16.5" customHeight="1">
      <c r="A8" s="129"/>
      <c r="B8" s="589"/>
      <c r="C8" s="590"/>
      <c r="D8" s="590"/>
      <c r="E8" s="590"/>
      <c r="F8" s="591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96" t="str">
        <f>+Master!G247</f>
        <v>Jan - Dec</v>
      </c>
      <c r="T8" s="600"/>
    </row>
    <row r="9" spans="1:20" ht="13.5" thickBot="1">
      <c r="A9" s="129"/>
      <c r="B9" s="592"/>
      <c r="C9" s="593"/>
      <c r="D9" s="593"/>
      <c r="E9" s="593"/>
      <c r="F9" s="59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555" t="str">
        <f>+VLOOKUP($A10,Master!$D$30:$G$226,4,FALSE)</f>
        <v>Prihodi budžeta</v>
      </c>
      <c r="C10" s="556"/>
      <c r="D10" s="556"/>
      <c r="E10" s="556"/>
      <c r="F10" s="556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557" t="str">
        <f>+VLOOKUP($A11,Master!$D$30:$G$226,4,FALSE)</f>
        <v>Porezi</v>
      </c>
      <c r="C11" s="558"/>
      <c r="D11" s="558"/>
      <c r="E11" s="558"/>
      <c r="F11" s="558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59" t="str">
        <f>+VLOOKUP($A12,Master!$D$30:$G$226,4,FALSE)</f>
        <v>Porez na dohodak fizičkih lica</v>
      </c>
      <c r="C12" s="560"/>
      <c r="D12" s="560"/>
      <c r="E12" s="560"/>
      <c r="F12" s="560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59" t="str">
        <f>+VLOOKUP($A13,Master!$D$30:$G$226,4,FALSE)</f>
        <v>Porez na dobit pravnih lica</v>
      </c>
      <c r="C13" s="560"/>
      <c r="D13" s="560"/>
      <c r="E13" s="560"/>
      <c r="F13" s="560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59" t="str">
        <f>+VLOOKUP($A14,Master!$D$30:$G$226,4,FALSE)</f>
        <v>Porez na promet nepokretnosti</v>
      </c>
      <c r="C14" s="560"/>
      <c r="D14" s="560"/>
      <c r="E14" s="560"/>
      <c r="F14" s="560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59" t="str">
        <f>+VLOOKUP($A15,Master!$D$30:$G$226,4,FALSE)</f>
        <v>Porez na dodatu vrijednost</v>
      </c>
      <c r="C15" s="560"/>
      <c r="D15" s="560"/>
      <c r="E15" s="560"/>
      <c r="F15" s="560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59" t="str">
        <f>+VLOOKUP($A16,Master!$D$30:$G$226,4,FALSE)</f>
        <v>Akcize</v>
      </c>
      <c r="C16" s="560"/>
      <c r="D16" s="560"/>
      <c r="E16" s="560"/>
      <c r="F16" s="560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59" t="str">
        <f>+VLOOKUP($A17,Master!$D$30:$G$226,4,FALSE)</f>
        <v>Porez na međunarodnu trgovinu i transakcije</v>
      </c>
      <c r="C17" s="560"/>
      <c r="D17" s="560"/>
      <c r="E17" s="560"/>
      <c r="F17" s="560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59" t="str">
        <f>+VLOOKUP($A18,Master!$D$30:$G$226,4,FALSE)</f>
        <v>Ostali državni porezi</v>
      </c>
      <c r="C18" s="560"/>
      <c r="D18" s="560"/>
      <c r="E18" s="560"/>
      <c r="F18" s="560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563" t="str">
        <f>+VLOOKUP($A19,Master!$D$30:$G$226,4,FALSE)</f>
        <v>Doprinosi</v>
      </c>
      <c r="C19" s="564"/>
      <c r="D19" s="564"/>
      <c r="E19" s="564"/>
      <c r="F19" s="564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59" t="str">
        <f>+VLOOKUP($A20,Master!$D$30:$G$226,4,FALSE)</f>
        <v>Doprinosi za penzijsko i invalidsko osiguranje</v>
      </c>
      <c r="C20" s="560"/>
      <c r="D20" s="560"/>
      <c r="E20" s="560"/>
      <c r="F20" s="560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59" t="str">
        <f>+VLOOKUP($A21,Master!$D$30:$G$226,4,FALSE)</f>
        <v>Doprinosi za zdravstveno osiguranje</v>
      </c>
      <c r="C21" s="560"/>
      <c r="D21" s="560"/>
      <c r="E21" s="560"/>
      <c r="F21" s="560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59" t="str">
        <f>+VLOOKUP($A22,Master!$D$30:$G$226,4,FALSE)</f>
        <v>Doprinosi za osiguranje od nezaposlenosti</v>
      </c>
      <c r="C22" s="560"/>
      <c r="D22" s="560"/>
      <c r="E22" s="560"/>
      <c r="F22" s="560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59" t="str">
        <f>+VLOOKUP($A23,Master!$D$30:$G$226,4,FALSE)</f>
        <v>Ostali doprinosi</v>
      </c>
      <c r="C23" s="560"/>
      <c r="D23" s="560"/>
      <c r="E23" s="560"/>
      <c r="F23" s="560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61" t="str">
        <f>+VLOOKUP($A24,Master!$D$30:$G$226,4,FALSE)</f>
        <v>Takse</v>
      </c>
      <c r="C24" s="562"/>
      <c r="D24" s="562"/>
      <c r="E24" s="562"/>
      <c r="F24" s="562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61" t="str">
        <f>+VLOOKUP($A25,Master!$D$30:$G$226,4,FALSE)</f>
        <v>Naknade</v>
      </c>
      <c r="C25" s="562"/>
      <c r="D25" s="562"/>
      <c r="E25" s="562"/>
      <c r="F25" s="562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61" t="str">
        <f>+VLOOKUP($A26,Master!$D$30:$G$226,4,FALSE)</f>
        <v>Ostali prihodi</v>
      </c>
      <c r="C26" s="562"/>
      <c r="D26" s="562"/>
      <c r="E26" s="562"/>
      <c r="F26" s="562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61" t="str">
        <f>+VLOOKUP($A27,Master!$D$30:$G$226,4,FALSE)</f>
        <v>Primici od otplate kredita i sredstva prenesena iz prethodne godine</v>
      </c>
      <c r="C27" s="562"/>
      <c r="D27" s="562"/>
      <c r="E27" s="562"/>
      <c r="F27" s="562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65" t="str">
        <f>+VLOOKUP($A28,Master!$D$30:$G$226,4,FALSE)</f>
        <v>Donacije i transferi</v>
      </c>
      <c r="C28" s="566"/>
      <c r="D28" s="566"/>
      <c r="E28" s="566"/>
      <c r="F28" s="566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67" t="str">
        <f>+VLOOKUP($A29,Master!$D$30:$G$226,4,FALSE)</f>
        <v>Izdaci budžeta</v>
      </c>
      <c r="C29" s="568"/>
      <c r="D29" s="568"/>
      <c r="E29" s="568"/>
      <c r="F29" s="568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571" t="str">
        <f>+VLOOKUP($A30,Master!$D$30:$G$226,4,FALSE)</f>
        <v>Tekući izdaci</v>
      </c>
      <c r="C30" s="572"/>
      <c r="D30" s="572"/>
      <c r="E30" s="572"/>
      <c r="F30" s="572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59" t="str">
        <f>+VLOOKUP($A31,Master!$D$30:$G$226,4,FALSE)</f>
        <v>Bruto zarade i doprinosi na teret poslodavca</v>
      </c>
      <c r="C31" s="560"/>
      <c r="D31" s="560"/>
      <c r="E31" s="560"/>
      <c r="F31" s="560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59" t="str">
        <f>+VLOOKUP($A32,Master!$D$30:$G$226,4,FALSE)</f>
        <v>Ostala lična primanja</v>
      </c>
      <c r="C32" s="560"/>
      <c r="D32" s="560"/>
      <c r="E32" s="560"/>
      <c r="F32" s="560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59" t="str">
        <f>+VLOOKUP($A33,Master!$D$30:$G$226,4,FALSE)</f>
        <v>Rashodi za materijal</v>
      </c>
      <c r="C33" s="560"/>
      <c r="D33" s="560"/>
      <c r="E33" s="560"/>
      <c r="F33" s="560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54" t="str">
        <f>+VLOOKUP($A34,Master!$D$30:$G$226,4,FALSE)</f>
        <v>Rashodi za usluge</v>
      </c>
      <c r="C34" s="655"/>
      <c r="D34" s="655"/>
      <c r="E34" s="655"/>
      <c r="F34" s="655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59" t="str">
        <f>+VLOOKUP($A35,Master!$D$30:$G$226,4,FALSE)</f>
        <v>Rashodi za tekuće održavanje</v>
      </c>
      <c r="C35" s="560"/>
      <c r="D35" s="560"/>
      <c r="E35" s="560"/>
      <c r="F35" s="560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59" t="str">
        <f>+VLOOKUP($A36,Master!$D$30:$G$226,4,FALSE)</f>
        <v>Kamate</v>
      </c>
      <c r="C36" s="560"/>
      <c r="D36" s="560"/>
      <c r="E36" s="560"/>
      <c r="F36" s="560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59" t="str">
        <f>+VLOOKUP($A37,Master!$D$30:$G$226,4,FALSE)</f>
        <v>Renta</v>
      </c>
      <c r="C37" s="560"/>
      <c r="D37" s="560"/>
      <c r="E37" s="560"/>
      <c r="F37" s="560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59" t="str">
        <f>+VLOOKUP($A38,Master!$D$30:$G$226,4,FALSE)</f>
        <v>Subvencije</v>
      </c>
      <c r="C38" s="560"/>
      <c r="D38" s="560"/>
      <c r="E38" s="560"/>
      <c r="F38" s="560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54" t="str">
        <f>+VLOOKUP($A39,Master!$D$30:$G$226,4,FALSE)</f>
        <v>Ostali izdaci</v>
      </c>
      <c r="C39" s="655"/>
      <c r="D39" s="655"/>
      <c r="E39" s="655"/>
      <c r="F39" s="655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75" t="str">
        <f>+VLOOKUP($A40,Master!$D$30:$G$226,4,FALSE)</f>
        <v>Transferi za socijalnu zaštitu</v>
      </c>
      <c r="C40" s="576"/>
      <c r="D40" s="576"/>
      <c r="E40" s="576"/>
      <c r="F40" s="576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59" t="str">
        <f>+VLOOKUP($A41,Master!$D$30:$G$226,4,FALSE)</f>
        <v>Prava iz oblasti socijalne zaštite</v>
      </c>
      <c r="C41" s="560"/>
      <c r="D41" s="560"/>
      <c r="E41" s="560"/>
      <c r="F41" s="560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59" t="str">
        <f>+VLOOKUP($A42,Master!$D$30:$G$226,4,FALSE)</f>
        <v>Sredstva za tehnološke viškove</v>
      </c>
      <c r="C42" s="560"/>
      <c r="D42" s="560"/>
      <c r="E42" s="560"/>
      <c r="F42" s="560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59" t="str">
        <f>+VLOOKUP($A43,Master!$D$30:$G$226,4,FALSE)</f>
        <v>Prava iz oblasti penzijskog i invalidskog osiguranja</v>
      </c>
      <c r="C43" s="560"/>
      <c r="D43" s="560"/>
      <c r="E43" s="560"/>
      <c r="F43" s="560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59" t="str">
        <f>+VLOOKUP($A44,Master!$D$30:$G$226,4,FALSE)</f>
        <v>Ostala prava iz oblasti zdravstvene zaštite</v>
      </c>
      <c r="C44" s="560"/>
      <c r="D44" s="560"/>
      <c r="E44" s="560"/>
      <c r="F44" s="560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50" t="str">
        <f>+VLOOKUP($A45,Master!$D$30:$G$226,4,FALSE)</f>
        <v>Ostala prava iz zdravstvenog osiguranja</v>
      </c>
      <c r="C45" s="651"/>
      <c r="D45" s="651"/>
      <c r="E45" s="651"/>
      <c r="F45" s="651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73" t="str">
        <f>+VLOOKUP($A46,Master!$D$30:$G$226,4,FALSE)</f>
        <v xml:space="preserve">Transferi institucijama, pojedincima, nevladinom i javnom sektoru </v>
      </c>
      <c r="C46" s="574"/>
      <c r="D46" s="574"/>
      <c r="E46" s="574"/>
      <c r="F46" s="574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73" t="str">
        <f>+VLOOKUP($A47,Master!$D$30:$G$226,4,FALSE)</f>
        <v>Kapitalni izdaci</v>
      </c>
      <c r="C47" s="574"/>
      <c r="D47" s="574"/>
      <c r="E47" s="574"/>
      <c r="F47" s="574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52" t="str">
        <f>+VLOOKUP($A48,Master!$D$30:$G$226,4,FALSE)</f>
        <v>Pozajmice i krediti</v>
      </c>
      <c r="C48" s="653"/>
      <c r="D48" s="653"/>
      <c r="E48" s="653"/>
      <c r="F48" s="653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44" t="str">
        <f>+VLOOKUP($A49,Master!$D$30:$G$226,4,FALSE)</f>
        <v>Rezerve</v>
      </c>
      <c r="C49" s="645"/>
      <c r="D49" s="645"/>
      <c r="E49" s="645"/>
      <c r="F49" s="645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79" t="str">
        <f>+VLOOKUP($A50,Master!$D$30:$G$226,4,FALSE)</f>
        <v>Otplata garancija</v>
      </c>
      <c r="C50" s="580"/>
      <c r="D50" s="580"/>
      <c r="E50" s="580"/>
      <c r="F50" s="580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46" t="str">
        <f>+VLOOKUP($A51,Master!$D$30:$G$226,4,TRUE)</f>
        <v>Otplata obaveza iz prethodnog perioda</v>
      </c>
      <c r="C51" s="647"/>
      <c r="D51" s="647"/>
      <c r="E51" s="647"/>
      <c r="F51" s="647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48" t="str">
        <f>+VLOOKUP($A52,Master!$D$30:$G$228,4,FALSE)</f>
        <v>Neto povećanje obaveza</v>
      </c>
      <c r="C52" s="649"/>
      <c r="D52" s="649"/>
      <c r="E52" s="649"/>
      <c r="F52" s="649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601" t="str">
        <f>+VLOOKUP($A56,Master!$D$30:$G$226,4,FALSE)</f>
        <v>Otplata hartija od vrijednosti i kredita rezidentima</v>
      </c>
      <c r="C56" s="602"/>
      <c r="D56" s="602"/>
      <c r="E56" s="602"/>
      <c r="F56" s="602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77" t="str">
        <f>+VLOOKUP($A57,Master!$D$30:$G$226,4,FALSE)</f>
        <v>Otplata hartija od vrijednosti i kredita nerezidentima</v>
      </c>
      <c r="C57" s="578"/>
      <c r="D57" s="578"/>
      <c r="E57" s="578"/>
      <c r="F57" s="578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569" t="str">
        <f>+VLOOKUP($A58,Master!$D$30:$G$226,4,FALSE)</f>
        <v>Izdaci za kupovinu hartija od vrijednosti</v>
      </c>
      <c r="C58" s="570"/>
      <c r="D58" s="570"/>
      <c r="E58" s="570"/>
      <c r="F58" s="570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603" t="str">
        <f>+VLOOKUP($A59,Master!$D$30:$G$226,4,FALSE)</f>
        <v>Nedostajuća sredstva</v>
      </c>
      <c r="C59" s="604"/>
      <c r="D59" s="604"/>
      <c r="E59" s="604"/>
      <c r="F59" s="604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67" t="str">
        <f>+VLOOKUP($A60,Master!$D$30:$G$226,4,FALSE)</f>
        <v>Finansiranje</v>
      </c>
      <c r="C60" s="568"/>
      <c r="D60" s="568"/>
      <c r="E60" s="568"/>
      <c r="F60" s="568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601" t="str">
        <f>+VLOOKUP($A61,Master!$D$30:$G$226,4,FALSE)</f>
        <v>Pozajmice i krediti od domaćih izvora</v>
      </c>
      <c r="C61" s="602"/>
      <c r="D61" s="602"/>
      <c r="E61" s="602"/>
      <c r="F61" s="602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77" t="str">
        <f>+VLOOKUP($A62,Master!$D$30:$G$226,4,FALSE)</f>
        <v>Pozajmice i krediti od inostranih izvora</v>
      </c>
      <c r="C62" s="578"/>
      <c r="D62" s="578"/>
      <c r="E62" s="578"/>
      <c r="F62" s="578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77" t="str">
        <f>+VLOOKUP($A63,Master!$D$30:$G$226,4,FALSE)</f>
        <v>Primici od prodaje imovine</v>
      </c>
      <c r="C63" s="578"/>
      <c r="D63" s="578"/>
      <c r="E63" s="578"/>
      <c r="F63" s="578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33" t="str">
        <f>+Master!G253</f>
        <v>Plan ostvarenja budžeta</v>
      </c>
      <c r="C100" s="634"/>
      <c r="D100" s="634"/>
      <c r="E100" s="634"/>
      <c r="F100" s="634"/>
      <c r="G100" s="641">
        <v>2020</v>
      </c>
      <c r="H100" s="642"/>
      <c r="I100" s="642"/>
      <c r="J100" s="642"/>
      <c r="K100" s="642"/>
      <c r="L100" s="642"/>
      <c r="M100" s="642"/>
      <c r="N100" s="642"/>
      <c r="O100" s="642"/>
      <c r="P100" s="642"/>
      <c r="Q100" s="642"/>
      <c r="R100" s="643"/>
      <c r="S100" s="96" t="str">
        <f>+S7</f>
        <v>BDP</v>
      </c>
      <c r="T100" s="97">
        <v>4607300000</v>
      </c>
    </row>
    <row r="101" spans="1:21" ht="15.75" customHeight="1">
      <c r="B101" s="635"/>
      <c r="C101" s="636"/>
      <c r="D101" s="636"/>
      <c r="E101" s="636"/>
      <c r="F101" s="637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41" t="str">
        <f>+Master!G247</f>
        <v>Jan - Dec</v>
      </c>
      <c r="T101" s="643">
        <f>+T8</f>
        <v>0</v>
      </c>
    </row>
    <row r="102" spans="1:21" ht="13.5" thickBot="1">
      <c r="B102" s="638"/>
      <c r="C102" s="639"/>
      <c r="D102" s="639"/>
      <c r="E102" s="639"/>
      <c r="F102" s="640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56" t="str">
        <f>+VLOOKUP(LEFT($A103,LEN(A103)-1)*1,Master!$D$30:$G$226,4,FALSE)</f>
        <v>Prihodi budžeta</v>
      </c>
      <c r="C103" s="657"/>
      <c r="D103" s="657"/>
      <c r="E103" s="657"/>
      <c r="F103" s="657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31" t="str">
        <f>+VLOOKUP(LEFT($A104,LEN(A104)-1)*1,Master!$D$30:$G$226,4,FALSE)</f>
        <v>Porezi</v>
      </c>
      <c r="C104" s="632"/>
      <c r="D104" s="632"/>
      <c r="E104" s="632"/>
      <c r="F104" s="632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23" t="str">
        <f>+VLOOKUP(LEFT($A105,LEN(A105)-1)*1,Master!$D$30:$G$229,4,FALSE)</f>
        <v>Porez na dohodak fizičkih lica</v>
      </c>
      <c r="C105" s="624"/>
      <c r="D105" s="624"/>
      <c r="E105" s="624"/>
      <c r="F105" s="624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23" t="str">
        <f>+VLOOKUP(LEFT($A106,LEN(A106)-1)*1,Master!$D$30:$G$229,4,FALSE)</f>
        <v>Porez na dobit pravnih lica</v>
      </c>
      <c r="C106" s="624"/>
      <c r="D106" s="624"/>
      <c r="E106" s="624"/>
      <c r="F106" s="624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23" t="str">
        <f>+VLOOKUP(LEFT($A107,LEN(A107)-1)*1,Master!$D$30:$G$229,4,FALSE)</f>
        <v>Porez na promet nepokretnosti</v>
      </c>
      <c r="C107" s="624"/>
      <c r="D107" s="624"/>
      <c r="E107" s="624"/>
      <c r="F107" s="624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23" t="str">
        <f>+VLOOKUP(LEFT($A108,LEN(A108)-1)*1,Master!$D$30:$G$229,4,FALSE)</f>
        <v>Porez na dodatu vrijednost</v>
      </c>
      <c r="C108" s="624"/>
      <c r="D108" s="624"/>
      <c r="E108" s="624"/>
      <c r="F108" s="624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23" t="str">
        <f>+VLOOKUP(LEFT($A109,LEN(A109)-1)*1,Master!$D$30:$G$229,4,FALSE)</f>
        <v>Akcize</v>
      </c>
      <c r="C109" s="624"/>
      <c r="D109" s="624"/>
      <c r="E109" s="624"/>
      <c r="F109" s="624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23" t="str">
        <f>+VLOOKUP(LEFT($A110,LEN(A110)-1)*1,Master!$D$30:$G$229,4,FALSE)</f>
        <v>Porez na međunarodnu trgovinu i transakcije</v>
      </c>
      <c r="C110" s="624"/>
      <c r="D110" s="624"/>
      <c r="E110" s="624"/>
      <c r="F110" s="624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23" t="str">
        <f>+VLOOKUP(LEFT($A111,LEN(A111)-1)*1,Master!$D$30:$G$229,4,FALSE)</f>
        <v>Ostali državni porezi</v>
      </c>
      <c r="C111" s="624"/>
      <c r="D111" s="624"/>
      <c r="E111" s="624"/>
      <c r="F111" s="624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58" t="str">
        <f>+VLOOKUP(LEFT($A112,LEN(A112)-1)*1,Master!$D$30:$G$229,4,FALSE)</f>
        <v>Doprinosi</v>
      </c>
      <c r="C112" s="659"/>
      <c r="D112" s="659"/>
      <c r="E112" s="659"/>
      <c r="F112" s="659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23" t="str">
        <f>+VLOOKUP(LEFT($A113,LEN(A113)-1)*1,Master!$D$30:$G$229,4,FALSE)</f>
        <v>Doprinosi za penzijsko i invalidsko osiguranje</v>
      </c>
      <c r="C113" s="624"/>
      <c r="D113" s="624"/>
      <c r="E113" s="624"/>
      <c r="F113" s="624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23" t="str">
        <f>+VLOOKUP(LEFT($A114,LEN(A114)-1)*1,Master!$D$30:$G$229,4,FALSE)</f>
        <v>Doprinosi za zdravstveno osiguranje</v>
      </c>
      <c r="C114" s="624"/>
      <c r="D114" s="624"/>
      <c r="E114" s="624"/>
      <c r="F114" s="624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23" t="str">
        <f>+VLOOKUP(LEFT($A115,LEN(A115)-1)*1,Master!$D$30:$G$229,4,FALSE)</f>
        <v>Doprinosi za osiguranje od nezaposlenosti</v>
      </c>
      <c r="C115" s="624"/>
      <c r="D115" s="624"/>
      <c r="E115" s="624"/>
      <c r="F115" s="624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23" t="str">
        <f>+VLOOKUP(LEFT($A116,LEN(A116)-1)*1,Master!$D$30:$G$229,4,FALSE)</f>
        <v>Ostali doprinosi</v>
      </c>
      <c r="C116" s="624"/>
      <c r="D116" s="624"/>
      <c r="E116" s="624"/>
      <c r="F116" s="624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29" t="str">
        <f>+VLOOKUP(LEFT($A117,LEN(A117)-1)*1,Master!$D$30:$G$229,4,FALSE)</f>
        <v>Takse</v>
      </c>
      <c r="C117" s="630"/>
      <c r="D117" s="630"/>
      <c r="E117" s="630"/>
      <c r="F117" s="630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29" t="str">
        <f>+VLOOKUP(LEFT($A118,LEN(A118)-1)*1,Master!$D$30:$G$229,4,FALSE)</f>
        <v>Naknade</v>
      </c>
      <c r="C118" s="630"/>
      <c r="D118" s="630"/>
      <c r="E118" s="630"/>
      <c r="F118" s="630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29" t="str">
        <f>+VLOOKUP(LEFT($A119,LEN(A119)-1)*1,Master!$D$30:$G$229,4,FALSE)</f>
        <v>Ostali prihodi</v>
      </c>
      <c r="C119" s="630"/>
      <c r="D119" s="630"/>
      <c r="E119" s="630"/>
      <c r="F119" s="630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29" t="str">
        <f>+VLOOKUP(LEFT($A120,LEN(A120)-1)*1,Master!$D$30:$G$229,4,FALSE)</f>
        <v>Primici od otplate kredita i sredstva prenesena iz prethodne godine</v>
      </c>
      <c r="C120" s="630"/>
      <c r="D120" s="630"/>
      <c r="E120" s="630"/>
      <c r="F120" s="630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25" t="str">
        <f>+VLOOKUP(LEFT($A121,LEN(A121)-1)*1,Master!$D$30:$G$229,4,FALSE)</f>
        <v>Donacije i transferi</v>
      </c>
      <c r="C121" s="626"/>
      <c r="D121" s="626"/>
      <c r="E121" s="626"/>
      <c r="F121" s="626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07" t="str">
        <f>+VLOOKUP(LEFT($A122,LEN(A122)-1)*1,Master!$D$30:$G$229,4,FALSE)</f>
        <v>Izdaci budžeta</v>
      </c>
      <c r="C122" s="608"/>
      <c r="D122" s="608"/>
      <c r="E122" s="608"/>
      <c r="F122" s="608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27" t="str">
        <f>+VLOOKUP(LEFT($A123,LEN(A123)-1)*1,Master!$D$30:$G$229,4,FALSE)</f>
        <v>Tekući izdaci</v>
      </c>
      <c r="C123" s="628"/>
      <c r="D123" s="628"/>
      <c r="E123" s="628"/>
      <c r="F123" s="628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23" t="str">
        <f>+VLOOKUP(LEFT($A124,LEN(A124)-1)*1,Master!$D$30:$G$229,4,FALSE)</f>
        <v>Bruto zarade i doprinosi na teret poslodavca</v>
      </c>
      <c r="C124" s="624"/>
      <c r="D124" s="624"/>
      <c r="E124" s="624"/>
      <c r="F124" s="624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23" t="str">
        <f>+VLOOKUP(LEFT($A125,LEN(A125)-1)*1,Master!$D$30:$G$229,4,FALSE)</f>
        <v>Ostala lična primanja</v>
      </c>
      <c r="C125" s="624"/>
      <c r="D125" s="624"/>
      <c r="E125" s="624"/>
      <c r="F125" s="624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23" t="str">
        <f>+VLOOKUP(LEFT($A126,LEN(A126)-1)*1,Master!$D$30:$G$229,4,FALSE)</f>
        <v>Rashodi za materijal</v>
      </c>
      <c r="C126" s="624"/>
      <c r="D126" s="624"/>
      <c r="E126" s="624"/>
      <c r="F126" s="624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23" t="str">
        <f>+VLOOKUP(LEFT($A127,LEN(A127)-1)*1,Master!$D$30:$G$229,4,FALSE)</f>
        <v>Rashodi za usluge</v>
      </c>
      <c r="C127" s="624"/>
      <c r="D127" s="624"/>
      <c r="E127" s="624"/>
      <c r="F127" s="624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23" t="str">
        <f>+VLOOKUP(LEFT($A128,LEN(A128)-1)*1,Master!$D$30:$G$229,4,FALSE)</f>
        <v>Rashodi za tekuće održavanje</v>
      </c>
      <c r="C128" s="624"/>
      <c r="D128" s="624"/>
      <c r="E128" s="624"/>
      <c r="F128" s="624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23" t="str">
        <f>+VLOOKUP(LEFT($A129,LEN(A129)-1)*1,Master!$D$30:$G$229,4,FALSE)</f>
        <v>Kamate</v>
      </c>
      <c r="C129" s="624"/>
      <c r="D129" s="624"/>
      <c r="E129" s="624"/>
      <c r="F129" s="624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23" t="str">
        <f>+VLOOKUP(LEFT($A130,LEN(A130)-1)*1,Master!$D$30:$G$229,4,FALSE)</f>
        <v>Renta</v>
      </c>
      <c r="C130" s="624"/>
      <c r="D130" s="624"/>
      <c r="E130" s="624"/>
      <c r="F130" s="624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23" t="str">
        <f>+VLOOKUP(LEFT($A131,LEN(A131)-1)*1,Master!$D$30:$G$229,4,FALSE)</f>
        <v>Subvencije</v>
      </c>
      <c r="C131" s="624"/>
      <c r="D131" s="624"/>
      <c r="E131" s="624"/>
      <c r="F131" s="624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23" t="str">
        <f>+VLOOKUP(LEFT($A132,LEN(A132)-1)*1,Master!$D$30:$G$229,4,FALSE)</f>
        <v>Ostali izdaci</v>
      </c>
      <c r="C132" s="624"/>
      <c r="D132" s="624"/>
      <c r="E132" s="624"/>
      <c r="F132" s="624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19" t="str">
        <f>+VLOOKUP(LEFT($A133,LEN(A133)-1)*1,Master!$D$30:$G$229,4,FALSE)</f>
        <v>Transferi za socijalnu zaštitu</v>
      </c>
      <c r="C133" s="620"/>
      <c r="D133" s="620"/>
      <c r="E133" s="620"/>
      <c r="F133" s="620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23" t="str">
        <f>+VLOOKUP(LEFT($A134,LEN(A134)-1)*1,Master!$D$30:$G$229,4,FALSE)</f>
        <v>Prava iz oblasti socijalne zaštite</v>
      </c>
      <c r="C134" s="624"/>
      <c r="D134" s="624"/>
      <c r="E134" s="624"/>
      <c r="F134" s="624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23" t="str">
        <f>+VLOOKUP(LEFT($A135,LEN(A135)-1)*1,Master!$D$30:$G$229,4,FALSE)</f>
        <v>Sredstva za tehnološke viškove</v>
      </c>
      <c r="C135" s="624"/>
      <c r="D135" s="624"/>
      <c r="E135" s="624"/>
      <c r="F135" s="624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23" t="str">
        <f>+VLOOKUP(LEFT($A136,LEN(A136)-1)*1,Master!$D$30:$G$229,4,FALSE)</f>
        <v>Prava iz oblasti penzijskog i invalidskog osiguranja</v>
      </c>
      <c r="C136" s="624"/>
      <c r="D136" s="624"/>
      <c r="E136" s="624"/>
      <c r="F136" s="624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23" t="str">
        <f>+VLOOKUP(LEFT($A137,LEN(A137)-1)*1,Master!$D$30:$G$229,4,FALSE)</f>
        <v>Ostala prava iz oblasti zdravstvene zaštite</v>
      </c>
      <c r="C137" s="624"/>
      <c r="D137" s="624"/>
      <c r="E137" s="624"/>
      <c r="F137" s="624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23" t="str">
        <f>+VLOOKUP(LEFT($A138,LEN(A138)-1)*1,Master!$D$30:$G$229,4,FALSE)</f>
        <v>Ostala prava iz zdravstvenog osiguranja</v>
      </c>
      <c r="C138" s="624"/>
      <c r="D138" s="624"/>
      <c r="E138" s="624"/>
      <c r="F138" s="624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21" t="str">
        <f>+VLOOKUP(LEFT($A139,LEN(A139)-1)*1,Master!$D$30:$G$229,4,FALSE)</f>
        <v xml:space="preserve">Transferi institucijama, pojedincima, nevladinom i javnom sektoru </v>
      </c>
      <c r="C139" s="622"/>
      <c r="D139" s="622"/>
      <c r="E139" s="622"/>
      <c r="F139" s="622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21" t="str">
        <f>+VLOOKUP(LEFT($A140,LEN(A140)-1)*1,Master!$D$30:$G$229,4,FALSE)</f>
        <v>Kapitalni izdaci</v>
      </c>
      <c r="C140" s="622"/>
      <c r="D140" s="622"/>
      <c r="E140" s="622"/>
      <c r="F140" s="622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13" t="str">
        <f>+VLOOKUP(LEFT($A141,LEN(A141)-1)*1,Master!$D$30:$G$229,4,FALSE)</f>
        <v>Pozajmice i krediti</v>
      </c>
      <c r="C141" s="614"/>
      <c r="D141" s="614"/>
      <c r="E141" s="614"/>
      <c r="F141" s="614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13" t="str">
        <f>+VLOOKUP(LEFT($A142,LEN(A142)-1)*1,Master!$D$30:$G$229,4,FALSE)</f>
        <v>Rezerve</v>
      </c>
      <c r="C142" s="614"/>
      <c r="D142" s="614"/>
      <c r="E142" s="614"/>
      <c r="F142" s="614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13" t="str">
        <f>+VLOOKUP(LEFT($A143,LEN(A143)-1)*1,Master!$D$30:$G$229,4,FALSE)</f>
        <v>Otplata garancija</v>
      </c>
      <c r="C143" s="614"/>
      <c r="D143" s="614"/>
      <c r="E143" s="614"/>
      <c r="F143" s="614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13" t="str">
        <f>+VLOOKUP(LEFT($A144,LEN(A144)-1)*1,Master!$D$30:$G$229,4,FALSE)</f>
        <v>Otplata obaveza iz prethodnog perioda</v>
      </c>
      <c r="C144" s="614"/>
      <c r="D144" s="614"/>
      <c r="E144" s="614"/>
      <c r="F144" s="614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13" t="str">
        <f>+VLOOKUP(LEFT($A145,LEN(A145)-1)*1,Master!$D$30:$G$229,4,FALSE)</f>
        <v>Neto povećanje obaveza</v>
      </c>
      <c r="C145" s="614"/>
      <c r="D145" s="614"/>
      <c r="E145" s="614"/>
      <c r="F145" s="614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15" t="str">
        <f>+VLOOKUP(LEFT($A146,LEN(A146)-1)*1,Master!$D$30:$G$226,4,FALSE)</f>
        <v>Suficit / deficit</v>
      </c>
      <c r="C146" s="616"/>
      <c r="D146" s="616"/>
      <c r="E146" s="616"/>
      <c r="F146" s="616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17" t="str">
        <f>+VLOOKUP(LEFT($A147,LEN(A147)-1)*1,Master!$D$30:$G$226,4,FALSE)</f>
        <v>Primarni suficit/deficit</v>
      </c>
      <c r="C147" s="618"/>
      <c r="D147" s="618"/>
      <c r="E147" s="618"/>
      <c r="F147" s="618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19" t="str">
        <f>+VLOOKUP(LEFT($A148,LEN(A148)-1)*1,Master!$D$30:$G$226,4,FALSE)</f>
        <v>Otplata dugova</v>
      </c>
      <c r="C148" s="620"/>
      <c r="D148" s="620"/>
      <c r="E148" s="620"/>
      <c r="F148" s="620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11" t="str">
        <f>+VLOOKUP(LEFT($A149,LEN(A149)-1)*1,Master!$D$30:$G$226,4,FALSE)</f>
        <v>Otplata hartija od vrijednosti i kredita rezidentima</v>
      </c>
      <c r="C149" s="612"/>
      <c r="D149" s="612"/>
      <c r="E149" s="612"/>
      <c r="F149" s="612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13" t="str">
        <f>+VLOOKUP(LEFT($A150,LEN(A150)-1)*1,Master!$D$30:$G$226,4,FALSE)</f>
        <v>Otplata hartija od vrijednosti i kredita nerezidentima</v>
      </c>
      <c r="C150" s="614"/>
      <c r="D150" s="614"/>
      <c r="E150" s="614"/>
      <c r="F150" s="614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07" t="str">
        <f>+VLOOKUP(LEFT($A151,LEN(A151)-1)*1,Master!$D$30:$G$226,4,FALSE)</f>
        <v>Izdaci za kupovinu hartija od vrijednosti</v>
      </c>
      <c r="C151" s="608"/>
      <c r="D151" s="608"/>
      <c r="E151" s="608"/>
      <c r="F151" s="608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09" t="str">
        <f>+VLOOKUP(LEFT($A152,LEN(A152)-1)*1,Master!$D$30:$G$226,4,FALSE)</f>
        <v>Nedostajuća sredstva</v>
      </c>
      <c r="C152" s="610"/>
      <c r="D152" s="610"/>
      <c r="E152" s="610"/>
      <c r="F152" s="610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07" t="str">
        <f>+VLOOKUP(LEFT($A153,LEN(A153)-1)*1,Master!$D$30:$G$226,4,FALSE)</f>
        <v>Finansiranje</v>
      </c>
      <c r="C153" s="608"/>
      <c r="D153" s="608"/>
      <c r="E153" s="608"/>
      <c r="F153" s="608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11" t="str">
        <f>+VLOOKUP(LEFT($A154,LEN(A154)-1)*1,Master!$D$30:$G$226,4,FALSE)</f>
        <v>Pozajmice i krediti od domaćih izvora</v>
      </c>
      <c r="C154" s="612"/>
      <c r="D154" s="612"/>
      <c r="E154" s="612"/>
      <c r="F154" s="612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13" t="str">
        <f>+VLOOKUP(LEFT($A155,LEN(A155)-1)*1,Master!$D$30:$G$226,4,FALSE)</f>
        <v>Pozajmice i krediti od inostranih izvora</v>
      </c>
      <c r="C155" s="614"/>
      <c r="D155" s="614"/>
      <c r="E155" s="614"/>
      <c r="F155" s="614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13" t="str">
        <f>+VLOOKUP(LEFT($A156,LEN(A156)-1)*1,Master!$D$30:$G$226,4,FALSE)</f>
        <v>Primici od prodaje imovine</v>
      </c>
      <c r="C156" s="614"/>
      <c r="D156" s="614"/>
      <c r="E156" s="614"/>
      <c r="F156" s="614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87" t="s">
        <v>553</v>
      </c>
      <c r="C7" s="588"/>
      <c r="D7" s="588"/>
      <c r="E7" s="588"/>
      <c r="F7" s="588"/>
      <c r="G7" s="596">
        <v>2019</v>
      </c>
      <c r="H7" s="597"/>
      <c r="I7" s="597"/>
      <c r="J7" s="597"/>
      <c r="K7" s="597"/>
      <c r="L7" s="597"/>
      <c r="M7" s="597"/>
      <c r="N7" s="597"/>
      <c r="O7" s="597"/>
      <c r="P7" s="597"/>
      <c r="Q7" s="597"/>
      <c r="R7" s="600"/>
      <c r="S7" s="220" t="s">
        <v>419</v>
      </c>
      <c r="T7" s="221">
        <v>4951000000</v>
      </c>
    </row>
    <row r="8" spans="1:20" ht="16.5" customHeight="1">
      <c r="A8" s="129"/>
      <c r="B8" s="589"/>
      <c r="C8" s="590"/>
      <c r="D8" s="590"/>
      <c r="E8" s="590"/>
      <c r="F8" s="591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96" t="s">
        <v>806</v>
      </c>
      <c r="T8" s="600"/>
    </row>
    <row r="9" spans="1:20" ht="13.5" thickBot="1">
      <c r="A9" s="129"/>
      <c r="B9" s="592"/>
      <c r="C9" s="593"/>
      <c r="D9" s="593"/>
      <c r="E9" s="593"/>
      <c r="F9" s="59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67" t="s">
        <v>680</v>
      </c>
      <c r="C10" s="568"/>
      <c r="D10" s="568"/>
      <c r="E10" s="568"/>
      <c r="F10" s="568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557" t="s">
        <v>21</v>
      </c>
      <c r="C11" s="558"/>
      <c r="D11" s="558"/>
      <c r="E11" s="558"/>
      <c r="F11" s="558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59" t="s">
        <v>23</v>
      </c>
      <c r="C12" s="560"/>
      <c r="D12" s="560"/>
      <c r="E12" s="560"/>
      <c r="F12" s="560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59" t="s">
        <v>25</v>
      </c>
      <c r="C13" s="560"/>
      <c r="D13" s="560"/>
      <c r="E13" s="560"/>
      <c r="F13" s="560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59" t="s">
        <v>27</v>
      </c>
      <c r="C14" s="560"/>
      <c r="D14" s="560"/>
      <c r="E14" s="560"/>
      <c r="F14" s="560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59" t="s">
        <v>29</v>
      </c>
      <c r="C15" s="560"/>
      <c r="D15" s="560"/>
      <c r="E15" s="560"/>
      <c r="F15" s="560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59" t="s">
        <v>31</v>
      </c>
      <c r="C16" s="560"/>
      <c r="D16" s="560"/>
      <c r="E16" s="560"/>
      <c r="F16" s="560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59" t="s">
        <v>33</v>
      </c>
      <c r="C17" s="560"/>
      <c r="D17" s="560"/>
      <c r="E17" s="560"/>
      <c r="F17" s="560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59" t="s">
        <v>721</v>
      </c>
      <c r="C18" s="560"/>
      <c r="D18" s="560"/>
      <c r="E18" s="560"/>
      <c r="F18" s="560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563" t="s">
        <v>37</v>
      </c>
      <c r="C19" s="564"/>
      <c r="D19" s="564"/>
      <c r="E19" s="564"/>
      <c r="F19" s="564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59" t="s">
        <v>39</v>
      </c>
      <c r="C20" s="560"/>
      <c r="D20" s="560"/>
      <c r="E20" s="560"/>
      <c r="F20" s="560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59" t="s">
        <v>41</v>
      </c>
      <c r="C21" s="560"/>
      <c r="D21" s="560"/>
      <c r="E21" s="560"/>
      <c r="F21" s="560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59" t="s">
        <v>43</v>
      </c>
      <c r="C22" s="560"/>
      <c r="D22" s="560"/>
      <c r="E22" s="560"/>
      <c r="F22" s="560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59" t="s">
        <v>45</v>
      </c>
      <c r="C23" s="560"/>
      <c r="D23" s="560"/>
      <c r="E23" s="560"/>
      <c r="F23" s="560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61" t="s">
        <v>47</v>
      </c>
      <c r="C24" s="562"/>
      <c r="D24" s="562"/>
      <c r="E24" s="562"/>
      <c r="F24" s="562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61" t="s">
        <v>61</v>
      </c>
      <c r="C25" s="562"/>
      <c r="D25" s="562"/>
      <c r="E25" s="562"/>
      <c r="F25" s="562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61" t="s">
        <v>81</v>
      </c>
      <c r="C26" s="562"/>
      <c r="D26" s="562"/>
      <c r="E26" s="562"/>
      <c r="F26" s="562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61" t="s">
        <v>99</v>
      </c>
      <c r="C27" s="562"/>
      <c r="D27" s="562"/>
      <c r="E27" s="562"/>
      <c r="F27" s="562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65" t="s">
        <v>105</v>
      </c>
      <c r="C28" s="566"/>
      <c r="D28" s="566"/>
      <c r="E28" s="566"/>
      <c r="F28" s="566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67" t="s">
        <v>801</v>
      </c>
      <c r="C29" s="568"/>
      <c r="D29" s="568"/>
      <c r="E29" s="568"/>
      <c r="F29" s="568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569" t="s">
        <v>120</v>
      </c>
      <c r="C30" s="570"/>
      <c r="D30" s="570"/>
      <c r="E30" s="570"/>
      <c r="F30" s="570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59" t="s">
        <v>122</v>
      </c>
      <c r="C31" s="560"/>
      <c r="D31" s="560"/>
      <c r="E31" s="560"/>
      <c r="F31" s="560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59" t="s">
        <v>133</v>
      </c>
      <c r="C32" s="560"/>
      <c r="D32" s="560"/>
      <c r="E32" s="560"/>
      <c r="F32" s="560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59" t="s">
        <v>148</v>
      </c>
      <c r="C33" s="560"/>
      <c r="D33" s="560"/>
      <c r="E33" s="560"/>
      <c r="F33" s="560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59" t="s">
        <v>162</v>
      </c>
      <c r="C34" s="560"/>
      <c r="D34" s="560"/>
      <c r="E34" s="560"/>
      <c r="F34" s="560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54" t="s">
        <v>182</v>
      </c>
      <c r="C35" s="655"/>
      <c r="D35" s="655"/>
      <c r="E35" s="655"/>
      <c r="F35" s="655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59" t="s">
        <v>190</v>
      </c>
      <c r="C36" s="560"/>
      <c r="D36" s="560"/>
      <c r="E36" s="560"/>
      <c r="F36" s="560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59" t="s">
        <v>196</v>
      </c>
      <c r="C37" s="560"/>
      <c r="D37" s="560"/>
      <c r="E37" s="560"/>
      <c r="F37" s="560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59" t="s">
        <v>204</v>
      </c>
      <c r="C38" s="560"/>
      <c r="D38" s="560"/>
      <c r="E38" s="560"/>
      <c r="F38" s="560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59" t="s">
        <v>212</v>
      </c>
      <c r="C39" s="560"/>
      <c r="D39" s="560"/>
      <c r="E39" s="560"/>
      <c r="F39" s="560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75" t="s">
        <v>230</v>
      </c>
      <c r="C40" s="576"/>
      <c r="D40" s="576"/>
      <c r="E40" s="576"/>
      <c r="F40" s="576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59" t="s">
        <v>232</v>
      </c>
      <c r="C41" s="560"/>
      <c r="D41" s="560"/>
      <c r="E41" s="560"/>
      <c r="F41" s="560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59" t="s">
        <v>248</v>
      </c>
      <c r="C42" s="560"/>
      <c r="D42" s="560"/>
      <c r="E42" s="560"/>
      <c r="F42" s="560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59" t="s">
        <v>259</v>
      </c>
      <c r="C43" s="560"/>
      <c r="D43" s="560"/>
      <c r="E43" s="560"/>
      <c r="F43" s="560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59" t="s">
        <v>274</v>
      </c>
      <c r="C44" s="560"/>
      <c r="D44" s="560"/>
      <c r="E44" s="560"/>
      <c r="F44" s="560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59" t="s">
        <v>278</v>
      </c>
      <c r="C45" s="560"/>
      <c r="D45" s="560"/>
      <c r="E45" s="560"/>
      <c r="F45" s="560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73" t="s">
        <v>286</v>
      </c>
      <c r="C46" s="574"/>
      <c r="D46" s="574"/>
      <c r="E46" s="574"/>
      <c r="F46" s="574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73" t="s">
        <v>320</v>
      </c>
      <c r="C47" s="574"/>
      <c r="D47" s="574"/>
      <c r="E47" s="574"/>
      <c r="F47" s="574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52" t="s">
        <v>113</v>
      </c>
      <c r="C48" s="653"/>
      <c r="D48" s="653"/>
      <c r="E48" s="653"/>
      <c r="F48" s="653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44" t="s">
        <v>366</v>
      </c>
      <c r="C49" s="645"/>
      <c r="D49" s="645"/>
      <c r="E49" s="645"/>
      <c r="F49" s="645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79" t="s">
        <v>359</v>
      </c>
      <c r="C50" s="580"/>
      <c r="D50" s="580"/>
      <c r="E50" s="580"/>
      <c r="F50" s="580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46" t="s">
        <v>794</v>
      </c>
      <c r="C51" s="647"/>
      <c r="D51" s="647"/>
      <c r="E51" s="647"/>
      <c r="F51" s="647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48" t="s">
        <v>684</v>
      </c>
      <c r="C52" s="649"/>
      <c r="D52" s="649"/>
      <c r="E52" s="649"/>
      <c r="F52" s="649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81" t="s">
        <v>545</v>
      </c>
      <c r="C53" s="582"/>
      <c r="D53" s="582"/>
      <c r="E53" s="582"/>
      <c r="F53" s="582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83" t="s">
        <v>792</v>
      </c>
      <c r="C54" s="584"/>
      <c r="D54" s="584"/>
      <c r="E54" s="584"/>
      <c r="F54" s="584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05" t="s">
        <v>352</v>
      </c>
      <c r="C55" s="606"/>
      <c r="D55" s="606"/>
      <c r="E55" s="606"/>
      <c r="F55" s="606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601" t="s">
        <v>355</v>
      </c>
      <c r="C56" s="602"/>
      <c r="D56" s="602"/>
      <c r="E56" s="602"/>
      <c r="F56" s="602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77" t="s">
        <v>357</v>
      </c>
      <c r="C57" s="578"/>
      <c r="D57" s="578"/>
      <c r="E57" s="578"/>
      <c r="F57" s="578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60" t="s">
        <v>336</v>
      </c>
      <c r="C58" s="661"/>
      <c r="D58" s="661"/>
      <c r="E58" s="661"/>
      <c r="F58" s="661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603" t="s">
        <v>543</v>
      </c>
      <c r="C59" s="604"/>
      <c r="D59" s="604"/>
      <c r="E59" s="604"/>
      <c r="F59" s="604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67" t="s">
        <v>544</v>
      </c>
      <c r="C60" s="568"/>
      <c r="D60" s="568"/>
      <c r="E60" s="568"/>
      <c r="F60" s="568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601" t="s">
        <v>114</v>
      </c>
      <c r="C61" s="602"/>
      <c r="D61" s="602"/>
      <c r="E61" s="602"/>
      <c r="F61" s="602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77" t="s">
        <v>116</v>
      </c>
      <c r="C62" s="578"/>
      <c r="D62" s="578"/>
      <c r="E62" s="578"/>
      <c r="F62" s="578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77" t="s">
        <v>93</v>
      </c>
      <c r="C63" s="578"/>
      <c r="D63" s="578"/>
      <c r="E63" s="578"/>
      <c r="F63" s="578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33" t="s">
        <v>551</v>
      </c>
      <c r="C100" s="634"/>
      <c r="D100" s="634"/>
      <c r="E100" s="634"/>
      <c r="F100" s="634"/>
      <c r="G100" s="641">
        <v>2019</v>
      </c>
      <c r="H100" s="642"/>
      <c r="I100" s="642"/>
      <c r="J100" s="642"/>
      <c r="K100" s="642"/>
      <c r="L100" s="642"/>
      <c r="M100" s="642"/>
      <c r="N100" s="642"/>
      <c r="O100" s="642"/>
      <c r="P100" s="642"/>
      <c r="Q100" s="642"/>
      <c r="R100" s="643"/>
      <c r="S100" s="96" t="str">
        <f>+S7</f>
        <v>BDP</v>
      </c>
      <c r="T100" s="97">
        <f>+T7</f>
        <v>4951000000</v>
      </c>
    </row>
    <row r="101" spans="1:21" ht="15.75" customHeight="1">
      <c r="B101" s="635"/>
      <c r="C101" s="636"/>
      <c r="D101" s="636"/>
      <c r="E101" s="636"/>
      <c r="F101" s="637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41" t="s">
        <v>806</v>
      </c>
      <c r="T101" s="643">
        <f>+T8</f>
        <v>0</v>
      </c>
    </row>
    <row r="102" spans="1:21" ht="13.5" thickBot="1">
      <c r="B102" s="638"/>
      <c r="C102" s="639"/>
      <c r="D102" s="639"/>
      <c r="E102" s="639"/>
      <c r="F102" s="640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56" t="s">
        <v>680</v>
      </c>
      <c r="C103" s="657"/>
      <c r="D103" s="657"/>
      <c r="E103" s="657"/>
      <c r="F103" s="657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31" t="s">
        <v>21</v>
      </c>
      <c r="C104" s="632"/>
      <c r="D104" s="632"/>
      <c r="E104" s="632"/>
      <c r="F104" s="632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23" t="s">
        <v>23</v>
      </c>
      <c r="C105" s="624"/>
      <c r="D105" s="624"/>
      <c r="E105" s="624"/>
      <c r="F105" s="624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23" t="s">
        <v>25</v>
      </c>
      <c r="C106" s="624"/>
      <c r="D106" s="624"/>
      <c r="E106" s="624"/>
      <c r="F106" s="624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23" t="s">
        <v>27</v>
      </c>
      <c r="C107" s="624"/>
      <c r="D107" s="624"/>
      <c r="E107" s="624"/>
      <c r="F107" s="624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23" t="s">
        <v>29</v>
      </c>
      <c r="C108" s="624"/>
      <c r="D108" s="624"/>
      <c r="E108" s="624"/>
      <c r="F108" s="624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23" t="s">
        <v>31</v>
      </c>
      <c r="C109" s="624"/>
      <c r="D109" s="624"/>
      <c r="E109" s="624"/>
      <c r="F109" s="624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23" t="s">
        <v>33</v>
      </c>
      <c r="C110" s="624"/>
      <c r="D110" s="624"/>
      <c r="E110" s="624"/>
      <c r="F110" s="624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23" t="s">
        <v>721</v>
      </c>
      <c r="C111" s="624"/>
      <c r="D111" s="624"/>
      <c r="E111" s="624"/>
      <c r="F111" s="624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58" t="s">
        <v>37</v>
      </c>
      <c r="C112" s="659"/>
      <c r="D112" s="659"/>
      <c r="E112" s="659"/>
      <c r="F112" s="659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23" t="s">
        <v>39</v>
      </c>
      <c r="C113" s="624"/>
      <c r="D113" s="624"/>
      <c r="E113" s="624"/>
      <c r="F113" s="624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23" t="s">
        <v>41</v>
      </c>
      <c r="C114" s="624"/>
      <c r="D114" s="624"/>
      <c r="E114" s="624"/>
      <c r="F114" s="624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23" t="s">
        <v>43</v>
      </c>
      <c r="C115" s="624"/>
      <c r="D115" s="624"/>
      <c r="E115" s="624"/>
      <c r="F115" s="624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23" t="s">
        <v>45</v>
      </c>
      <c r="C116" s="624"/>
      <c r="D116" s="624"/>
      <c r="E116" s="624"/>
      <c r="F116" s="624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29" t="s">
        <v>47</v>
      </c>
      <c r="C117" s="630"/>
      <c r="D117" s="630"/>
      <c r="E117" s="630"/>
      <c r="F117" s="630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29" t="s">
        <v>61</v>
      </c>
      <c r="C118" s="630"/>
      <c r="D118" s="630"/>
      <c r="E118" s="630"/>
      <c r="F118" s="630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29" t="s">
        <v>81</v>
      </c>
      <c r="C119" s="630"/>
      <c r="D119" s="630"/>
      <c r="E119" s="630"/>
      <c r="F119" s="630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29" t="s">
        <v>99</v>
      </c>
      <c r="C120" s="630"/>
      <c r="D120" s="630"/>
      <c r="E120" s="630"/>
      <c r="F120" s="630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25" t="s">
        <v>105</v>
      </c>
      <c r="C121" s="626"/>
      <c r="D121" s="626"/>
      <c r="E121" s="626"/>
      <c r="F121" s="626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07" t="s">
        <v>808</v>
      </c>
      <c r="C122" s="608"/>
      <c r="D122" s="608"/>
      <c r="E122" s="608"/>
      <c r="F122" s="608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62" t="s">
        <v>773</v>
      </c>
      <c r="C123" s="663"/>
      <c r="D123" s="663"/>
      <c r="E123" s="663"/>
      <c r="F123" s="663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27" t="e">
        <v>#REF!</v>
      </c>
      <c r="C124" s="628"/>
      <c r="D124" s="628"/>
      <c r="E124" s="628"/>
      <c r="F124" s="628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23" t="s">
        <v>122</v>
      </c>
      <c r="C125" s="624"/>
      <c r="D125" s="624"/>
      <c r="E125" s="624"/>
      <c r="F125" s="624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23" t="s">
        <v>133</v>
      </c>
      <c r="C126" s="624"/>
      <c r="D126" s="624"/>
      <c r="E126" s="624"/>
      <c r="F126" s="624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23" t="s">
        <v>148</v>
      </c>
      <c r="C127" s="624"/>
      <c r="D127" s="624"/>
      <c r="E127" s="624"/>
      <c r="F127" s="624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23" t="s">
        <v>162</v>
      </c>
      <c r="C128" s="624"/>
      <c r="D128" s="624"/>
      <c r="E128" s="624"/>
      <c r="F128" s="624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23" t="s">
        <v>182</v>
      </c>
      <c r="C129" s="624"/>
      <c r="D129" s="624"/>
      <c r="E129" s="624"/>
      <c r="F129" s="624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23" t="s">
        <v>190</v>
      </c>
      <c r="C130" s="624"/>
      <c r="D130" s="624"/>
      <c r="E130" s="624"/>
      <c r="F130" s="624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23" t="s">
        <v>196</v>
      </c>
      <c r="C131" s="624"/>
      <c r="D131" s="624"/>
      <c r="E131" s="624"/>
      <c r="F131" s="624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23" t="s">
        <v>204</v>
      </c>
      <c r="C132" s="624"/>
      <c r="D132" s="624"/>
      <c r="E132" s="624"/>
      <c r="F132" s="624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23" t="s">
        <v>212</v>
      </c>
      <c r="C133" s="624"/>
      <c r="D133" s="624"/>
      <c r="E133" s="624"/>
      <c r="F133" s="624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23" t="e">
        <v>#REF!</v>
      </c>
      <c r="C134" s="624"/>
      <c r="D134" s="624"/>
      <c r="E134" s="624"/>
      <c r="F134" s="624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19" t="s">
        <v>230</v>
      </c>
      <c r="C135" s="620"/>
      <c r="D135" s="620"/>
      <c r="E135" s="620"/>
      <c r="F135" s="620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23" t="s">
        <v>232</v>
      </c>
      <c r="C136" s="624"/>
      <c r="D136" s="624"/>
      <c r="E136" s="624"/>
      <c r="F136" s="624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23" t="s">
        <v>248</v>
      </c>
      <c r="C137" s="624"/>
      <c r="D137" s="624"/>
      <c r="E137" s="624"/>
      <c r="F137" s="624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23" t="s">
        <v>259</v>
      </c>
      <c r="C138" s="624"/>
      <c r="D138" s="624"/>
      <c r="E138" s="624"/>
      <c r="F138" s="624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23" t="s">
        <v>274</v>
      </c>
      <c r="C139" s="624"/>
      <c r="D139" s="624"/>
      <c r="E139" s="624"/>
      <c r="F139" s="624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23" t="s">
        <v>278</v>
      </c>
      <c r="C140" s="624"/>
      <c r="D140" s="624"/>
      <c r="E140" s="624"/>
      <c r="F140" s="624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21" t="s">
        <v>286</v>
      </c>
      <c r="C141" s="622"/>
      <c r="D141" s="622"/>
      <c r="E141" s="622"/>
      <c r="F141" s="622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21" t="s">
        <v>809</v>
      </c>
      <c r="C142" s="622"/>
      <c r="D142" s="622"/>
      <c r="E142" s="622"/>
      <c r="F142" s="622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13" t="s">
        <v>113</v>
      </c>
      <c r="C143" s="614"/>
      <c r="D143" s="614"/>
      <c r="E143" s="614"/>
      <c r="F143" s="614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13" t="s">
        <v>366</v>
      </c>
      <c r="C144" s="614"/>
      <c r="D144" s="614"/>
      <c r="E144" s="614"/>
      <c r="F144" s="614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13" t="s">
        <v>359</v>
      </c>
      <c r="C145" s="614"/>
      <c r="D145" s="614"/>
      <c r="E145" s="614"/>
      <c r="F145" s="614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13" t="s">
        <v>365</v>
      </c>
      <c r="C146" s="614"/>
      <c r="D146" s="614"/>
      <c r="E146" s="614"/>
      <c r="F146" s="614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64" t="s">
        <v>685</v>
      </c>
      <c r="C147" s="665"/>
      <c r="D147" s="665"/>
      <c r="E147" s="665"/>
      <c r="F147" s="665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15" t="s">
        <v>545</v>
      </c>
      <c r="C148" s="616"/>
      <c r="D148" s="616"/>
      <c r="E148" s="616"/>
      <c r="F148" s="616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17" t="s">
        <v>810</v>
      </c>
      <c r="C149" s="618"/>
      <c r="D149" s="618"/>
      <c r="E149" s="618"/>
      <c r="F149" s="618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19" t="s">
        <v>352</v>
      </c>
      <c r="C150" s="620"/>
      <c r="D150" s="620"/>
      <c r="E150" s="620"/>
      <c r="F150" s="620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11" t="s">
        <v>355</v>
      </c>
      <c r="C151" s="612"/>
      <c r="D151" s="612"/>
      <c r="E151" s="612"/>
      <c r="F151" s="612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13" t="s">
        <v>357</v>
      </c>
      <c r="C152" s="614"/>
      <c r="D152" s="614"/>
      <c r="E152" s="614"/>
      <c r="F152" s="614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60" t="s">
        <v>336</v>
      </c>
      <c r="C153" s="661"/>
      <c r="D153" s="661"/>
      <c r="E153" s="661"/>
      <c r="F153" s="661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09" t="s">
        <v>543</v>
      </c>
      <c r="C154" s="610"/>
      <c r="D154" s="610"/>
      <c r="E154" s="610"/>
      <c r="F154" s="610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07" t="s">
        <v>544</v>
      </c>
      <c r="C155" s="608"/>
      <c r="D155" s="608"/>
      <c r="E155" s="608"/>
      <c r="F155" s="608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11" t="s">
        <v>114</v>
      </c>
      <c r="C156" s="612"/>
      <c r="D156" s="612"/>
      <c r="E156" s="612"/>
      <c r="F156" s="612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13" t="s">
        <v>116</v>
      </c>
      <c r="C157" s="614"/>
      <c r="D157" s="614"/>
      <c r="E157" s="614"/>
      <c r="F157" s="614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13" t="s">
        <v>93</v>
      </c>
      <c r="C158" s="614"/>
      <c r="D158" s="614"/>
      <c r="E158" s="614"/>
      <c r="F158" s="614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Analitika - 2014</vt:lpstr>
      <vt:lpstr>Pregled</vt:lpstr>
      <vt:lpstr>Analitika 2024</vt:lpstr>
      <vt:lpstr>2024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Milica Rahovic</cp:lastModifiedBy>
  <cp:lastPrinted>2024-06-26T14:13:15Z</cp:lastPrinted>
  <dcterms:created xsi:type="dcterms:W3CDTF">2014-09-15T13:41:17Z</dcterms:created>
  <dcterms:modified xsi:type="dcterms:W3CDTF">2024-10-30T13:19:42Z</dcterms:modified>
</cp:coreProperties>
</file>