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\DECEMBAR 2025\IZVJEŠTAJI 26.01.2026\"/>
    </mc:Choice>
  </mc:AlternateContent>
  <xr:revisionPtr revIDLastSave="0" documentId="13_ncr:1_{302CB521-C37F-489D-9AF6-B91042FAE99A}" xr6:coauthVersionLast="36" xr6:coauthVersionMax="36" xr10:uidLastSave="{00000000-0000-0000-0000-000000000000}"/>
  <workbookProtection workbookAlgorithmName="SHA-512" workbookHashValue="m2wIcyAVNxh3+7P/4F7LiTVW0JPv6fOnaFLO6I2iHheKs9Rfj1NDiulzAk114N8nZywheNgd6Zh0Gv3h5SWDpA==" workbookSaltValue="Xg1SQgmiuMHlL5uX5KDmsw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G55" i="28" l="1"/>
  <c r="H55" i="28"/>
  <c r="I55" i="28"/>
  <c r="J55" i="28"/>
  <c r="K55" i="28"/>
  <c r="L55" i="28"/>
  <c r="M55" i="28"/>
  <c r="N55" i="28"/>
  <c r="O55" i="28"/>
  <c r="P55" i="28"/>
  <c r="T83" i="28" l="1"/>
  <c r="P17" i="11" l="1"/>
  <c r="P18" i="11"/>
  <c r="Q62" i="11"/>
  <c r="T65" i="11"/>
  <c r="R116" i="28" l="1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l="1"/>
  <c r="N105" i="28"/>
  <c r="G136" i="28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R136" i="28"/>
  <c r="R142" i="28" s="1"/>
  <c r="R137" i="28" s="1"/>
  <c r="N129" i="28" l="1"/>
  <c r="G142" i="28"/>
  <c r="G130" i="28"/>
  <c r="S133" i="28"/>
  <c r="S132" i="28"/>
  <c r="G137" i="28" l="1"/>
  <c r="N130" i="28"/>
  <c r="N136" i="28"/>
  <c r="A142" i="28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N55" i="11" s="1"/>
  <c r="Q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N40" i="11" s="1"/>
  <c r="Q40" i="28"/>
  <c r="P40" i="28"/>
  <c r="O40" i="28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N30" i="11" s="1"/>
  <c r="Q30" i="28"/>
  <c r="P30" i="28"/>
  <c r="O30" i="28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N19" i="11" s="1"/>
  <c r="Q19" i="28"/>
  <c r="P19" i="28"/>
  <c r="O19" i="28"/>
  <c r="N19" i="28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N11" i="11" s="1"/>
  <c r="Q11" i="28"/>
  <c r="P11" i="28"/>
  <c r="O11" i="28"/>
  <c r="N11" i="28"/>
  <c r="M11" i="28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G10" i="28" l="1"/>
  <c r="R10" i="28"/>
  <c r="N10" i="11" s="1"/>
  <c r="O29" i="28"/>
  <c r="R29" i="28"/>
  <c r="N29" i="11" s="1"/>
  <c r="N29" i="28"/>
  <c r="N142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T12" i="28"/>
  <c r="T16" i="28"/>
  <c r="T34" i="28"/>
  <c r="T38" i="28"/>
  <c r="T57" i="28"/>
  <c r="T62" i="28"/>
  <c r="G52" i="11"/>
  <c r="G37" i="11"/>
  <c r="G24" i="11"/>
  <c r="G14" i="11"/>
  <c r="G62" i="11"/>
  <c r="M62" i="11" s="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S30" i="28"/>
  <c r="S87" i="28"/>
  <c r="T87" i="28" s="1"/>
  <c r="R53" i="28" l="1"/>
  <c r="R54" i="28" s="1"/>
  <c r="N54" i="11" s="1"/>
  <c r="S10" i="28"/>
  <c r="G10" i="11" s="1"/>
  <c r="N53" i="28"/>
  <c r="N54" i="28" s="1"/>
  <c r="O53" i="28"/>
  <c r="O54" i="28" s="1"/>
  <c r="D12" i="1"/>
  <c r="N137" i="28"/>
  <c r="J53" i="28"/>
  <c r="J54" i="28" s="1"/>
  <c r="M53" i="28"/>
  <c r="M60" i="28" s="1"/>
  <c r="L53" i="28"/>
  <c r="L54" i="28" s="1"/>
  <c r="K53" i="28"/>
  <c r="I53" i="28"/>
  <c r="I54" i="28" s="1"/>
  <c r="P53" i="28"/>
  <c r="H53" i="28"/>
  <c r="H54" i="28" s="1"/>
  <c r="D16" i="1"/>
  <c r="T19" i="28"/>
  <c r="Q53" i="28"/>
  <c r="G53" i="28"/>
  <c r="G54" i="28" s="1"/>
  <c r="T55" i="28"/>
  <c r="G55" i="11"/>
  <c r="T40" i="28"/>
  <c r="G40" i="11"/>
  <c r="T30" i="28"/>
  <c r="G30" i="11"/>
  <c r="T11" i="28"/>
  <c r="G11" i="11"/>
  <c r="S29" i="28"/>
  <c r="R60" i="28" l="1"/>
  <c r="R66" i="28" s="1"/>
  <c r="N53" i="11"/>
  <c r="D20" i="1" s="1"/>
  <c r="Q60" i="28"/>
  <c r="P54" i="28"/>
  <c r="N60" i="28"/>
  <c r="N66" i="28" s="1"/>
  <c r="O60" i="28"/>
  <c r="J60" i="28"/>
  <c r="J66" i="28" s="1"/>
  <c r="Q54" i="28"/>
  <c r="P60" i="28"/>
  <c r="M54" i="28"/>
  <c r="M66" i="28"/>
  <c r="L60" i="28"/>
  <c r="K60" i="28"/>
  <c r="K54" i="28"/>
  <c r="I60" i="28"/>
  <c r="I66" i="28" s="1"/>
  <c r="H60" i="28"/>
  <c r="H66" i="28" s="1"/>
  <c r="T10" i="28"/>
  <c r="S53" i="28"/>
  <c r="S60" i="28" s="1"/>
  <c r="G60" i="28"/>
  <c r="G66" i="28" s="1"/>
  <c r="G61" i="28" s="1"/>
  <c r="T29" i="28"/>
  <c r="G29" i="11"/>
  <c r="S129" i="28"/>
  <c r="G19" i="26"/>
  <c r="H19" i="26"/>
  <c r="N60" i="11" l="1"/>
  <c r="R61" i="28"/>
  <c r="N61" i="11" s="1"/>
  <c r="N66" i="11"/>
  <c r="Q66" i="28"/>
  <c r="P66" i="28"/>
  <c r="O66" i="28"/>
  <c r="S54" i="28"/>
  <c r="G54" i="11" s="1"/>
  <c r="N61" i="28"/>
  <c r="M61" i="28"/>
  <c r="L66" i="28"/>
  <c r="K66" i="28"/>
  <c r="J61" i="28"/>
  <c r="I61" i="28"/>
  <c r="T129" i="28"/>
  <c r="H61" i="28"/>
  <c r="T53" i="28"/>
  <c r="G53" i="11"/>
  <c r="G60" i="11"/>
  <c r="S130" i="28"/>
  <c r="S136" i="28"/>
  <c r="S66" i="28"/>
  <c r="T60" i="28"/>
  <c r="G55" i="26"/>
  <c r="Q61" i="28" l="1"/>
  <c r="P61" i="28"/>
  <c r="O61" i="28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<sst xmlns="http://schemas.openxmlformats.org/spreadsheetml/2006/main" count="1910" uniqueCount="881">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</sst>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  <numFmt numFmtId="184" formatCode="#,##0.00000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184" fontId="0" fillId="3" borderId="0" xfId="0" applyNumberFormat="1" applyFill="1" applyAlignment="1">
      <alignment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budžeta, prema preliminarnim podacima,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decemba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873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12.9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117.4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4.3%.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</a:t>
          </a:r>
          <a:r>
            <a:rPr lang="en-U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prema preliminarnim podacima,</a:t>
          </a:r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3,194.8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veći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30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.5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1%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191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.5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6.4%.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-decembar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.6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Ovim izvještajem su predstavljani preliminarni podaci o ostvarenju budžeta za 2025. godinu, dok će konačni podaci biti prezentovani u predlogu Završnog računa budžeta 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budžetskih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2025-12</v>
      </c>
      <c r="O6" s="128" t="str">
        <f>+CONCATENATE(N6,"p")</f>
        <v>2025-12p</v>
      </c>
      <c r="P6" s="116"/>
      <c r="Q6" s="116"/>
      <c r="R6" s="128" t="str">
        <f>+IF(Master!B3-10&gt;=0,CONCATENATE(Master!B4-1,"-",Master!B3),CONCATENATE(Master!B4-1,"-0",Master!B3))</f>
        <v>2024-12</v>
      </c>
      <c r="S6" s="116"/>
      <c r="T6" s="116"/>
    </row>
    <row r="7" spans="1:20">
      <c r="A7" s="129"/>
      <c r="B7" s="568" t="s">
        <v>691</v>
      </c>
      <c r="C7" s="569"/>
      <c r="D7" s="569"/>
      <c r="E7" s="569"/>
      <c r="F7" s="569"/>
      <c r="G7" s="577" t="s">
        <v>690</v>
      </c>
      <c r="H7" s="578"/>
      <c r="I7" s="578"/>
      <c r="J7" s="578"/>
      <c r="K7" s="578"/>
      <c r="L7" s="578"/>
      <c r="M7" s="579"/>
      <c r="N7" s="580" t="str">
        <f>+Master!G243</f>
        <v>Decembar</v>
      </c>
      <c r="O7" s="578"/>
      <c r="P7" s="578"/>
      <c r="Q7" s="578"/>
      <c r="R7" s="578"/>
      <c r="S7" s="578"/>
      <c r="T7" s="581"/>
    </row>
    <row r="8" spans="1:20">
      <c r="A8" s="129"/>
      <c r="B8" s="570"/>
      <c r="C8" s="571"/>
      <c r="D8" s="571"/>
      <c r="E8" s="571"/>
      <c r="F8" s="572"/>
      <c r="G8" s="130" t="str">
        <f>+Master!G26</f>
        <v>Ostvarenje</v>
      </c>
      <c r="H8" s="130" t="str">
        <f>+Master!G25</f>
        <v>Plan</v>
      </c>
      <c r="I8" s="564" t="str">
        <f>+Master!G261</f>
        <v>Odstupanje</v>
      </c>
      <c r="J8" s="564"/>
      <c r="K8" s="130" t="str">
        <f>+CONCATENATE(Master!G246," ",Master!B4-1)</f>
        <v>Jan - Dec 2024</v>
      </c>
      <c r="L8" s="564" t="str">
        <f>+I8</f>
        <v>Odstupanje</v>
      </c>
      <c r="M8" s="576"/>
      <c r="N8" s="131" t="str">
        <f>+G8</f>
        <v>Ostvarenje</v>
      </c>
      <c r="O8" s="130" t="str">
        <f>+H8</f>
        <v>Plan</v>
      </c>
      <c r="P8" s="564" t="str">
        <f>+I8</f>
        <v>Odstupanje</v>
      </c>
      <c r="Q8" s="564"/>
      <c r="R8" s="130" t="str">
        <f>+CONCATENATE(Master!G245," ",Master!B4-1)</f>
        <v>Decembar 2024</v>
      </c>
      <c r="S8" s="564" t="str">
        <f>+P8</f>
        <v>Odstupanje</v>
      </c>
      <c r="T8" s="565"/>
    </row>
    <row r="9" spans="1:20" ht="15.7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10" t="str">
        <f>+VLOOKUP($A10,Master!$D$30:$G$226,4,FALSE)</f>
        <v>Prihodi budžeta</v>
      </c>
      <c r="C10" s="611"/>
      <c r="D10" s="611"/>
      <c r="E10" s="611"/>
      <c r="F10" s="611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8" t="e">
        <f>+VLOOKUP($A18,Master!$D$30:$G$226,4,FALSE)</f>
        <v>#N/A</v>
      </c>
      <c r="C18" s="599"/>
      <c r="D18" s="599"/>
      <c r="E18" s="599"/>
      <c r="F18" s="599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8" t="str">
        <f>+VLOOKUP($A19,Master!$D$30:$G$226,4,FALSE)</f>
        <v>Ostali državni porezi</v>
      </c>
      <c r="C19" s="599"/>
      <c r="D19" s="599"/>
      <c r="E19" s="599"/>
      <c r="F19" s="599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8" t="str">
        <f>+VLOOKUP($A20,Master!$D$30:$G$226,4,FALSE)</f>
        <v>Doprinosi</v>
      </c>
      <c r="C20" s="609"/>
      <c r="D20" s="609"/>
      <c r="E20" s="609"/>
      <c r="F20" s="609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8" t="str">
        <f>+VLOOKUP($A21,Master!$D$30:$G$226,4,FALSE)</f>
        <v>Doprinosi za penzijsko i invalidsko osiguranje</v>
      </c>
      <c r="C21" s="599"/>
      <c r="D21" s="599"/>
      <c r="E21" s="599"/>
      <c r="F21" s="599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8" t="str">
        <f>+VLOOKUP($A22,Master!$D$30:$G$226,4,FALSE)</f>
        <v>Doprinosi za zdravstveno osiguranje</v>
      </c>
      <c r="C22" s="599"/>
      <c r="D22" s="599"/>
      <c r="E22" s="599"/>
      <c r="F22" s="599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8" t="str">
        <f>+VLOOKUP($A23,Master!$D$30:$G$226,4,FALSE)</f>
        <v>Doprinosi za osiguranje od nezaposlenosti</v>
      </c>
      <c r="C23" s="599"/>
      <c r="D23" s="599"/>
      <c r="E23" s="599"/>
      <c r="F23" s="599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8" t="str">
        <f>+VLOOKUP($A24,Master!$D$30:$G$226,4,FALSE)</f>
        <v>Ostali doprinosi</v>
      </c>
      <c r="C24" s="599"/>
      <c r="D24" s="599"/>
      <c r="E24" s="599"/>
      <c r="F24" s="599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600" t="str">
        <f>+VLOOKUP($A25,Master!$D$30:$G$226,4,FALSE)</f>
        <v>Takse</v>
      </c>
      <c r="C25" s="601"/>
      <c r="D25" s="601"/>
      <c r="E25" s="601"/>
      <c r="F25" s="601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600" t="str">
        <f>+VLOOKUP($A26,Master!$D$30:$G$226,4,FALSE)</f>
        <v>Naknade</v>
      </c>
      <c r="C26" s="601"/>
      <c r="D26" s="601"/>
      <c r="E26" s="601"/>
      <c r="F26" s="601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600" t="str">
        <f>+VLOOKUP($A27,Master!$D$30:$G$226,4,FALSE)</f>
        <v>Ostali prihodi</v>
      </c>
      <c r="C27" s="601"/>
      <c r="D27" s="601"/>
      <c r="E27" s="601"/>
      <c r="F27" s="601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600" t="str">
        <f>+VLOOKUP($A28,Master!$D$30:$G$226,4,FALSE)</f>
        <v>Primici od otplate kredita i sredstva prenesena iz prethodne godine</v>
      </c>
      <c r="C28" s="601"/>
      <c r="D28" s="601"/>
      <c r="E28" s="601"/>
      <c r="F28" s="601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2" t="str">
        <f>+VLOOKUP($A29,Master!$D$30:$G$226,4,FALSE)</f>
        <v>Donacije i transferi</v>
      </c>
      <c r="C29" s="603"/>
      <c r="D29" s="603"/>
      <c r="E29" s="603"/>
      <c r="F29" s="603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8" t="str">
        <f>+VLOOKUP($A30,Master!$D$30:$G$226,4,FALSE)</f>
        <v>Izdaci budžeta</v>
      </c>
      <c r="C30" s="589"/>
      <c r="D30" s="589"/>
      <c r="E30" s="589"/>
      <c r="F30" s="589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4" t="str">
        <f>+VLOOKUP($A31,Master!$D$30:$G$226,4,FALSE)</f>
        <v>Tekući izdaci</v>
      </c>
      <c r="C31" s="605"/>
      <c r="D31" s="605"/>
      <c r="E31" s="605"/>
      <c r="F31" s="605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6" t="str">
        <f>+VLOOKUP($A32,Master!$D$30:$G$226,4,FALSE)</f>
        <v>Tekuća budžetska potrošnja</v>
      </c>
      <c r="C32" s="607"/>
      <c r="D32" s="607"/>
      <c r="E32" s="607"/>
      <c r="F32" s="607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8" t="str">
        <f>+VLOOKUP($A33,Master!$D$30:$G$226,4,FALSE)</f>
        <v>Bruto zarade i doprinosi na teret poslodavca</v>
      </c>
      <c r="C33" s="599"/>
      <c r="D33" s="599"/>
      <c r="E33" s="599"/>
      <c r="F33" s="599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8" t="str">
        <f>+VLOOKUP($A34,Master!$D$30:$G$226,4,FALSE)</f>
        <v>Ostala lična primanja</v>
      </c>
      <c r="C34" s="599"/>
      <c r="D34" s="599"/>
      <c r="E34" s="599"/>
      <c r="F34" s="599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8" t="str">
        <f>+VLOOKUP($A35,Master!$D$30:$G$226,4,FALSE)</f>
        <v>Rashodi za materijal</v>
      </c>
      <c r="C35" s="599"/>
      <c r="D35" s="599"/>
      <c r="E35" s="599"/>
      <c r="F35" s="599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8" t="str">
        <f>+VLOOKUP($A36,Master!$D$30:$G$226,4,FALSE)</f>
        <v>Rashodi za usluge</v>
      </c>
      <c r="C36" s="599"/>
      <c r="D36" s="599"/>
      <c r="E36" s="599"/>
      <c r="F36" s="599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8" t="str">
        <f>+VLOOKUP($A37,Master!$D$30:$G$226,4,FALSE)</f>
        <v>Rashodi za tekuće održavanje</v>
      </c>
      <c r="C37" s="599"/>
      <c r="D37" s="599"/>
      <c r="E37" s="599"/>
      <c r="F37" s="599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8" t="str">
        <f>+VLOOKUP($A38,Master!$D$30:$G$226,4,FALSE)</f>
        <v>Kamate</v>
      </c>
      <c r="C38" s="599"/>
      <c r="D38" s="599"/>
      <c r="E38" s="599"/>
      <c r="F38" s="599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8" t="str">
        <f>+VLOOKUP($A39,Master!$D$30:$G$226,4,FALSE)</f>
        <v>Renta</v>
      </c>
      <c r="C39" s="599"/>
      <c r="D39" s="599"/>
      <c r="E39" s="599"/>
      <c r="F39" s="599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8" t="str">
        <f>+VLOOKUP($A40,Master!$D$30:$G$226,4,FALSE)</f>
        <v>Subvencije</v>
      </c>
      <c r="C40" s="599"/>
      <c r="D40" s="599"/>
      <c r="E40" s="599"/>
      <c r="F40" s="599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8" t="str">
        <f>+VLOOKUP($A41,Master!$D$30:$G$226,4,FALSE)</f>
        <v>Ostali izdaci</v>
      </c>
      <c r="C41" s="599"/>
      <c r="D41" s="599"/>
      <c r="E41" s="599"/>
      <c r="F41" s="599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8" t="e">
        <f>+VLOOKUP($A42,Master!$D$30:$G$226,4,FALSE)</f>
        <v>#N/A</v>
      </c>
      <c r="C42" s="599"/>
      <c r="D42" s="599"/>
      <c r="E42" s="599"/>
      <c r="F42" s="599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4" t="str">
        <f>+VLOOKUP($A43,Master!$D$30:$G$226,4,FALSE)</f>
        <v>Transferi za socijalnu zaštitu</v>
      </c>
      <c r="C43" s="595"/>
      <c r="D43" s="595"/>
      <c r="E43" s="595"/>
      <c r="F43" s="595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8" t="str">
        <f>+VLOOKUP($A44,Master!$D$30:$G$226,4,FALSE)</f>
        <v>Prava iz oblasti socijalne zaštite</v>
      </c>
      <c r="C44" s="599"/>
      <c r="D44" s="599"/>
      <c r="E44" s="599"/>
      <c r="F44" s="599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8" t="str">
        <f>+VLOOKUP($A45,Master!$D$30:$G$226,4,FALSE)</f>
        <v>Sredstva za tehnološke viškove</v>
      </c>
      <c r="C45" s="599"/>
      <c r="D45" s="599"/>
      <c r="E45" s="599"/>
      <c r="F45" s="599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8" t="str">
        <f>+VLOOKUP($A46,Master!$D$30:$G$226,4,FALSE)</f>
        <v>Prava iz oblasti penzijskog i invalidskog osiguranja</v>
      </c>
      <c r="C46" s="599"/>
      <c r="D46" s="599"/>
      <c r="E46" s="599"/>
      <c r="F46" s="599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8" t="str">
        <f>+VLOOKUP($A47,Master!$D$30:$G$226,4,FALSE)</f>
        <v>Ostala prava iz oblasti zdravstvene zaštite</v>
      </c>
      <c r="C47" s="599"/>
      <c r="D47" s="599"/>
      <c r="E47" s="599"/>
      <c r="F47" s="599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8" t="str">
        <f>+VLOOKUP($A48,Master!$D$30:$G$226,4,FALSE)</f>
        <v>Ostala prava iz zdravstvenog osiguranja</v>
      </c>
      <c r="C48" s="599"/>
      <c r="D48" s="599"/>
      <c r="E48" s="599"/>
      <c r="F48" s="599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6" t="str">
        <f>+VLOOKUP($A49,Master!$D$30:$G$226,4,FALSE)</f>
        <v xml:space="preserve">Transferi institucijama, pojedincima, nevladinom i javnom sektoru </v>
      </c>
      <c r="C49" s="597"/>
      <c r="D49" s="597"/>
      <c r="E49" s="597"/>
      <c r="F49" s="597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6" t="str">
        <f>+VLOOKUP($A50,Master!$D$30:$G$226,4,FALSE)</f>
        <v>Kapitalni izdaci</v>
      </c>
      <c r="C50" s="597"/>
      <c r="D50" s="597"/>
      <c r="E50" s="597"/>
      <c r="F50" s="597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6" t="str">
        <f>+VLOOKUP($A51,Master!$D$30:$G$226,4,FALSE)</f>
        <v>Pozajmice i krediti</v>
      </c>
      <c r="C51" s="567"/>
      <c r="D51" s="567"/>
      <c r="E51" s="567"/>
      <c r="F51" s="567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6" t="str">
        <f>+VLOOKUP($A52,Master!$D$30:$G$226,4,FALSE)</f>
        <v>Rezerve</v>
      </c>
      <c r="C52" s="567"/>
      <c r="D52" s="567"/>
      <c r="E52" s="567"/>
      <c r="F52" s="567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4" t="str">
        <f>+VLOOKUP($A53,Master!$D$30:$G$226,4,FALSE)</f>
        <v>Otplata garancija</v>
      </c>
      <c r="C53" s="585"/>
      <c r="D53" s="585"/>
      <c r="E53" s="585"/>
      <c r="F53" s="585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4" t="str">
        <f>+VLOOKUP($A54,Master!$D$30:$G$226,4,FALSE)</f>
        <v>Otplata obaveza iz prethodnog perioda</v>
      </c>
      <c r="C54" s="585"/>
      <c r="D54" s="585"/>
      <c r="E54" s="585"/>
      <c r="F54" s="585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4" t="str">
        <f>+VLOOKUP($A55,Master!$D$30:$G$228,4,FALSE)</f>
        <v>Neto povećanje obaveza</v>
      </c>
      <c r="C55" s="585"/>
      <c r="D55" s="585"/>
      <c r="E55" s="585"/>
      <c r="F55" s="585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90" t="str">
        <f>+VLOOKUP($A56,Master!$D$30:$G$226,4,FALSE)</f>
        <v>Suficit / deficit</v>
      </c>
      <c r="C56" s="591"/>
      <c r="D56" s="591"/>
      <c r="E56" s="591"/>
      <c r="F56" s="591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2" t="str">
        <f>+VLOOKUP($A57,Master!$D$30:$G$226,4,FALSE)</f>
        <v>Primarni suficit/deficit</v>
      </c>
      <c r="C57" s="593"/>
      <c r="D57" s="593"/>
      <c r="E57" s="593"/>
      <c r="F57" s="593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4" t="str">
        <f>+VLOOKUP($A58,Master!$D$30:$G$226,4,FALSE)</f>
        <v>Otplata dugova</v>
      </c>
      <c r="C58" s="595"/>
      <c r="D58" s="595"/>
      <c r="E58" s="595"/>
      <c r="F58" s="595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2" t="str">
        <f>+VLOOKUP($A59,Master!$D$30:$G$226,4,FALSE)</f>
        <v>Otplata hartija od vrijednosti i kredita rezidentima</v>
      </c>
      <c r="C59" s="583"/>
      <c r="D59" s="583"/>
      <c r="E59" s="583"/>
      <c r="F59" s="583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6" t="str">
        <f>+VLOOKUP($A60,Master!$D$30:$G$226,4,FALSE)</f>
        <v>Otplata hartija od vrijednosti i kredita nerezidentima</v>
      </c>
      <c r="C60" s="567"/>
      <c r="D60" s="567"/>
      <c r="E60" s="567"/>
      <c r="F60" s="567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6" t="str">
        <f>+VLOOKUP($A62,Master!$D$30:$G$226,4,FALSE)</f>
        <v>Nedostajuća sredstva</v>
      </c>
      <c r="C62" s="587"/>
      <c r="D62" s="587"/>
      <c r="E62" s="587"/>
      <c r="F62" s="587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8" t="str">
        <f>+VLOOKUP($A63,Master!$D$30:$G$226,4,FALSE)</f>
        <v>Finansiranje</v>
      </c>
      <c r="C63" s="589"/>
      <c r="D63" s="589"/>
      <c r="E63" s="589"/>
      <c r="F63" s="589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2" t="str">
        <f>+VLOOKUP($A64,Master!$D$30:$G$226,4,FALSE)</f>
        <v>Pozajmice i krediti od domaćih izvora</v>
      </c>
      <c r="C64" s="583"/>
      <c r="D64" s="583"/>
      <c r="E64" s="583"/>
      <c r="F64" s="583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6" t="str">
        <f>+VLOOKUP($A65,Master!$D$30:$G$226,4,FALSE)</f>
        <v>Pozajmice i krediti od inostranih izvora</v>
      </c>
      <c r="C65" s="567"/>
      <c r="D65" s="567"/>
      <c r="E65" s="567"/>
      <c r="F65" s="567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6" t="str">
        <f>+VLOOKUP($A66,Master!$D$30:$G$226,4,FALSE)</f>
        <v>Primici od prodaje imovine</v>
      </c>
      <c r="C66" s="567"/>
      <c r="D66" s="567"/>
      <c r="E66" s="567"/>
      <c r="F66" s="567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8" t="s">
        <v>553</v>
      </c>
      <c r="C7" s="569"/>
      <c r="D7" s="569"/>
      <c r="E7" s="569"/>
      <c r="F7" s="569"/>
      <c r="G7" s="577">
        <v>2019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">
        <v>419</v>
      </c>
      <c r="T7" s="221">
        <v>4951000000</v>
      </c>
    </row>
    <row r="8" spans="1:20" ht="16.5" customHeight="1">
      <c r="A8" s="129"/>
      <c r="B8" s="570"/>
      <c r="C8" s="571"/>
      <c r="D8" s="571"/>
      <c r="E8" s="571"/>
      <c r="F8" s="57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7" t="s">
        <v>806</v>
      </c>
      <c r="T8" s="581"/>
    </row>
    <row r="9" spans="1:20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8" t="s">
        <v>680</v>
      </c>
      <c r="C10" s="589"/>
      <c r="D10" s="589"/>
      <c r="E10" s="589"/>
      <c r="F10" s="589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2" t="s">
        <v>21</v>
      </c>
      <c r="C11" s="613"/>
      <c r="D11" s="613"/>
      <c r="E11" s="613"/>
      <c r="F11" s="613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8" t="s">
        <v>23</v>
      </c>
      <c r="C12" s="599"/>
      <c r="D12" s="599"/>
      <c r="E12" s="599"/>
      <c r="F12" s="599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8" t="s">
        <v>25</v>
      </c>
      <c r="C13" s="599"/>
      <c r="D13" s="599"/>
      <c r="E13" s="599"/>
      <c r="F13" s="599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8" t="s">
        <v>27</v>
      </c>
      <c r="C14" s="599"/>
      <c r="D14" s="599"/>
      <c r="E14" s="599"/>
      <c r="F14" s="599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8" t="s">
        <v>29</v>
      </c>
      <c r="C15" s="599"/>
      <c r="D15" s="599"/>
      <c r="E15" s="599"/>
      <c r="F15" s="599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8" t="s">
        <v>31</v>
      </c>
      <c r="C16" s="599"/>
      <c r="D16" s="599"/>
      <c r="E16" s="599"/>
      <c r="F16" s="599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8" t="s">
        <v>33</v>
      </c>
      <c r="C17" s="599"/>
      <c r="D17" s="599"/>
      <c r="E17" s="599"/>
      <c r="F17" s="599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8" t="s">
        <v>721</v>
      </c>
      <c r="C18" s="599"/>
      <c r="D18" s="599"/>
      <c r="E18" s="599"/>
      <c r="F18" s="599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8" t="s">
        <v>37</v>
      </c>
      <c r="C19" s="609"/>
      <c r="D19" s="609"/>
      <c r="E19" s="609"/>
      <c r="F19" s="609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8" t="s">
        <v>39</v>
      </c>
      <c r="C20" s="599"/>
      <c r="D20" s="599"/>
      <c r="E20" s="599"/>
      <c r="F20" s="599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8" t="s">
        <v>41</v>
      </c>
      <c r="C21" s="599"/>
      <c r="D21" s="599"/>
      <c r="E21" s="599"/>
      <c r="F21" s="599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8" t="s">
        <v>43</v>
      </c>
      <c r="C22" s="599"/>
      <c r="D22" s="599"/>
      <c r="E22" s="599"/>
      <c r="F22" s="599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8" t="s">
        <v>45</v>
      </c>
      <c r="C23" s="599"/>
      <c r="D23" s="599"/>
      <c r="E23" s="599"/>
      <c r="F23" s="599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600" t="s">
        <v>47</v>
      </c>
      <c r="C24" s="601"/>
      <c r="D24" s="601"/>
      <c r="E24" s="601"/>
      <c r="F24" s="601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600" t="s">
        <v>61</v>
      </c>
      <c r="C25" s="601"/>
      <c r="D25" s="601"/>
      <c r="E25" s="601"/>
      <c r="F25" s="601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600" t="s">
        <v>81</v>
      </c>
      <c r="C26" s="601"/>
      <c r="D26" s="601"/>
      <c r="E26" s="601"/>
      <c r="F26" s="601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600" t="s">
        <v>99</v>
      </c>
      <c r="C27" s="601"/>
      <c r="D27" s="601"/>
      <c r="E27" s="601"/>
      <c r="F27" s="601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2" t="s">
        <v>105</v>
      </c>
      <c r="C28" s="603"/>
      <c r="D28" s="603"/>
      <c r="E28" s="603"/>
      <c r="F28" s="603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8" t="s">
        <v>801</v>
      </c>
      <c r="C29" s="589"/>
      <c r="D29" s="589"/>
      <c r="E29" s="589"/>
      <c r="F29" s="589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4" t="s">
        <v>120</v>
      </c>
      <c r="C30" s="605"/>
      <c r="D30" s="605"/>
      <c r="E30" s="605"/>
      <c r="F30" s="605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8" t="s">
        <v>122</v>
      </c>
      <c r="C31" s="599"/>
      <c r="D31" s="599"/>
      <c r="E31" s="599"/>
      <c r="F31" s="599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8" t="s">
        <v>133</v>
      </c>
      <c r="C32" s="599"/>
      <c r="D32" s="599"/>
      <c r="E32" s="599"/>
      <c r="F32" s="599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8" t="s">
        <v>148</v>
      </c>
      <c r="C33" s="599"/>
      <c r="D33" s="599"/>
      <c r="E33" s="599"/>
      <c r="F33" s="599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8" t="s">
        <v>162</v>
      </c>
      <c r="C34" s="599"/>
      <c r="D34" s="599"/>
      <c r="E34" s="599"/>
      <c r="F34" s="599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6" t="s">
        <v>182</v>
      </c>
      <c r="C35" s="617"/>
      <c r="D35" s="617"/>
      <c r="E35" s="617"/>
      <c r="F35" s="617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8" t="s">
        <v>190</v>
      </c>
      <c r="C36" s="599"/>
      <c r="D36" s="599"/>
      <c r="E36" s="599"/>
      <c r="F36" s="599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8" t="s">
        <v>196</v>
      </c>
      <c r="C37" s="599"/>
      <c r="D37" s="599"/>
      <c r="E37" s="599"/>
      <c r="F37" s="599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8" t="s">
        <v>204</v>
      </c>
      <c r="C38" s="599"/>
      <c r="D38" s="599"/>
      <c r="E38" s="599"/>
      <c r="F38" s="599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8" t="s">
        <v>212</v>
      </c>
      <c r="C39" s="599"/>
      <c r="D39" s="599"/>
      <c r="E39" s="599"/>
      <c r="F39" s="599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4" t="s">
        <v>230</v>
      </c>
      <c r="C40" s="595"/>
      <c r="D40" s="595"/>
      <c r="E40" s="595"/>
      <c r="F40" s="595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8" t="s">
        <v>232</v>
      </c>
      <c r="C41" s="599"/>
      <c r="D41" s="599"/>
      <c r="E41" s="599"/>
      <c r="F41" s="599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8" t="s">
        <v>248</v>
      </c>
      <c r="C42" s="599"/>
      <c r="D42" s="599"/>
      <c r="E42" s="599"/>
      <c r="F42" s="599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8" t="s">
        <v>259</v>
      </c>
      <c r="C43" s="599"/>
      <c r="D43" s="599"/>
      <c r="E43" s="599"/>
      <c r="F43" s="599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8" t="s">
        <v>274</v>
      </c>
      <c r="C44" s="599"/>
      <c r="D44" s="599"/>
      <c r="E44" s="599"/>
      <c r="F44" s="599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8" t="s">
        <v>278</v>
      </c>
      <c r="C45" s="599"/>
      <c r="D45" s="599"/>
      <c r="E45" s="599"/>
      <c r="F45" s="599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6" t="s">
        <v>286</v>
      </c>
      <c r="C46" s="597"/>
      <c r="D46" s="597"/>
      <c r="E46" s="597"/>
      <c r="F46" s="597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6" t="s">
        <v>320</v>
      </c>
      <c r="C47" s="597"/>
      <c r="D47" s="597"/>
      <c r="E47" s="597"/>
      <c r="F47" s="597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20" t="s">
        <v>113</v>
      </c>
      <c r="C48" s="621"/>
      <c r="D48" s="621"/>
      <c r="E48" s="621"/>
      <c r="F48" s="621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5" t="s">
        <v>366</v>
      </c>
      <c r="C49" s="626"/>
      <c r="D49" s="626"/>
      <c r="E49" s="626"/>
      <c r="F49" s="626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4" t="s">
        <v>359</v>
      </c>
      <c r="C50" s="585"/>
      <c r="D50" s="585"/>
      <c r="E50" s="585"/>
      <c r="F50" s="585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7" t="s">
        <v>794</v>
      </c>
      <c r="C51" s="628"/>
      <c r="D51" s="628"/>
      <c r="E51" s="628"/>
      <c r="F51" s="628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9" t="s">
        <v>684</v>
      </c>
      <c r="C52" s="630"/>
      <c r="D52" s="630"/>
      <c r="E52" s="630"/>
      <c r="F52" s="630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90" t="s">
        <v>545</v>
      </c>
      <c r="C53" s="591"/>
      <c r="D53" s="591"/>
      <c r="E53" s="591"/>
      <c r="F53" s="591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2" t="s">
        <v>792</v>
      </c>
      <c r="C54" s="593"/>
      <c r="D54" s="593"/>
      <c r="E54" s="593"/>
      <c r="F54" s="593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4" t="s">
        <v>352</v>
      </c>
      <c r="C55" s="615"/>
      <c r="D55" s="615"/>
      <c r="E55" s="615"/>
      <c r="F55" s="615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2" t="s">
        <v>355</v>
      </c>
      <c r="C56" s="583"/>
      <c r="D56" s="583"/>
      <c r="E56" s="583"/>
      <c r="F56" s="583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6" t="s">
        <v>357</v>
      </c>
      <c r="C57" s="567"/>
      <c r="D57" s="567"/>
      <c r="E57" s="567"/>
      <c r="F57" s="567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9" t="s">
        <v>336</v>
      </c>
      <c r="C58" s="670"/>
      <c r="D58" s="670"/>
      <c r="E58" s="670"/>
      <c r="F58" s="670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6" t="s">
        <v>543</v>
      </c>
      <c r="C59" s="587"/>
      <c r="D59" s="587"/>
      <c r="E59" s="587"/>
      <c r="F59" s="587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8" t="s">
        <v>544</v>
      </c>
      <c r="C60" s="589"/>
      <c r="D60" s="589"/>
      <c r="E60" s="589"/>
      <c r="F60" s="589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2" t="s">
        <v>114</v>
      </c>
      <c r="C61" s="583"/>
      <c r="D61" s="583"/>
      <c r="E61" s="583"/>
      <c r="F61" s="583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6" t="s">
        <v>116</v>
      </c>
      <c r="C62" s="567"/>
      <c r="D62" s="567"/>
      <c r="E62" s="567"/>
      <c r="F62" s="567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6" t="s">
        <v>93</v>
      </c>
      <c r="C63" s="567"/>
      <c r="D63" s="567"/>
      <c r="E63" s="567"/>
      <c r="F63" s="567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7" t="s">
        <v>551</v>
      </c>
      <c r="C100" s="638"/>
      <c r="D100" s="638"/>
      <c r="E100" s="638"/>
      <c r="F100" s="638"/>
      <c r="G100" s="622">
        <v>2019</v>
      </c>
      <c r="H100" s="623"/>
      <c r="I100" s="623"/>
      <c r="J100" s="623"/>
      <c r="K100" s="623"/>
      <c r="L100" s="623"/>
      <c r="M100" s="623"/>
      <c r="N100" s="623"/>
      <c r="O100" s="623"/>
      <c r="P100" s="623"/>
      <c r="Q100" s="623"/>
      <c r="R100" s="624"/>
      <c r="S100" s="96" t="str">
        <f>+S7</f>
        <v>BDP</v>
      </c>
      <c r="T100" s="97">
        <f>+T7</f>
        <v>4951000000</v>
      </c>
    </row>
    <row r="101" spans="1:21" ht="15.75" customHeight="1">
      <c r="B101" s="639"/>
      <c r="C101" s="640"/>
      <c r="D101" s="640"/>
      <c r="E101" s="640"/>
      <c r="F101" s="641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2" t="s">
        <v>806</v>
      </c>
      <c r="T101" s="624">
        <f>+T8</f>
        <v>0</v>
      </c>
    </row>
    <row r="102" spans="1:21" ht="13.5" thickBot="1">
      <c r="B102" s="642"/>
      <c r="C102" s="643"/>
      <c r="D102" s="643"/>
      <c r="E102" s="643"/>
      <c r="F102" s="644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7" t="s">
        <v>680</v>
      </c>
      <c r="C103" s="668"/>
      <c r="D103" s="668"/>
      <c r="E103" s="668"/>
      <c r="F103" s="668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3" t="s">
        <v>21</v>
      </c>
      <c r="C104" s="634"/>
      <c r="D104" s="634"/>
      <c r="E104" s="634"/>
      <c r="F104" s="634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5" t="s">
        <v>23</v>
      </c>
      <c r="C105" s="636"/>
      <c r="D105" s="636"/>
      <c r="E105" s="636"/>
      <c r="F105" s="636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5" t="s">
        <v>25</v>
      </c>
      <c r="C106" s="636"/>
      <c r="D106" s="636"/>
      <c r="E106" s="636"/>
      <c r="F106" s="636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5" t="s">
        <v>27</v>
      </c>
      <c r="C107" s="636"/>
      <c r="D107" s="636"/>
      <c r="E107" s="636"/>
      <c r="F107" s="636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5" t="s">
        <v>29</v>
      </c>
      <c r="C108" s="636"/>
      <c r="D108" s="636"/>
      <c r="E108" s="636"/>
      <c r="F108" s="636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5" t="s">
        <v>31</v>
      </c>
      <c r="C109" s="636"/>
      <c r="D109" s="636"/>
      <c r="E109" s="636"/>
      <c r="F109" s="636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5" t="s">
        <v>33</v>
      </c>
      <c r="C110" s="636"/>
      <c r="D110" s="636"/>
      <c r="E110" s="636"/>
      <c r="F110" s="636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5" t="s">
        <v>721</v>
      </c>
      <c r="C111" s="636"/>
      <c r="D111" s="636"/>
      <c r="E111" s="636"/>
      <c r="F111" s="636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5" t="s">
        <v>37</v>
      </c>
      <c r="C112" s="666"/>
      <c r="D112" s="666"/>
      <c r="E112" s="666"/>
      <c r="F112" s="666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5" t="s">
        <v>39</v>
      </c>
      <c r="C113" s="636"/>
      <c r="D113" s="636"/>
      <c r="E113" s="636"/>
      <c r="F113" s="636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5" t="s">
        <v>41</v>
      </c>
      <c r="C114" s="636"/>
      <c r="D114" s="636"/>
      <c r="E114" s="636"/>
      <c r="F114" s="636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5" t="s">
        <v>43</v>
      </c>
      <c r="C115" s="636"/>
      <c r="D115" s="636"/>
      <c r="E115" s="636"/>
      <c r="F115" s="636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5" t="s">
        <v>45</v>
      </c>
      <c r="C116" s="636"/>
      <c r="D116" s="636"/>
      <c r="E116" s="636"/>
      <c r="F116" s="636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5" t="s">
        <v>47</v>
      </c>
      <c r="C117" s="646"/>
      <c r="D117" s="646"/>
      <c r="E117" s="646"/>
      <c r="F117" s="646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5" t="s">
        <v>61</v>
      </c>
      <c r="C118" s="646"/>
      <c r="D118" s="646"/>
      <c r="E118" s="646"/>
      <c r="F118" s="646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5" t="s">
        <v>81</v>
      </c>
      <c r="C119" s="646"/>
      <c r="D119" s="646"/>
      <c r="E119" s="646"/>
      <c r="F119" s="646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5" t="s">
        <v>99</v>
      </c>
      <c r="C120" s="646"/>
      <c r="D120" s="646"/>
      <c r="E120" s="646"/>
      <c r="F120" s="646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7" t="s">
        <v>105</v>
      </c>
      <c r="C121" s="648"/>
      <c r="D121" s="648"/>
      <c r="E121" s="648"/>
      <c r="F121" s="648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31" t="s">
        <v>808</v>
      </c>
      <c r="C122" s="632"/>
      <c r="D122" s="632"/>
      <c r="E122" s="632"/>
      <c r="F122" s="632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3" t="s">
        <v>773</v>
      </c>
      <c r="C123" s="674"/>
      <c r="D123" s="674"/>
      <c r="E123" s="674"/>
      <c r="F123" s="674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9" t="e">
        <v>#REF!</v>
      </c>
      <c r="C124" s="650"/>
      <c r="D124" s="650"/>
      <c r="E124" s="650"/>
      <c r="F124" s="650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5" t="s">
        <v>122</v>
      </c>
      <c r="C125" s="636"/>
      <c r="D125" s="636"/>
      <c r="E125" s="636"/>
      <c r="F125" s="636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5" t="s">
        <v>133</v>
      </c>
      <c r="C126" s="636"/>
      <c r="D126" s="636"/>
      <c r="E126" s="636"/>
      <c r="F126" s="636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5" t="s">
        <v>148</v>
      </c>
      <c r="C127" s="636"/>
      <c r="D127" s="636"/>
      <c r="E127" s="636"/>
      <c r="F127" s="636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5" t="s">
        <v>162</v>
      </c>
      <c r="C128" s="636"/>
      <c r="D128" s="636"/>
      <c r="E128" s="636"/>
      <c r="F128" s="636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5" t="s">
        <v>182</v>
      </c>
      <c r="C129" s="636"/>
      <c r="D129" s="636"/>
      <c r="E129" s="636"/>
      <c r="F129" s="636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5" t="s">
        <v>190</v>
      </c>
      <c r="C130" s="636"/>
      <c r="D130" s="636"/>
      <c r="E130" s="636"/>
      <c r="F130" s="636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5" t="s">
        <v>196</v>
      </c>
      <c r="C131" s="636"/>
      <c r="D131" s="636"/>
      <c r="E131" s="636"/>
      <c r="F131" s="636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5" t="s">
        <v>204</v>
      </c>
      <c r="C132" s="636"/>
      <c r="D132" s="636"/>
      <c r="E132" s="636"/>
      <c r="F132" s="636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5" t="s">
        <v>212</v>
      </c>
      <c r="C133" s="636"/>
      <c r="D133" s="636"/>
      <c r="E133" s="636"/>
      <c r="F133" s="636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5" t="e">
        <v>#REF!</v>
      </c>
      <c r="C134" s="636"/>
      <c r="D134" s="636"/>
      <c r="E134" s="636"/>
      <c r="F134" s="636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5" t="s">
        <v>230</v>
      </c>
      <c r="C135" s="656"/>
      <c r="D135" s="656"/>
      <c r="E135" s="656"/>
      <c r="F135" s="656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5" t="s">
        <v>232</v>
      </c>
      <c r="C136" s="636"/>
      <c r="D136" s="636"/>
      <c r="E136" s="636"/>
      <c r="F136" s="636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5" t="s">
        <v>248</v>
      </c>
      <c r="C137" s="636"/>
      <c r="D137" s="636"/>
      <c r="E137" s="636"/>
      <c r="F137" s="636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5" t="s">
        <v>259</v>
      </c>
      <c r="C138" s="636"/>
      <c r="D138" s="636"/>
      <c r="E138" s="636"/>
      <c r="F138" s="636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5" t="s">
        <v>274</v>
      </c>
      <c r="C139" s="636"/>
      <c r="D139" s="636"/>
      <c r="E139" s="636"/>
      <c r="F139" s="636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5" t="s">
        <v>278</v>
      </c>
      <c r="C140" s="636"/>
      <c r="D140" s="636"/>
      <c r="E140" s="636"/>
      <c r="F140" s="636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51" t="s">
        <v>286</v>
      </c>
      <c r="C141" s="652"/>
      <c r="D141" s="652"/>
      <c r="E141" s="652"/>
      <c r="F141" s="652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51" t="s">
        <v>809</v>
      </c>
      <c r="C142" s="652"/>
      <c r="D142" s="652"/>
      <c r="E142" s="652"/>
      <c r="F142" s="652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3" t="s">
        <v>113</v>
      </c>
      <c r="C143" s="654"/>
      <c r="D143" s="654"/>
      <c r="E143" s="654"/>
      <c r="F143" s="654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3" t="s">
        <v>366</v>
      </c>
      <c r="C144" s="654"/>
      <c r="D144" s="654"/>
      <c r="E144" s="654"/>
      <c r="F144" s="654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3" t="s">
        <v>359</v>
      </c>
      <c r="C145" s="654"/>
      <c r="D145" s="654"/>
      <c r="E145" s="654"/>
      <c r="F145" s="654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3" t="s">
        <v>365</v>
      </c>
      <c r="C146" s="654"/>
      <c r="D146" s="654"/>
      <c r="E146" s="654"/>
      <c r="F146" s="654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1" t="s">
        <v>685</v>
      </c>
      <c r="C147" s="672"/>
      <c r="D147" s="672"/>
      <c r="E147" s="672"/>
      <c r="F147" s="672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61" t="s">
        <v>545</v>
      </c>
      <c r="C148" s="662"/>
      <c r="D148" s="662"/>
      <c r="E148" s="662"/>
      <c r="F148" s="662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3" t="s">
        <v>810</v>
      </c>
      <c r="C149" s="664"/>
      <c r="D149" s="664"/>
      <c r="E149" s="664"/>
      <c r="F149" s="664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5" t="s">
        <v>352</v>
      </c>
      <c r="C150" s="656"/>
      <c r="D150" s="656"/>
      <c r="E150" s="656"/>
      <c r="F150" s="656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9" t="s">
        <v>355</v>
      </c>
      <c r="C151" s="660"/>
      <c r="D151" s="660"/>
      <c r="E151" s="660"/>
      <c r="F151" s="660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3" t="s">
        <v>357</v>
      </c>
      <c r="C152" s="654"/>
      <c r="D152" s="654"/>
      <c r="E152" s="654"/>
      <c r="F152" s="654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9" t="s">
        <v>336</v>
      </c>
      <c r="C153" s="670"/>
      <c r="D153" s="670"/>
      <c r="E153" s="670"/>
      <c r="F153" s="670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7" t="s">
        <v>543</v>
      </c>
      <c r="C154" s="658"/>
      <c r="D154" s="658"/>
      <c r="E154" s="658"/>
      <c r="F154" s="658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31" t="s">
        <v>544</v>
      </c>
      <c r="C155" s="632"/>
      <c r="D155" s="632"/>
      <c r="E155" s="632"/>
      <c r="F155" s="632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9" t="s">
        <v>114</v>
      </c>
      <c r="C156" s="660"/>
      <c r="D156" s="660"/>
      <c r="E156" s="660"/>
      <c r="F156" s="660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3" t="s">
        <v>116</v>
      </c>
      <c r="C157" s="654"/>
      <c r="D157" s="654"/>
      <c r="E157" s="654"/>
      <c r="F157" s="654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3" t="s">
        <v>93</v>
      </c>
      <c r="C158" s="654"/>
      <c r="D158" s="654"/>
      <c r="E158" s="654"/>
      <c r="F158" s="654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8" t="s">
        <v>553</v>
      </c>
      <c r="C7" s="569"/>
      <c r="D7" s="569"/>
      <c r="E7" s="569"/>
      <c r="F7" s="569"/>
      <c r="G7" s="577">
        <v>2018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">
        <v>419</v>
      </c>
      <c r="T7" s="221">
        <v>4663130000</v>
      </c>
    </row>
    <row r="8" spans="1:20" ht="16.5" customHeight="1">
      <c r="A8" s="129"/>
      <c r="B8" s="570"/>
      <c r="C8" s="571"/>
      <c r="D8" s="571"/>
      <c r="E8" s="571"/>
      <c r="F8" s="57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7" t="s">
        <v>806</v>
      </c>
      <c r="T8" s="581"/>
    </row>
    <row r="9" spans="1:20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10" t="s">
        <v>680</v>
      </c>
      <c r="C10" s="611"/>
      <c r="D10" s="611"/>
      <c r="E10" s="611"/>
      <c r="F10" s="611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2" t="s">
        <v>21</v>
      </c>
      <c r="C11" s="613"/>
      <c r="D11" s="613"/>
      <c r="E11" s="613"/>
      <c r="F11" s="613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8" t="s">
        <v>23</v>
      </c>
      <c r="C12" s="599"/>
      <c r="D12" s="599"/>
      <c r="E12" s="599"/>
      <c r="F12" s="599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8" t="s">
        <v>25</v>
      </c>
      <c r="C13" s="599"/>
      <c r="D13" s="599"/>
      <c r="E13" s="599"/>
      <c r="F13" s="599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8" t="s">
        <v>27</v>
      </c>
      <c r="C14" s="599"/>
      <c r="D14" s="599"/>
      <c r="E14" s="599"/>
      <c r="F14" s="599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8" t="s">
        <v>29</v>
      </c>
      <c r="C15" s="599"/>
      <c r="D15" s="599"/>
      <c r="E15" s="599"/>
      <c r="F15" s="599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8" t="s">
        <v>31</v>
      </c>
      <c r="C16" s="599"/>
      <c r="D16" s="599"/>
      <c r="E16" s="599"/>
      <c r="F16" s="599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8" t="s">
        <v>33</v>
      </c>
      <c r="C17" s="599"/>
      <c r="D17" s="599"/>
      <c r="E17" s="599"/>
      <c r="F17" s="599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8" t="s">
        <v>721</v>
      </c>
      <c r="C18" s="599"/>
      <c r="D18" s="599"/>
      <c r="E18" s="599"/>
      <c r="F18" s="599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8" t="s">
        <v>37</v>
      </c>
      <c r="C19" s="609"/>
      <c r="D19" s="609"/>
      <c r="E19" s="609"/>
      <c r="F19" s="609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8" t="s">
        <v>39</v>
      </c>
      <c r="C20" s="599"/>
      <c r="D20" s="599"/>
      <c r="E20" s="599"/>
      <c r="F20" s="599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8" t="s">
        <v>41</v>
      </c>
      <c r="C21" s="599"/>
      <c r="D21" s="599"/>
      <c r="E21" s="599"/>
      <c r="F21" s="599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8" t="s">
        <v>43</v>
      </c>
      <c r="C22" s="599"/>
      <c r="D22" s="599"/>
      <c r="E22" s="599"/>
      <c r="F22" s="599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8" t="s">
        <v>45</v>
      </c>
      <c r="C23" s="599"/>
      <c r="D23" s="599"/>
      <c r="E23" s="599"/>
      <c r="F23" s="599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600" t="s">
        <v>47</v>
      </c>
      <c r="C24" s="601"/>
      <c r="D24" s="601"/>
      <c r="E24" s="601"/>
      <c r="F24" s="601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600" t="s">
        <v>61</v>
      </c>
      <c r="C25" s="601"/>
      <c r="D25" s="601"/>
      <c r="E25" s="601"/>
      <c r="F25" s="601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600" t="s">
        <v>81</v>
      </c>
      <c r="C26" s="601"/>
      <c r="D26" s="601"/>
      <c r="E26" s="601"/>
      <c r="F26" s="601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600" t="s">
        <v>99</v>
      </c>
      <c r="C27" s="601"/>
      <c r="D27" s="601"/>
      <c r="E27" s="601"/>
      <c r="F27" s="601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2" t="s">
        <v>105</v>
      </c>
      <c r="C28" s="603"/>
      <c r="D28" s="603"/>
      <c r="E28" s="603"/>
      <c r="F28" s="603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8" t="s">
        <v>801</v>
      </c>
      <c r="C29" s="589"/>
      <c r="D29" s="589"/>
      <c r="E29" s="589"/>
      <c r="F29" s="589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4" t="s">
        <v>773</v>
      </c>
      <c r="C30" s="605"/>
      <c r="D30" s="605"/>
      <c r="E30" s="605"/>
      <c r="F30" s="605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6" t="s">
        <v>120</v>
      </c>
      <c r="C31" s="607"/>
      <c r="D31" s="607"/>
      <c r="E31" s="607"/>
      <c r="F31" s="607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8" t="s">
        <v>122</v>
      </c>
      <c r="C32" s="599"/>
      <c r="D32" s="599"/>
      <c r="E32" s="599"/>
      <c r="F32" s="599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8" t="s">
        <v>133</v>
      </c>
      <c r="C33" s="599"/>
      <c r="D33" s="599"/>
      <c r="E33" s="599"/>
      <c r="F33" s="599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8" t="s">
        <v>148</v>
      </c>
      <c r="C34" s="599"/>
      <c r="D34" s="599"/>
      <c r="E34" s="599"/>
      <c r="F34" s="599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8" t="s">
        <v>162</v>
      </c>
      <c r="C35" s="599"/>
      <c r="D35" s="599"/>
      <c r="E35" s="599"/>
      <c r="F35" s="599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8" t="s">
        <v>182</v>
      </c>
      <c r="C36" s="599"/>
      <c r="D36" s="599"/>
      <c r="E36" s="599"/>
      <c r="F36" s="599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8" t="s">
        <v>190</v>
      </c>
      <c r="C37" s="599"/>
      <c r="D37" s="599"/>
      <c r="E37" s="599"/>
      <c r="F37" s="599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8" t="s">
        <v>196</v>
      </c>
      <c r="C38" s="599"/>
      <c r="D38" s="599"/>
      <c r="E38" s="599"/>
      <c r="F38" s="599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8" t="s">
        <v>204</v>
      </c>
      <c r="C39" s="599"/>
      <c r="D39" s="599"/>
      <c r="E39" s="599"/>
      <c r="F39" s="599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8" t="s">
        <v>212</v>
      </c>
      <c r="C40" s="599"/>
      <c r="D40" s="599"/>
      <c r="E40" s="599"/>
      <c r="F40" s="599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8" t="s">
        <v>802</v>
      </c>
      <c r="C41" s="599"/>
      <c r="D41" s="599"/>
      <c r="E41" s="599"/>
      <c r="F41" s="599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4" t="s">
        <v>230</v>
      </c>
      <c r="C42" s="595"/>
      <c r="D42" s="595"/>
      <c r="E42" s="595"/>
      <c r="F42" s="595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8" t="s">
        <v>232</v>
      </c>
      <c r="C43" s="599"/>
      <c r="D43" s="599"/>
      <c r="E43" s="599"/>
      <c r="F43" s="599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8" t="s">
        <v>248</v>
      </c>
      <c r="C44" s="599"/>
      <c r="D44" s="599"/>
      <c r="E44" s="599"/>
      <c r="F44" s="599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8" t="s">
        <v>259</v>
      </c>
      <c r="C45" s="599"/>
      <c r="D45" s="599"/>
      <c r="E45" s="599"/>
      <c r="F45" s="599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8" t="s">
        <v>274</v>
      </c>
      <c r="C46" s="599"/>
      <c r="D46" s="599"/>
      <c r="E46" s="599"/>
      <c r="F46" s="599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7" t="s">
        <v>278</v>
      </c>
      <c r="C47" s="678"/>
      <c r="D47" s="678"/>
      <c r="E47" s="678"/>
      <c r="F47" s="678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6" t="s">
        <v>286</v>
      </c>
      <c r="C48" s="597"/>
      <c r="D48" s="597"/>
      <c r="E48" s="597"/>
      <c r="F48" s="597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6" t="s">
        <v>320</v>
      </c>
      <c r="C49" s="597"/>
      <c r="D49" s="597"/>
      <c r="E49" s="597"/>
      <c r="F49" s="597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20" t="s">
        <v>113</v>
      </c>
      <c r="C50" s="621"/>
      <c r="D50" s="621"/>
      <c r="E50" s="621"/>
      <c r="F50" s="621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6" t="s">
        <v>366</v>
      </c>
      <c r="C51" s="567"/>
      <c r="D51" s="567"/>
      <c r="E51" s="567"/>
      <c r="F51" s="567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4" t="s">
        <v>359</v>
      </c>
      <c r="C52" s="585"/>
      <c r="D52" s="585"/>
      <c r="E52" s="585"/>
      <c r="F52" s="585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7" t="s">
        <v>794</v>
      </c>
      <c r="C53" s="628"/>
      <c r="D53" s="628"/>
      <c r="E53" s="628"/>
      <c r="F53" s="628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9" t="s">
        <v>684</v>
      </c>
      <c r="C54" s="630"/>
      <c r="D54" s="630"/>
      <c r="E54" s="630"/>
      <c r="F54" s="630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90" t="s">
        <v>545</v>
      </c>
      <c r="C55" s="591"/>
      <c r="D55" s="591"/>
      <c r="E55" s="591"/>
      <c r="F55" s="591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2" t="s">
        <v>793</v>
      </c>
      <c r="C57" s="593"/>
      <c r="D57" s="593"/>
      <c r="E57" s="593"/>
      <c r="F57" s="593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4" t="s">
        <v>352</v>
      </c>
      <c r="C58" s="615"/>
      <c r="D58" s="615"/>
      <c r="E58" s="615"/>
      <c r="F58" s="615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2" t="s">
        <v>355</v>
      </c>
      <c r="C59" s="583"/>
      <c r="D59" s="583"/>
      <c r="E59" s="583"/>
      <c r="F59" s="583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6" t="s">
        <v>357</v>
      </c>
      <c r="C60" s="567"/>
      <c r="D60" s="567"/>
      <c r="E60" s="567"/>
      <c r="F60" s="567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5" t="s">
        <v>336</v>
      </c>
      <c r="C61" s="676"/>
      <c r="D61" s="676"/>
      <c r="E61" s="676"/>
      <c r="F61" s="676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6" t="s">
        <v>543</v>
      </c>
      <c r="C62" s="587"/>
      <c r="D62" s="587"/>
      <c r="E62" s="587"/>
      <c r="F62" s="587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8" t="s">
        <v>544</v>
      </c>
      <c r="C63" s="589"/>
      <c r="D63" s="589"/>
      <c r="E63" s="589"/>
      <c r="F63" s="589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2" t="s">
        <v>114</v>
      </c>
      <c r="C64" s="583"/>
      <c r="D64" s="583"/>
      <c r="E64" s="583"/>
      <c r="F64" s="583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6" t="s">
        <v>116</v>
      </c>
      <c r="C65" s="567"/>
      <c r="D65" s="567"/>
      <c r="E65" s="567"/>
      <c r="F65" s="567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6" t="s">
        <v>93</v>
      </c>
      <c r="C66" s="567"/>
      <c r="D66" s="567"/>
      <c r="E66" s="567"/>
      <c r="F66" s="567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7" t="s">
        <v>551</v>
      </c>
      <c r="C103" s="638"/>
      <c r="D103" s="638"/>
      <c r="E103" s="638"/>
      <c r="F103" s="638"/>
      <c r="G103" s="622">
        <v>2018</v>
      </c>
      <c r="H103" s="623"/>
      <c r="I103" s="623"/>
      <c r="J103" s="623"/>
      <c r="K103" s="623"/>
      <c r="L103" s="623"/>
      <c r="M103" s="623"/>
      <c r="N103" s="623"/>
      <c r="O103" s="623"/>
      <c r="P103" s="623"/>
      <c r="Q103" s="623"/>
      <c r="R103" s="624"/>
      <c r="S103" s="96" t="str">
        <f>+S7</f>
        <v>BDP</v>
      </c>
      <c r="T103" s="97">
        <f>+T7</f>
        <v>4663130000</v>
      </c>
    </row>
    <row r="104" spans="1:21" ht="15.75" customHeight="1">
      <c r="B104" s="639"/>
      <c r="C104" s="640"/>
      <c r="D104" s="640"/>
      <c r="E104" s="640"/>
      <c r="F104" s="641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2" t="s">
        <v>806</v>
      </c>
      <c r="T104" s="624">
        <f>+T8</f>
        <v>0</v>
      </c>
    </row>
    <row r="105" spans="1:21" ht="13.5" thickBot="1">
      <c r="B105" s="642"/>
      <c r="C105" s="643"/>
      <c r="D105" s="643"/>
      <c r="E105" s="643"/>
      <c r="F105" s="644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7" t="s">
        <v>680</v>
      </c>
      <c r="C106" s="668"/>
      <c r="D106" s="668"/>
      <c r="E106" s="668"/>
      <c r="F106" s="668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3" t="s">
        <v>21</v>
      </c>
      <c r="C107" s="634"/>
      <c r="D107" s="634"/>
      <c r="E107" s="634"/>
      <c r="F107" s="634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5" t="s">
        <v>23</v>
      </c>
      <c r="C108" s="636"/>
      <c r="D108" s="636"/>
      <c r="E108" s="636"/>
      <c r="F108" s="636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5" t="s">
        <v>25</v>
      </c>
      <c r="C109" s="636"/>
      <c r="D109" s="636"/>
      <c r="E109" s="636"/>
      <c r="F109" s="636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5" t="s">
        <v>27</v>
      </c>
      <c r="C110" s="636"/>
      <c r="D110" s="636"/>
      <c r="E110" s="636"/>
      <c r="F110" s="636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5" t="s">
        <v>29</v>
      </c>
      <c r="C111" s="636"/>
      <c r="D111" s="636"/>
      <c r="E111" s="636"/>
      <c r="F111" s="636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5" t="s">
        <v>31</v>
      </c>
      <c r="C112" s="636"/>
      <c r="D112" s="636"/>
      <c r="E112" s="636"/>
      <c r="F112" s="636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5" t="s">
        <v>33</v>
      </c>
      <c r="C113" s="636"/>
      <c r="D113" s="636"/>
      <c r="E113" s="636"/>
      <c r="F113" s="636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5" t="s">
        <v>721</v>
      </c>
      <c r="C114" s="636"/>
      <c r="D114" s="636"/>
      <c r="E114" s="636"/>
      <c r="F114" s="636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5" t="s">
        <v>37</v>
      </c>
      <c r="C115" s="666"/>
      <c r="D115" s="666"/>
      <c r="E115" s="666"/>
      <c r="F115" s="666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5" t="s">
        <v>39</v>
      </c>
      <c r="C116" s="636"/>
      <c r="D116" s="636"/>
      <c r="E116" s="636"/>
      <c r="F116" s="636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5" t="s">
        <v>41</v>
      </c>
      <c r="C117" s="636"/>
      <c r="D117" s="636"/>
      <c r="E117" s="636"/>
      <c r="F117" s="636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5" t="s">
        <v>43</v>
      </c>
      <c r="C118" s="636"/>
      <c r="D118" s="636"/>
      <c r="E118" s="636"/>
      <c r="F118" s="636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5" t="s">
        <v>45</v>
      </c>
      <c r="C119" s="636"/>
      <c r="D119" s="636"/>
      <c r="E119" s="636"/>
      <c r="F119" s="636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5" t="s">
        <v>47</v>
      </c>
      <c r="C120" s="646"/>
      <c r="D120" s="646"/>
      <c r="E120" s="646"/>
      <c r="F120" s="646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5" t="s">
        <v>61</v>
      </c>
      <c r="C121" s="646"/>
      <c r="D121" s="646"/>
      <c r="E121" s="646"/>
      <c r="F121" s="646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5" t="s">
        <v>81</v>
      </c>
      <c r="C122" s="646"/>
      <c r="D122" s="646"/>
      <c r="E122" s="646"/>
      <c r="F122" s="646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5" t="s">
        <v>99</v>
      </c>
      <c r="C123" s="646"/>
      <c r="D123" s="646"/>
      <c r="E123" s="646"/>
      <c r="F123" s="646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7" t="s">
        <v>105</v>
      </c>
      <c r="C124" s="648"/>
      <c r="D124" s="648"/>
      <c r="E124" s="648"/>
      <c r="F124" s="648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31" t="s">
        <v>808</v>
      </c>
      <c r="C125" s="632"/>
      <c r="D125" s="632"/>
      <c r="E125" s="632"/>
      <c r="F125" s="632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3" t="s">
        <v>773</v>
      </c>
      <c r="C126" s="674"/>
      <c r="D126" s="674"/>
      <c r="E126" s="674"/>
      <c r="F126" s="674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9" t="s">
        <v>120</v>
      </c>
      <c r="C127" s="650"/>
      <c r="D127" s="650"/>
      <c r="E127" s="650"/>
      <c r="F127" s="650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5" t="s">
        <v>122</v>
      </c>
      <c r="C128" s="636"/>
      <c r="D128" s="636"/>
      <c r="E128" s="636"/>
      <c r="F128" s="636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5" t="s">
        <v>133</v>
      </c>
      <c r="C129" s="636"/>
      <c r="D129" s="636"/>
      <c r="E129" s="636"/>
      <c r="F129" s="636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5" t="s">
        <v>148</v>
      </c>
      <c r="C130" s="636"/>
      <c r="D130" s="636"/>
      <c r="E130" s="636"/>
      <c r="F130" s="636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5" t="s">
        <v>162</v>
      </c>
      <c r="C131" s="636"/>
      <c r="D131" s="636"/>
      <c r="E131" s="636"/>
      <c r="F131" s="636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5" t="s">
        <v>182</v>
      </c>
      <c r="C132" s="636"/>
      <c r="D132" s="636"/>
      <c r="E132" s="636"/>
      <c r="F132" s="636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5" t="s">
        <v>190</v>
      </c>
      <c r="C133" s="636"/>
      <c r="D133" s="636"/>
      <c r="E133" s="636"/>
      <c r="F133" s="636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5" t="s">
        <v>196</v>
      </c>
      <c r="C134" s="636"/>
      <c r="D134" s="636"/>
      <c r="E134" s="636"/>
      <c r="F134" s="636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5" t="s">
        <v>204</v>
      </c>
      <c r="C135" s="636"/>
      <c r="D135" s="636"/>
      <c r="E135" s="636"/>
      <c r="F135" s="636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5" t="s">
        <v>212</v>
      </c>
      <c r="C136" s="636"/>
      <c r="D136" s="636"/>
      <c r="E136" s="636"/>
      <c r="F136" s="636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5" t="s">
        <v>802</v>
      </c>
      <c r="C137" s="636"/>
      <c r="D137" s="636"/>
      <c r="E137" s="636"/>
      <c r="F137" s="636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5" t="s">
        <v>230</v>
      </c>
      <c r="C138" s="656"/>
      <c r="D138" s="656"/>
      <c r="E138" s="656"/>
      <c r="F138" s="656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5" t="s">
        <v>232</v>
      </c>
      <c r="C139" s="636"/>
      <c r="D139" s="636"/>
      <c r="E139" s="636"/>
      <c r="F139" s="636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5" t="s">
        <v>248</v>
      </c>
      <c r="C140" s="636"/>
      <c r="D140" s="636"/>
      <c r="E140" s="636"/>
      <c r="F140" s="636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5" t="s">
        <v>259</v>
      </c>
      <c r="C141" s="636"/>
      <c r="D141" s="636"/>
      <c r="E141" s="636"/>
      <c r="F141" s="636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5" t="s">
        <v>274</v>
      </c>
      <c r="C142" s="636"/>
      <c r="D142" s="636"/>
      <c r="E142" s="636"/>
      <c r="F142" s="636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5" t="s">
        <v>278</v>
      </c>
      <c r="C143" s="636"/>
      <c r="D143" s="636"/>
      <c r="E143" s="636"/>
      <c r="F143" s="636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51" t="s">
        <v>286</v>
      </c>
      <c r="C144" s="652"/>
      <c r="D144" s="652"/>
      <c r="E144" s="652"/>
      <c r="F144" s="652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51" t="s">
        <v>809</v>
      </c>
      <c r="C145" s="652"/>
      <c r="D145" s="652"/>
      <c r="E145" s="652"/>
      <c r="F145" s="652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3" t="s">
        <v>113</v>
      </c>
      <c r="C146" s="654"/>
      <c r="D146" s="654"/>
      <c r="E146" s="654"/>
      <c r="F146" s="654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3" t="s">
        <v>366</v>
      </c>
      <c r="C147" s="654"/>
      <c r="D147" s="654"/>
      <c r="E147" s="654"/>
      <c r="F147" s="654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3" t="s">
        <v>359</v>
      </c>
      <c r="C148" s="654"/>
      <c r="D148" s="654"/>
      <c r="E148" s="654"/>
      <c r="F148" s="654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61" t="s">
        <v>545</v>
      </c>
      <c r="C150" s="662"/>
      <c r="D150" s="662"/>
      <c r="E150" s="662"/>
      <c r="F150" s="662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3" t="s">
        <v>810</v>
      </c>
      <c r="C151" s="664"/>
      <c r="D151" s="664"/>
      <c r="E151" s="664"/>
      <c r="F151" s="664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5" t="s">
        <v>352</v>
      </c>
      <c r="C152" s="656"/>
      <c r="D152" s="656"/>
      <c r="E152" s="656"/>
      <c r="F152" s="656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9" t="s">
        <v>355</v>
      </c>
      <c r="C153" s="660"/>
      <c r="D153" s="660"/>
      <c r="E153" s="660"/>
      <c r="F153" s="660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3" t="s">
        <v>357</v>
      </c>
      <c r="C154" s="654"/>
      <c r="D154" s="654"/>
      <c r="E154" s="654"/>
      <c r="F154" s="654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3" t="s">
        <v>365</v>
      </c>
      <c r="C155" s="654"/>
      <c r="D155" s="654"/>
      <c r="E155" s="654"/>
      <c r="F155" s="654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7" t="s">
        <v>543</v>
      </c>
      <c r="C157" s="658"/>
      <c r="D157" s="658"/>
      <c r="E157" s="658"/>
      <c r="F157" s="658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31" t="s">
        <v>544</v>
      </c>
      <c r="C158" s="632"/>
      <c r="D158" s="632"/>
      <c r="E158" s="632"/>
      <c r="F158" s="632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9" t="s">
        <v>114</v>
      </c>
      <c r="C159" s="660"/>
      <c r="D159" s="660"/>
      <c r="E159" s="660"/>
      <c r="F159" s="660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3" t="s">
        <v>116</v>
      </c>
      <c r="C160" s="654"/>
      <c r="D160" s="654"/>
      <c r="E160" s="654"/>
      <c r="F160" s="654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3" t="s">
        <v>93</v>
      </c>
      <c r="C161" s="654"/>
      <c r="D161" s="654"/>
      <c r="E161" s="654"/>
      <c r="F161" s="654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2" t="s">
        <v>554</v>
      </c>
      <c r="F6" s="679">
        <v>2006</v>
      </c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1"/>
      <c r="R6" s="679">
        <v>2007</v>
      </c>
      <c r="S6" s="680"/>
      <c r="T6" s="680"/>
      <c r="U6" s="680"/>
      <c r="V6" s="680"/>
      <c r="W6" s="680"/>
      <c r="X6" s="680"/>
      <c r="Y6" s="680"/>
      <c r="Z6" s="680"/>
      <c r="AA6" s="680"/>
      <c r="AB6" s="680"/>
      <c r="AC6" s="681"/>
      <c r="AD6" s="679">
        <v>2008</v>
      </c>
      <c r="AE6" s="680"/>
      <c r="AF6" s="680"/>
      <c r="AG6" s="680"/>
      <c r="AH6" s="680"/>
      <c r="AI6" s="680"/>
      <c r="AJ6" s="680"/>
      <c r="AK6" s="680"/>
      <c r="AL6" s="680"/>
      <c r="AM6" s="680"/>
      <c r="AN6" s="680"/>
      <c r="AO6" s="681"/>
      <c r="AP6" s="679">
        <v>2009</v>
      </c>
      <c r="AQ6" s="680"/>
      <c r="AR6" s="680"/>
      <c r="AS6" s="680"/>
      <c r="AT6" s="680"/>
      <c r="AU6" s="680"/>
      <c r="AV6" s="680"/>
      <c r="AW6" s="680"/>
      <c r="AX6" s="680"/>
      <c r="AY6" s="680"/>
      <c r="AZ6" s="680"/>
      <c r="BA6" s="681"/>
      <c r="BB6" s="679">
        <v>2010</v>
      </c>
      <c r="BC6" s="680"/>
      <c r="BD6" s="680"/>
      <c r="BE6" s="680"/>
      <c r="BF6" s="680"/>
      <c r="BG6" s="680"/>
      <c r="BH6" s="680"/>
      <c r="BI6" s="680"/>
      <c r="BJ6" s="680"/>
      <c r="BK6" s="680"/>
      <c r="BL6" s="680"/>
      <c r="BM6" s="681"/>
      <c r="BN6" s="679">
        <v>2011</v>
      </c>
      <c r="BO6" s="680"/>
      <c r="BP6" s="680"/>
      <c r="BQ6" s="680"/>
      <c r="BR6" s="680"/>
      <c r="BS6" s="680"/>
      <c r="BT6" s="680"/>
      <c r="BU6" s="680"/>
      <c r="BV6" s="680"/>
      <c r="BW6" s="680"/>
      <c r="BX6" s="680"/>
      <c r="BY6" s="681"/>
      <c r="BZ6" s="680">
        <v>2012</v>
      </c>
      <c r="CA6" s="680"/>
      <c r="CB6" s="680"/>
      <c r="CC6" s="680"/>
      <c r="CD6" s="680"/>
      <c r="CE6" s="680"/>
      <c r="CF6" s="680"/>
      <c r="CG6" s="680"/>
      <c r="CH6" s="680"/>
      <c r="CI6" s="680"/>
      <c r="CJ6" s="680"/>
      <c r="CK6" s="680"/>
      <c r="CL6" s="679">
        <v>2013</v>
      </c>
      <c r="CM6" s="680"/>
      <c r="CN6" s="680"/>
      <c r="CO6" s="680"/>
      <c r="CP6" s="680"/>
      <c r="CQ6" s="680"/>
      <c r="CR6" s="680"/>
      <c r="CS6" s="680"/>
      <c r="CT6" s="680"/>
      <c r="CU6" s="680"/>
      <c r="CV6" s="680"/>
      <c r="CW6" s="681"/>
      <c r="CX6" s="679">
        <v>2014</v>
      </c>
      <c r="CY6" s="680"/>
      <c r="CZ6" s="680"/>
      <c r="DA6" s="680"/>
      <c r="DB6" s="680"/>
      <c r="DC6" s="680"/>
      <c r="DD6" s="680"/>
      <c r="DE6" s="680"/>
      <c r="DF6" s="680"/>
      <c r="DG6" s="680"/>
      <c r="DH6" s="680"/>
      <c r="DI6" s="681"/>
      <c r="DJ6" s="679">
        <v>2015</v>
      </c>
      <c r="DK6" s="680"/>
      <c r="DL6" s="680"/>
      <c r="DM6" s="680"/>
      <c r="DN6" s="680"/>
      <c r="DO6" s="680"/>
      <c r="DP6" s="680"/>
      <c r="DQ6" s="680"/>
      <c r="DR6" s="680"/>
      <c r="DS6" s="680"/>
      <c r="DT6" s="680"/>
      <c r="DU6" s="681"/>
    </row>
    <row r="7" spans="1:321">
      <c r="E7" s="682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2" t="s">
        <v>675</v>
      </c>
      <c r="F214" s="679">
        <v>2006</v>
      </c>
      <c r="G214" s="680"/>
      <c r="H214" s="680"/>
      <c r="I214" s="680"/>
      <c r="J214" s="680"/>
      <c r="K214" s="680"/>
      <c r="L214" s="680"/>
      <c r="M214" s="680"/>
      <c r="N214" s="680"/>
      <c r="O214" s="680"/>
      <c r="P214" s="680"/>
      <c r="Q214" s="681"/>
      <c r="R214" s="679">
        <v>2007</v>
      </c>
      <c r="S214" s="680"/>
      <c r="T214" s="680"/>
      <c r="U214" s="680"/>
      <c r="V214" s="680"/>
      <c r="W214" s="680"/>
      <c r="X214" s="680"/>
      <c r="Y214" s="680"/>
      <c r="Z214" s="680"/>
      <c r="AA214" s="680"/>
      <c r="AB214" s="680"/>
      <c r="AC214" s="681"/>
      <c r="AD214" s="679">
        <v>2008</v>
      </c>
      <c r="AE214" s="680"/>
      <c r="AF214" s="680"/>
      <c r="AG214" s="680"/>
      <c r="AH214" s="680"/>
      <c r="AI214" s="680"/>
      <c r="AJ214" s="680"/>
      <c r="AK214" s="680"/>
      <c r="AL214" s="680"/>
      <c r="AM214" s="680"/>
      <c r="AN214" s="680"/>
      <c r="AO214" s="681"/>
      <c r="AP214" s="679">
        <v>2009</v>
      </c>
      <c r="AQ214" s="680"/>
      <c r="AR214" s="680"/>
      <c r="AS214" s="680"/>
      <c r="AT214" s="680"/>
      <c r="AU214" s="680"/>
      <c r="AV214" s="680"/>
      <c r="AW214" s="680"/>
      <c r="AX214" s="680"/>
      <c r="AY214" s="680"/>
      <c r="AZ214" s="680"/>
      <c r="BA214" s="681"/>
      <c r="BB214" s="679">
        <v>2010</v>
      </c>
      <c r="BC214" s="680"/>
      <c r="BD214" s="680"/>
      <c r="BE214" s="680"/>
      <c r="BF214" s="680"/>
      <c r="BG214" s="680"/>
      <c r="BH214" s="680"/>
      <c r="BI214" s="680"/>
      <c r="BJ214" s="680"/>
      <c r="BK214" s="680"/>
      <c r="BL214" s="680"/>
      <c r="BM214" s="681"/>
      <c r="BN214" s="679">
        <v>2011</v>
      </c>
      <c r="BO214" s="680"/>
      <c r="BP214" s="680"/>
      <c r="BQ214" s="680"/>
      <c r="BR214" s="680"/>
      <c r="BS214" s="680"/>
      <c r="BT214" s="680"/>
      <c r="BU214" s="680"/>
      <c r="BV214" s="680"/>
      <c r="BW214" s="680"/>
      <c r="BX214" s="680"/>
      <c r="BY214" s="681"/>
      <c r="BZ214" s="680">
        <v>2012</v>
      </c>
      <c r="CA214" s="680"/>
      <c r="CB214" s="680"/>
      <c r="CC214" s="680"/>
      <c r="CD214" s="680"/>
      <c r="CE214" s="680"/>
      <c r="CF214" s="680"/>
      <c r="CG214" s="680"/>
      <c r="CH214" s="680"/>
      <c r="CI214" s="680"/>
      <c r="CJ214" s="680"/>
      <c r="CK214" s="680"/>
      <c r="CL214" s="679">
        <v>2013</v>
      </c>
      <c r="CM214" s="680"/>
      <c r="CN214" s="680"/>
      <c r="CO214" s="680"/>
      <c r="CP214" s="680"/>
      <c r="CQ214" s="680"/>
      <c r="CR214" s="680"/>
      <c r="CS214" s="680"/>
      <c r="CT214" s="680"/>
      <c r="CU214" s="680"/>
      <c r="CV214" s="680"/>
      <c r="CW214" s="681"/>
      <c r="CX214" s="679">
        <v>2014</v>
      </c>
      <c r="CY214" s="680"/>
      <c r="CZ214" s="680"/>
      <c r="DA214" s="680"/>
      <c r="DB214" s="680"/>
      <c r="DC214" s="680"/>
      <c r="DD214" s="680"/>
      <c r="DE214" s="680"/>
      <c r="DF214" s="680"/>
      <c r="DG214" s="680"/>
      <c r="DH214" s="680"/>
      <c r="DI214" s="681"/>
      <c r="DJ214" s="679">
        <v>2015</v>
      </c>
      <c r="DK214" s="680"/>
      <c r="DL214" s="680"/>
      <c r="DM214" s="680"/>
      <c r="DN214" s="680"/>
      <c r="DO214" s="680"/>
      <c r="DP214" s="680"/>
      <c r="DQ214" s="680"/>
      <c r="DR214" s="680"/>
      <c r="DS214" s="680"/>
      <c r="DT214" s="680"/>
      <c r="DU214" s="681"/>
    </row>
    <row r="215" spans="1:187">
      <c r="E215" s="682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12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Decembar</v>
      </c>
    </row>
    <row r="246" spans="4:7">
      <c r="D246" s="41"/>
      <c r="G246" s="44" t="str">
        <f>+CONCATENATE("Jan - ",LEFT(G245,3))</f>
        <v>Jan - Dec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Dec</v>
      </c>
      <c r="F254" s="6" t="str">
        <f>+CONCATENATE("Analytics for period ",G246)</f>
        <v>Analytics for period Jan - Dec</v>
      </c>
      <c r="G254" s="44" t="str">
        <f>+IF(ISBLANK(IF($B$2=1,E254,F254)),"",IF($B$2=1,E254,F254))</f>
        <v>Analitika za period Jan - Dec</v>
      </c>
    </row>
    <row r="255" spans="4:7">
      <c r="E255" s="5" t="str">
        <f>+CONCATENATE("Analitika za period ",G245)</f>
        <v>Analitika za period Decembar</v>
      </c>
      <c r="F255" s="6" t="str">
        <f>+CONCATENATE("Analytics for period ",G245)</f>
        <v>Analytics for period Decembar</v>
      </c>
      <c r="G255" s="44" t="str">
        <f>+IF(ISBLANK(IF($B$2=1,E255,F255)),"",IF($B$2=1,E255,F255))</f>
        <v>Analitika za period Decembar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Decembar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Decembar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Decembar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Decembar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Decembar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Decembar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C6" sqref="C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Decembar</v>
      </c>
      <c r="G11" s="122" t="str">
        <f>+Master!G274</f>
        <v>Prihodi za period Januar - Decembar</v>
      </c>
      <c r="J11" s="121"/>
    </row>
    <row r="12" spans="3:10">
      <c r="C12" s="120"/>
      <c r="D12" s="123">
        <f>+'Analitika 2025'!N10</f>
        <v>329727228.11000001</v>
      </c>
      <c r="E12" s="427">
        <f>+D12/'2025'!T7</f>
        <v>4.0583311151180967E-2</v>
      </c>
      <c r="G12" s="123">
        <f>+'Analitika 2025'!G10</f>
        <v>2873126310.98</v>
      </c>
      <c r="H12" s="427">
        <f>+G12/'2025'!T7</f>
        <v>0.35362860302288085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Decembar</v>
      </c>
      <c r="G15" s="122" t="str">
        <f>+Master!G275</f>
        <v>Rashodi za period Januar - Decembar</v>
      </c>
      <c r="J15" s="121"/>
    </row>
    <row r="16" spans="3:10">
      <c r="C16" s="120"/>
      <c r="D16" s="123">
        <f>+'Analitika 2025'!N29</f>
        <v>480420824.29000008</v>
      </c>
      <c r="E16" s="427">
        <f>+D16/'2025'!T7</f>
        <v>5.9130900130466367E-2</v>
      </c>
      <c r="G16" s="123">
        <f>+'Analitika 2025'!G29</f>
        <v>3194760823.8900003</v>
      </c>
      <c r="H16" s="427">
        <f>+G16/'2025'!T7</f>
        <v>0.39321585091018751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Decembar</v>
      </c>
      <c r="G19" s="122" t="str">
        <f>+Master!G276</f>
        <v>Suficit/Deficit za period Januar - Decembar</v>
      </c>
      <c r="J19" s="121"/>
    </row>
    <row r="20" spans="3:11">
      <c r="C20" s="120"/>
      <c r="D20" s="123">
        <f>+'Analitika 2025'!N53</f>
        <v>-150693596.18000007</v>
      </c>
      <c r="E20" s="427">
        <f>+D20/'2025'!T7</f>
        <v>-1.8547588979285396E-2</v>
      </c>
      <c r="G20" s="123">
        <f>+'Analitika 2025'!G53</f>
        <v>-321634512.91000009</v>
      </c>
      <c r="H20" s="563">
        <f>+G20/'2025'!T7</f>
        <v>-3.9587247887306616E-2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PLYpT4KpiHEu8h3MzSYqNKqNVHZk5/p9AsMlHPNo1qFhxWdMzB+BXRpUBtIvWEvvq/UXvVy8QYefiiGtF4aYAQ==" saltValue="a5ajfGCyx5M0yftvq2mN2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selection activeCell="B5" sqref="B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5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2025-12</v>
      </c>
      <c r="O6" s="128" t="str">
        <f>+CONCATENATE(N6,"p")</f>
        <v>2025-12p</v>
      </c>
      <c r="P6" s="116"/>
      <c r="Q6" s="116"/>
      <c r="R6" s="128" t="str">
        <f>+IF(Master!B3-10&gt;=0,CONCATENATE(Master!B4-1,"-",Master!B3),CONCATENATE(Master!B4-1,"-0",Master!B3))</f>
        <v>2024-12</v>
      </c>
      <c r="S6" s="116"/>
      <c r="T6" s="116"/>
    </row>
    <row r="7" spans="1:25" ht="14.25" customHeight="1">
      <c r="A7" s="129"/>
      <c r="B7" s="568" t="str">
        <f>+Master!G254</f>
        <v>Analitika za period Jan - Dec</v>
      </c>
      <c r="C7" s="569"/>
      <c r="D7" s="569"/>
      <c r="E7" s="569"/>
      <c r="F7" s="569"/>
      <c r="G7" s="577" t="str">
        <f>+Master!G246</f>
        <v>Jan - Dec</v>
      </c>
      <c r="H7" s="578"/>
      <c r="I7" s="578"/>
      <c r="J7" s="578"/>
      <c r="K7" s="578"/>
      <c r="L7" s="578"/>
      <c r="M7" s="581"/>
      <c r="N7" s="578" t="str">
        <f>+Master!G245</f>
        <v>Decembar</v>
      </c>
      <c r="O7" s="578"/>
      <c r="P7" s="578"/>
      <c r="Q7" s="578"/>
      <c r="R7" s="578"/>
      <c r="S7" s="578"/>
      <c r="T7" s="581"/>
    </row>
    <row r="8" spans="1:25" ht="29.25" customHeight="1">
      <c r="A8" s="129"/>
      <c r="B8" s="570"/>
      <c r="C8" s="571"/>
      <c r="D8" s="571"/>
      <c r="E8" s="571"/>
      <c r="F8" s="572"/>
      <c r="G8" s="487" t="str">
        <f>+Master!G26</f>
        <v>Ostvarenje</v>
      </c>
      <c r="H8" s="330" t="str">
        <f>+Master!G25</f>
        <v>Plan</v>
      </c>
      <c r="I8" s="564" t="str">
        <f>+Master!G261</f>
        <v>Odstupanje</v>
      </c>
      <c r="J8" s="564"/>
      <c r="K8" s="130" t="str">
        <f>+CONCATENATE(Master!G246," ",Master!B4-1)</f>
        <v>Jan - Dec 2024</v>
      </c>
      <c r="L8" s="564" t="str">
        <f>+I8</f>
        <v>Odstupanje</v>
      </c>
      <c r="M8" s="565"/>
      <c r="N8" s="487" t="str">
        <f>+G8</f>
        <v>Ostvarenje</v>
      </c>
      <c r="O8" s="130" t="str">
        <f>+H8</f>
        <v>Plan</v>
      </c>
      <c r="P8" s="564" t="str">
        <f>+I8</f>
        <v>Odstupanje</v>
      </c>
      <c r="Q8" s="564"/>
      <c r="R8" s="130" t="str">
        <f>+CONCATENATE(Master!G245," ",Master!B4-1)</f>
        <v>Decembar 2024</v>
      </c>
      <c r="S8" s="564" t="str">
        <f>+P8</f>
        <v>Odstupanje</v>
      </c>
      <c r="T8" s="565"/>
    </row>
    <row r="9" spans="1:25" ht="15.75" thickBot="1">
      <c r="A9" s="129"/>
      <c r="B9" s="573"/>
      <c r="C9" s="574"/>
      <c r="D9" s="574"/>
      <c r="E9" s="574"/>
      <c r="F9" s="575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8" t="str">
        <f>+VLOOKUP($A10,Master!$D$30:$G$226,4,FALSE)</f>
        <v>Prihodi budžeta</v>
      </c>
      <c r="C10" s="589"/>
      <c r="D10" s="589"/>
      <c r="E10" s="589"/>
      <c r="F10" s="589"/>
      <c r="G10" s="136">
        <f>'2025'!S10</f>
        <v>2873126310.98</v>
      </c>
      <c r="H10" s="136">
        <f>SUM('2025'!G86:R86)</f>
        <v>2886073000.0799794</v>
      </c>
      <c r="I10" s="137">
        <f>+G10-H10</f>
        <v>-12946689.099979401</v>
      </c>
      <c r="J10" s="139">
        <f>IF(+IF(ISERROR(G10/H10),"…",G10/H10-1)&gt;200%,"...",IF(ISERROR(G10/H10),"…",G10/H10-1))</f>
        <v>-4.4859187898644848E-3</v>
      </c>
      <c r="K10" s="136">
        <f>SUM('2024'!G10:R10)</f>
        <v>2755717269.8699999</v>
      </c>
      <c r="L10" s="137">
        <f>+G10-K10</f>
        <v>117409041.11000013</v>
      </c>
      <c r="M10" s="141">
        <f>IF(+IF(ISERROR(G10/K10),"…",G10/K10-1)&gt;200%,"...",IF(ISERROR(G10/K10),"…",G10/K10-1))</f>
        <v>4.2605619376743453E-2</v>
      </c>
      <c r="N10" s="136">
        <f>'2025'!R10</f>
        <v>329727228.11000001</v>
      </c>
      <c r="O10" s="136">
        <f>'2025'!R86</f>
        <v>263070247.5857037</v>
      </c>
      <c r="P10" s="137">
        <f>+N10-O10</f>
        <v>66656980.524296314</v>
      </c>
      <c r="Q10" s="139">
        <f>IF(+IF(ISERROR(N10/O10),"…",N10/O10-1)&gt;200%,"...",IF(ISERROR(N10/O10),"…",N10/O10-1))</f>
        <v>0.25338091683127573</v>
      </c>
      <c r="R10" s="136">
        <f>'2024'!R10</f>
        <v>258065306.41000003</v>
      </c>
      <c r="S10" s="137">
        <f>+N10-R10</f>
        <v>71661921.699999988</v>
      </c>
      <c r="T10" s="141">
        <f>IF(+IF(ISERROR(N10/R10),"…",N10/R10-1)&gt;200%,"...",IF(ISERROR(N10/R10),"…",N10/R10-1))</f>
        <v>0.27768909620942006</v>
      </c>
      <c r="U10" s="560"/>
      <c r="W10" s="470"/>
      <c r="Y10" s="470"/>
    </row>
    <row r="11" spans="1:25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262">
        <f>'2025'!S11</f>
        <v>2238598161.0300002</v>
      </c>
      <c r="H11" s="262">
        <f>SUM('2025'!G87:R87)</f>
        <v>2183579009.4307432</v>
      </c>
      <c r="I11" s="143">
        <f t="shared" ref="I11:I57" si="0">+G11-H11</f>
        <v>55019151.599256992</v>
      </c>
      <c r="J11" s="145">
        <f t="shared" ref="J11:J66" si="1">IF(+IF(ISERROR(G11/H11-1),"…",G11/H11-1)&gt;200%,"...",IF(ISERROR(G11/H11-1),"…",G11/H11-1))</f>
        <v>2.5196776192495385E-2</v>
      </c>
      <c r="K11" s="262">
        <f>SUM('2024'!G11:R11)</f>
        <v>1968599583.2599998</v>
      </c>
      <c r="L11" s="143">
        <f>+G11-K11</f>
        <v>269998577.77000046</v>
      </c>
      <c r="M11" s="147">
        <f t="shared" ref="M11:M66" si="2">IF(+IF(ISERROR(G11/K11),"…",G11/K11-1)&gt;200%,"...",IF(ISERROR(G11/K11),"…",G11/K11-1))</f>
        <v>0.13715261349536756</v>
      </c>
      <c r="N11" s="262">
        <f>'2025'!R11</f>
        <v>196519134.14000002</v>
      </c>
      <c r="O11" s="262">
        <f>'2025'!R87</f>
        <v>178627675.42838222</v>
      </c>
      <c r="P11" s="143">
        <f>+N11-O11</f>
        <v>17891458.711617798</v>
      </c>
      <c r="Q11" s="145">
        <f t="shared" ref="Q11:Q66" si="3">IF(+IF(ISERROR(N11/O11),"…",N11/O11-1)&gt;200%,"...",IF(ISERROR(N11/O11),"…",N11/O11-1))</f>
        <v>0.10016061995270764</v>
      </c>
      <c r="R11" s="262">
        <f>'2024'!R11</f>
        <v>168637973.13</v>
      </c>
      <c r="S11" s="143">
        <f t="shared" ref="S11:S57" si="4">+N11-R11</f>
        <v>27881161.01000002</v>
      </c>
      <c r="T11" s="147">
        <f t="shared" ref="T11:T66" si="5">IF(+IF(ISERROR(N11/R11),"…",N11/R11-1)&gt;200%,"...",IF(ISERROR(N11/R11),"…",N11/R11-1))</f>
        <v>0.16533145229696822</v>
      </c>
      <c r="W11" s="470"/>
      <c r="Y11" s="470"/>
    </row>
    <row r="12" spans="1:25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f>'2025'!S12</f>
        <v>112031208.56999999</v>
      </c>
      <c r="H12" s="148">
        <f>SUM('2025'!G88:R88)</f>
        <v>108323493.79368949</v>
      </c>
      <c r="I12" s="149">
        <f t="shared" si="0"/>
        <v>3707714.7763105035</v>
      </c>
      <c r="J12" s="151">
        <f t="shared" si="1"/>
        <v>3.4228168299040851E-2</v>
      </c>
      <c r="K12" s="148">
        <f>SUM('2024'!G12:R12)</f>
        <v>88155346.219999984</v>
      </c>
      <c r="L12" s="149">
        <f>+G12-K12</f>
        <v>23875862.350000009</v>
      </c>
      <c r="M12" s="153">
        <f t="shared" si="2"/>
        <v>0.27083850695130329</v>
      </c>
      <c r="N12" s="148">
        <f>'2025'!R12</f>
        <v>17519055.850000001</v>
      </c>
      <c r="O12" s="148">
        <f>'2025'!R88</f>
        <v>14670110.187131014</v>
      </c>
      <c r="P12" s="149">
        <f t="shared" ref="P12:P57" si="6">+N12-O12</f>
        <v>2848945.6628689878</v>
      </c>
      <c r="Q12" s="151">
        <f t="shared" si="3"/>
        <v>0.1942006996899146</v>
      </c>
      <c r="R12" s="148">
        <f>'2024'!R12</f>
        <v>13112925.419999996</v>
      </c>
      <c r="S12" s="149">
        <f t="shared" si="4"/>
        <v>4406130.4300000053</v>
      </c>
      <c r="T12" s="153">
        <f t="shared" si="5"/>
        <v>0.33601429802076965</v>
      </c>
      <c r="W12" s="470"/>
      <c r="Y12" s="470"/>
    </row>
    <row r="13" spans="1:25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f>'2025'!S13</f>
        <v>233431231.62</v>
      </c>
      <c r="H13" s="148">
        <f>SUM('2025'!G89:R89)</f>
        <v>219862849.24098569</v>
      </c>
      <c r="I13" s="149">
        <f t="shared" si="0"/>
        <v>13568382.379014313</v>
      </c>
      <c r="J13" s="151">
        <f t="shared" si="1"/>
        <v>6.171293797863231E-2</v>
      </c>
      <c r="K13" s="148">
        <f>SUM('2024'!G13:R13)</f>
        <v>213967876.99999997</v>
      </c>
      <c r="L13" s="149">
        <f t="shared" ref="L13:L57" si="7">+G13-K13</f>
        <v>19463354.620000035</v>
      </c>
      <c r="M13" s="153">
        <f t="shared" si="2"/>
        <v>9.0963909596579517E-2</v>
      </c>
      <c r="N13" s="148">
        <f>'2025'!R13</f>
        <v>3201756.75</v>
      </c>
      <c r="O13" s="148">
        <f>'2025'!R89</f>
        <v>4568258.7547133695</v>
      </c>
      <c r="P13" s="149">
        <f t="shared" si="6"/>
        <v>-1366502.0047133695</v>
      </c>
      <c r="Q13" s="151">
        <f t="shared" si="3"/>
        <v>-0.29912972930954507</v>
      </c>
      <c r="R13" s="148">
        <f>'2024'!R13</f>
        <v>6565545.0699999994</v>
      </c>
      <c r="S13" s="149">
        <f t="shared" si="4"/>
        <v>-3363788.3199999994</v>
      </c>
      <c r="T13" s="153">
        <f t="shared" si="5"/>
        <v>-0.51233953679949373</v>
      </c>
      <c r="W13" s="470"/>
      <c r="Y13" s="470"/>
    </row>
    <row r="14" spans="1:25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f>'2025'!S14</f>
        <v>0</v>
      </c>
      <c r="H14" s="148">
        <f>SUM('2025'!G90:R90)</f>
        <v>0</v>
      </c>
      <c r="I14" s="149">
        <f t="shared" si="0"/>
        <v>0</v>
      </c>
      <c r="J14" s="151" t="str">
        <f t="shared" si="1"/>
        <v>...</v>
      </c>
      <c r="K14" s="148">
        <f>SUM('2024'!G14:R14)</f>
        <v>0</v>
      </c>
      <c r="L14" s="149">
        <f t="shared" si="7"/>
        <v>0</v>
      </c>
      <c r="M14" s="153" t="str">
        <f t="shared" si="2"/>
        <v>...</v>
      </c>
      <c r="N14" s="148">
        <f>'2025'!R14</f>
        <v>0</v>
      </c>
      <c r="O14" s="148">
        <f>'2025'!R90</f>
        <v>0</v>
      </c>
      <c r="P14" s="149">
        <f t="shared" si="6"/>
        <v>0</v>
      </c>
      <c r="Q14" s="151" t="str">
        <f t="shared" si="3"/>
        <v>...</v>
      </c>
      <c r="R14" s="148">
        <f>'2024'!R14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f>'2025'!S15</f>
        <v>1403654521.4600003</v>
      </c>
      <c r="H15" s="148">
        <f>SUM('2025'!G91:R91)</f>
        <v>1372592999.9958332</v>
      </c>
      <c r="I15" s="149">
        <f t="shared" si="0"/>
        <v>31061521.464167118</v>
      </c>
      <c r="J15" s="151">
        <f t="shared" si="1"/>
        <v>2.2629811942987743E-2</v>
      </c>
      <c r="K15" s="148">
        <f>SUM('2024'!G15:R15)</f>
        <v>1222596931.1700001</v>
      </c>
      <c r="L15" s="149">
        <f t="shared" si="7"/>
        <v>181057590.2900002</v>
      </c>
      <c r="M15" s="153">
        <f t="shared" si="2"/>
        <v>0.14809262617462315</v>
      </c>
      <c r="N15" s="148">
        <f>'2025'!R15</f>
        <v>131336012.73999999</v>
      </c>
      <c r="O15" s="148">
        <f>'2025'!R91</f>
        <v>120551064.06232101</v>
      </c>
      <c r="P15" s="149">
        <f t="shared" si="6"/>
        <v>10784948.677678987</v>
      </c>
      <c r="Q15" s="151">
        <f t="shared" si="3"/>
        <v>8.9463736894960233E-2</v>
      </c>
      <c r="R15" s="148">
        <f>'2024'!R15</f>
        <v>111577546.98999999</v>
      </c>
      <c r="S15" s="149">
        <f t="shared" si="4"/>
        <v>19758465.75</v>
      </c>
      <c r="T15" s="153">
        <f t="shared" si="5"/>
        <v>0.1770828117575558</v>
      </c>
      <c r="W15" s="470"/>
      <c r="Y15" s="470"/>
    </row>
    <row r="16" spans="1:25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f>'2025'!S16</f>
        <v>403172372.66999996</v>
      </c>
      <c r="H16" s="148">
        <f>SUM('2025'!G92:R92)</f>
        <v>403500000</v>
      </c>
      <c r="I16" s="149">
        <f t="shared" si="0"/>
        <v>-327627.33000004292</v>
      </c>
      <c r="J16" s="151">
        <f t="shared" si="1"/>
        <v>-8.1196364312274838E-4</v>
      </c>
      <c r="K16" s="148">
        <f>SUM('2024'!G16:R16)</f>
        <v>368589654.70999986</v>
      </c>
      <c r="L16" s="149">
        <f t="shared" si="7"/>
        <v>34582717.960000098</v>
      </c>
      <c r="M16" s="153">
        <f t="shared" si="2"/>
        <v>9.3824440046232915E-2</v>
      </c>
      <c r="N16" s="148">
        <f>'2025'!R16</f>
        <v>36470170.960000001</v>
      </c>
      <c r="O16" s="148">
        <f>'2025'!R92</f>
        <v>31848235.149999999</v>
      </c>
      <c r="P16" s="149">
        <f t="shared" si="6"/>
        <v>4621935.8100000024</v>
      </c>
      <c r="Q16" s="151">
        <f t="shared" si="3"/>
        <v>0.14512376551577932</v>
      </c>
      <c r="R16" s="148">
        <f>'2024'!R16</f>
        <v>30621579.680000011</v>
      </c>
      <c r="S16" s="149">
        <f t="shared" si="4"/>
        <v>5848591.27999999</v>
      </c>
      <c r="T16" s="153">
        <f t="shared" si="5"/>
        <v>0.19099574029552446</v>
      </c>
      <c r="W16" s="470"/>
      <c r="Y16" s="470"/>
    </row>
    <row r="17" spans="1:25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f>'2025'!S17</f>
        <v>69907569.540000007</v>
      </c>
      <c r="H17" s="148">
        <f>SUM('2025'!G93:R93)</f>
        <v>63992988.618167341</v>
      </c>
      <c r="I17" s="149">
        <f t="shared" si="0"/>
        <v>5914580.9218326658</v>
      </c>
      <c r="J17" s="151">
        <f t="shared" si="1"/>
        <v>9.2425452374536254E-2</v>
      </c>
      <c r="K17" s="148">
        <f>SUM('2024'!G17:R17)</f>
        <v>60376879.520000003</v>
      </c>
      <c r="L17" s="149">
        <f t="shared" si="7"/>
        <v>9530690.0200000033</v>
      </c>
      <c r="M17" s="153">
        <f t="shared" si="2"/>
        <v>0.15785330569863154</v>
      </c>
      <c r="N17" s="148">
        <f>'2025'!R17</f>
        <v>6489077.96</v>
      </c>
      <c r="O17" s="148">
        <f>'2025'!R93</f>
        <v>5867281.8477213243</v>
      </c>
      <c r="P17" s="149">
        <f t="shared" si="6"/>
        <v>621796.11227867566</v>
      </c>
      <c r="Q17" s="151">
        <f>IF(+IF(ISERROR(N17/O17),"…",N17/O17-1)&gt;200%,"...",IF(ISERROR(N17/O17),"…",N17/O17-1))</f>
        <v>0.10597686090709324</v>
      </c>
      <c r="R17" s="148">
        <f>'2024'!R17</f>
        <v>5559914.0900000026</v>
      </c>
      <c r="S17" s="149">
        <f t="shared" si="4"/>
        <v>929163.86999999732</v>
      </c>
      <c r="T17" s="153">
        <f t="shared" si="5"/>
        <v>0.16711838617635855</v>
      </c>
      <c r="W17" s="470"/>
      <c r="Y17" s="470"/>
    </row>
    <row r="18" spans="1:25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148">
        <f>'2025'!S18</f>
        <v>16401257.169999998</v>
      </c>
      <c r="H18" s="148">
        <f>SUM('2025'!G94:R94)</f>
        <v>15306677.782066878</v>
      </c>
      <c r="I18" s="149">
        <f t="shared" si="0"/>
        <v>1094579.3879331201</v>
      </c>
      <c r="J18" s="151">
        <f t="shared" si="1"/>
        <v>7.1509925505554017E-2</v>
      </c>
      <c r="K18" s="148">
        <f>SUM('2024'!G18:R18)</f>
        <v>14912894.640000001</v>
      </c>
      <c r="L18" s="149">
        <f t="shared" si="7"/>
        <v>1488362.5299999975</v>
      </c>
      <c r="M18" s="153">
        <f t="shared" si="2"/>
        <v>9.9803731329788148E-2</v>
      </c>
      <c r="N18" s="148">
        <f>'2025'!R18</f>
        <v>1503059.88</v>
      </c>
      <c r="O18" s="148">
        <f>'2025'!R94</f>
        <v>1122725.4264954794</v>
      </c>
      <c r="P18" s="149">
        <f t="shared" si="6"/>
        <v>380334.45350452047</v>
      </c>
      <c r="Q18" s="151">
        <f t="shared" si="3"/>
        <v>0.33875998933391216</v>
      </c>
      <c r="R18" s="148">
        <f>'2024'!R18</f>
        <v>1200461.8800000006</v>
      </c>
      <c r="S18" s="149">
        <f t="shared" si="4"/>
        <v>302597.9999999993</v>
      </c>
      <c r="T18" s="153">
        <f t="shared" si="5"/>
        <v>0.25206797903486877</v>
      </c>
      <c r="W18" s="470"/>
      <c r="Y18" s="470"/>
    </row>
    <row r="19" spans="1:25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154">
        <f>'2025'!S19</f>
        <v>420381280.55000001</v>
      </c>
      <c r="H19" s="154">
        <f>SUM('2025'!G95:R95)</f>
        <v>449051321.86718363</v>
      </c>
      <c r="I19" s="155">
        <f t="shared" si="0"/>
        <v>-28670041.317183614</v>
      </c>
      <c r="J19" s="157">
        <f t="shared" si="1"/>
        <v>-6.3845800960949828E-2</v>
      </c>
      <c r="K19" s="154">
        <f>SUM('2024'!G19:R19)</f>
        <v>584706543.51000023</v>
      </c>
      <c r="L19" s="155">
        <f t="shared" si="7"/>
        <v>-164325262.96000022</v>
      </c>
      <c r="M19" s="159">
        <f t="shared" si="2"/>
        <v>-0.28103886433962877</v>
      </c>
      <c r="N19" s="154">
        <f>'2025'!R19</f>
        <v>64170339.240000002</v>
      </c>
      <c r="O19" s="154">
        <f>'2025'!R95</f>
        <v>66953342.92623014</v>
      </c>
      <c r="P19" s="155">
        <f t="shared" si="6"/>
        <v>-2783003.6862301379</v>
      </c>
      <c r="Q19" s="157">
        <f t="shared" si="3"/>
        <v>-4.1566314161437412E-2</v>
      </c>
      <c r="R19" s="154">
        <f>'2024'!R19</f>
        <v>62375513.170000002</v>
      </c>
      <c r="S19" s="155">
        <f t="shared" si="4"/>
        <v>1794826.0700000003</v>
      </c>
      <c r="T19" s="159">
        <f t="shared" si="5"/>
        <v>2.8774529920232217E-2</v>
      </c>
      <c r="W19" s="470"/>
      <c r="Y19" s="470"/>
    </row>
    <row r="20" spans="1:25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148">
        <f>'2025'!S20</f>
        <v>353301163.85000002</v>
      </c>
      <c r="H20" s="148">
        <f>SUM('2025'!G96:R96)</f>
        <v>397338927.3414011</v>
      </c>
      <c r="I20" s="149">
        <f t="shared" si="0"/>
        <v>-44037763.491401076</v>
      </c>
      <c r="J20" s="151">
        <f t="shared" si="1"/>
        <v>-0.11083173699103233</v>
      </c>
      <c r="K20" s="148">
        <f>SUM('2024'!G20:R20)</f>
        <v>532748560.65000027</v>
      </c>
      <c r="L20" s="149">
        <f t="shared" si="7"/>
        <v>-179447396.80000025</v>
      </c>
      <c r="M20" s="153">
        <f t="shared" si="2"/>
        <v>-0.33683318933993667</v>
      </c>
      <c r="N20" s="148">
        <f>'2025'!R20</f>
        <v>53818912.590000004</v>
      </c>
      <c r="O20" s="148">
        <f>'2025'!R96</f>
        <v>58313830.16746816</v>
      </c>
      <c r="P20" s="149">
        <f t="shared" si="6"/>
        <v>-4494917.5774681568</v>
      </c>
      <c r="Q20" s="151">
        <f t="shared" si="3"/>
        <v>-7.7081501327548874E-2</v>
      </c>
      <c r="R20" s="148">
        <f>'2024'!R20</f>
        <v>54430290.540000007</v>
      </c>
      <c r="S20" s="149">
        <f t="shared" si="4"/>
        <v>-611377.95000000298</v>
      </c>
      <c r="T20" s="153">
        <f t="shared" si="5"/>
        <v>-1.1232310978584792E-2</v>
      </c>
      <c r="W20" s="470"/>
      <c r="Y20" s="470"/>
    </row>
    <row r="21" spans="1:25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148">
        <f>'2025'!S21</f>
        <v>7466196.290000001</v>
      </c>
      <c r="H21" s="148">
        <f>SUM('2025'!G97:R97)</f>
        <v>6000000.0043292958</v>
      </c>
      <c r="I21" s="149">
        <f t="shared" si="0"/>
        <v>1466196.2856707051</v>
      </c>
      <c r="J21" s="151">
        <f t="shared" si="1"/>
        <v>0.24436604743546209</v>
      </c>
      <c r="K21" s="148">
        <f>SUM('2024'!G21:R21)</f>
        <v>5424031.6500000004</v>
      </c>
      <c r="L21" s="149">
        <f t="shared" si="7"/>
        <v>2042164.6400000006</v>
      </c>
      <c r="M21" s="153">
        <f t="shared" si="2"/>
        <v>0.37650308327385962</v>
      </c>
      <c r="N21" s="148">
        <f>'2025'!R21</f>
        <v>1273029.8600000001</v>
      </c>
      <c r="O21" s="148">
        <f>'2025'!R97</f>
        <v>600023.86869410798</v>
      </c>
      <c r="P21" s="149">
        <f t="shared" si="6"/>
        <v>673005.99130589212</v>
      </c>
      <c r="Q21" s="151">
        <f t="shared" si="3"/>
        <v>1.1216320323566835</v>
      </c>
      <c r="R21" s="148">
        <f>'2024'!R21</f>
        <v>739249.9099999998</v>
      </c>
      <c r="S21" s="149">
        <f t="shared" si="4"/>
        <v>533779.9500000003</v>
      </c>
      <c r="T21" s="153">
        <f t="shared" si="5"/>
        <v>0.7220561582482985</v>
      </c>
      <c r="W21" s="470"/>
      <c r="Y21" s="470"/>
    </row>
    <row r="22" spans="1:25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148">
        <f>'2025'!S22</f>
        <v>34755174.259999998</v>
      </c>
      <c r="H22" s="148">
        <f>SUM('2025'!G98:R98)</f>
        <v>26000000.003721446</v>
      </c>
      <c r="I22" s="149">
        <f t="shared" si="0"/>
        <v>8755174.2562785521</v>
      </c>
      <c r="J22" s="151">
        <f t="shared" si="1"/>
        <v>0.33673747134713095</v>
      </c>
      <c r="K22" s="148">
        <f>SUM('2024'!G22:R22)</f>
        <v>26960661.289999999</v>
      </c>
      <c r="L22" s="149">
        <f t="shared" si="7"/>
        <v>7794512.9699999988</v>
      </c>
      <c r="M22" s="153">
        <f t="shared" si="2"/>
        <v>0.28910689119079835</v>
      </c>
      <c r="N22" s="148">
        <f>'2025'!R22</f>
        <v>5217248.67</v>
      </c>
      <c r="O22" s="148">
        <f>'2025'!R98</f>
        <v>4727738.3755188603</v>
      </c>
      <c r="P22" s="149">
        <f t="shared" si="6"/>
        <v>489510.29448113963</v>
      </c>
      <c r="Q22" s="151">
        <f t="shared" si="3"/>
        <v>0.10354005564603952</v>
      </c>
      <c r="R22" s="148">
        <f>'2024'!R22</f>
        <v>4213340.5699999984</v>
      </c>
      <c r="S22" s="149">
        <f t="shared" si="4"/>
        <v>1003908.1000000015</v>
      </c>
      <c r="T22" s="153">
        <f t="shared" si="5"/>
        <v>0.23826891828969843</v>
      </c>
      <c r="W22" s="470"/>
      <c r="Y22" s="470"/>
    </row>
    <row r="23" spans="1:25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148">
        <f>'2025'!S23</f>
        <v>24858746.150000002</v>
      </c>
      <c r="H23" s="148">
        <f>SUM('2025'!G99:R99)</f>
        <v>19712394.517731793</v>
      </c>
      <c r="I23" s="149">
        <f t="shared" si="0"/>
        <v>5146351.632268209</v>
      </c>
      <c r="J23" s="151">
        <f t="shared" si="1"/>
        <v>0.26107186661868687</v>
      </c>
      <c r="K23" s="148">
        <f>SUM('2024'!G23:R23)</f>
        <v>19573289.920000002</v>
      </c>
      <c r="L23" s="149">
        <f t="shared" si="7"/>
        <v>5285456.2300000004</v>
      </c>
      <c r="M23" s="153">
        <f t="shared" si="2"/>
        <v>0.27003412566833318</v>
      </c>
      <c r="N23" s="148">
        <f>'2025'!R23</f>
        <v>3861148.12</v>
      </c>
      <c r="O23" s="148">
        <f>'2025'!R99</f>
        <v>3311750.51454901</v>
      </c>
      <c r="P23" s="149">
        <f t="shared" si="6"/>
        <v>549397.60545099014</v>
      </c>
      <c r="Q23" s="151">
        <f t="shared" si="3"/>
        <v>0.16589341589513018</v>
      </c>
      <c r="R23" s="148">
        <f>'2024'!R23</f>
        <v>2992632.1500000004</v>
      </c>
      <c r="S23" s="149">
        <f t="shared" si="4"/>
        <v>868515.96999999974</v>
      </c>
      <c r="T23" s="153">
        <f t="shared" si="5"/>
        <v>0.29021808443780817</v>
      </c>
      <c r="W23" s="470"/>
      <c r="Y23" s="470"/>
    </row>
    <row r="24" spans="1:25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f>'2025'!S24</f>
        <v>17386915.610000003</v>
      </c>
      <c r="H24" s="160">
        <f>SUM('2025'!G100:R100)</f>
        <v>17789969.022396307</v>
      </c>
      <c r="I24" s="161">
        <f t="shared" si="0"/>
        <v>-403053.41239630431</v>
      </c>
      <c r="J24" s="163">
        <f t="shared" si="1"/>
        <v>-2.265621777580884E-2</v>
      </c>
      <c r="K24" s="160">
        <f>SUM('2024'!G24:R24)</f>
        <v>16259315.629999999</v>
      </c>
      <c r="L24" s="161">
        <f t="shared" si="7"/>
        <v>1127599.9800000042</v>
      </c>
      <c r="M24" s="165">
        <f t="shared" si="2"/>
        <v>6.9351011177830602E-2</v>
      </c>
      <c r="N24" s="160">
        <f>'2025'!R24</f>
        <v>2009599.26</v>
      </c>
      <c r="O24" s="160">
        <f>'2025'!R100</f>
        <v>1675386.1561825529</v>
      </c>
      <c r="P24" s="161">
        <f t="shared" si="6"/>
        <v>334213.10381744709</v>
      </c>
      <c r="Q24" s="163">
        <f t="shared" si="3"/>
        <v>0.1994842219413866</v>
      </c>
      <c r="R24" s="160">
        <f>'2024'!R24</f>
        <v>1630932.8199999994</v>
      </c>
      <c r="S24" s="161">
        <f t="shared" si="4"/>
        <v>378666.44000000064</v>
      </c>
      <c r="T24" s="165">
        <f t="shared" si="5"/>
        <v>0.23217782814622656</v>
      </c>
      <c r="W24" s="470"/>
      <c r="Y24" s="470"/>
    </row>
    <row r="25" spans="1:25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f>'2025'!S25</f>
        <v>75830913.780000001</v>
      </c>
      <c r="H25" s="160">
        <f>SUM('2025'!G101:R101)</f>
        <v>74183107.530439287</v>
      </c>
      <c r="I25" s="161">
        <f t="shared" si="0"/>
        <v>1647806.2495607138</v>
      </c>
      <c r="J25" s="163">
        <f t="shared" si="1"/>
        <v>2.2212688365536248E-2</v>
      </c>
      <c r="K25" s="160">
        <f>SUM('2024'!G25:R25)</f>
        <v>53128166.680000007</v>
      </c>
      <c r="L25" s="161">
        <f t="shared" si="7"/>
        <v>22702747.099999994</v>
      </c>
      <c r="M25" s="165">
        <f t="shared" si="2"/>
        <v>0.42732035601270613</v>
      </c>
      <c r="N25" s="160">
        <f>'2025'!R25</f>
        <v>10024472.73</v>
      </c>
      <c r="O25" s="160">
        <f>'2025'!R101</f>
        <v>6923249.0767233642</v>
      </c>
      <c r="P25" s="161">
        <f t="shared" si="6"/>
        <v>3101223.6532766363</v>
      </c>
      <c r="Q25" s="163">
        <f t="shared" si="3"/>
        <v>0.44794338884950013</v>
      </c>
      <c r="R25" s="160">
        <f>'2024'!R25</f>
        <v>5674135.9900000002</v>
      </c>
      <c r="S25" s="161">
        <f t="shared" si="4"/>
        <v>4350336.74</v>
      </c>
      <c r="T25" s="165">
        <f t="shared" si="5"/>
        <v>0.76669588950052647</v>
      </c>
      <c r="W25" s="470"/>
      <c r="Y25" s="470"/>
    </row>
    <row r="26" spans="1:25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f>'2025'!S26</f>
        <v>54713145.030000001</v>
      </c>
      <c r="H26" s="160">
        <f>SUM('2025'!G102:R102)</f>
        <v>52269592.229217246</v>
      </c>
      <c r="I26" s="161">
        <f t="shared" si="0"/>
        <v>2443552.800782755</v>
      </c>
      <c r="J26" s="163">
        <f t="shared" si="1"/>
        <v>4.6749031254482931E-2</v>
      </c>
      <c r="K26" s="160">
        <f>SUM('2024'!G26:R26)</f>
        <v>92168307.409999996</v>
      </c>
      <c r="L26" s="161">
        <f t="shared" si="7"/>
        <v>-37455162.379999995</v>
      </c>
      <c r="M26" s="165">
        <f t="shared" si="2"/>
        <v>-0.40637789097487775</v>
      </c>
      <c r="N26" s="160">
        <f>'2025'!R26</f>
        <v>8973827.5600000005</v>
      </c>
      <c r="O26" s="160">
        <f>'2025'!R102</f>
        <v>5720269.1804076433</v>
      </c>
      <c r="P26" s="161">
        <f t="shared" si="6"/>
        <v>3253558.3795923572</v>
      </c>
      <c r="Q26" s="163">
        <f t="shared" si="3"/>
        <v>0.56877714614131136</v>
      </c>
      <c r="R26" s="160">
        <f>'2024'!R26</f>
        <v>11227784.880000001</v>
      </c>
      <c r="S26" s="161">
        <f t="shared" si="4"/>
        <v>-2253957.3200000003</v>
      </c>
      <c r="T26" s="165">
        <f t="shared" si="5"/>
        <v>-0.20074817464796313</v>
      </c>
      <c r="W26" s="470"/>
      <c r="Y26" s="470"/>
    </row>
    <row r="27" spans="1:25" hidden="1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f>'2025'!S27</f>
        <v>0</v>
      </c>
      <c r="H27" s="160">
        <f>SUM('2025'!G103:R103)</f>
        <v>0</v>
      </c>
      <c r="I27" s="161">
        <f t="shared" si="0"/>
        <v>0</v>
      </c>
      <c r="J27" s="163" t="str">
        <f t="shared" si="1"/>
        <v>...</v>
      </c>
      <c r="K27" s="160">
        <f>SUM('2024'!G27:R27)</f>
        <v>0</v>
      </c>
      <c r="L27" s="161">
        <f t="shared" si="7"/>
        <v>0</v>
      </c>
      <c r="M27" s="165" t="str">
        <f t="shared" si="2"/>
        <v>...</v>
      </c>
      <c r="N27" s="160">
        <f>'2025'!R27</f>
        <v>0</v>
      </c>
      <c r="O27" s="160">
        <f>'2025'!R103</f>
        <v>0</v>
      </c>
      <c r="P27" s="161">
        <f t="shared" si="6"/>
        <v>0</v>
      </c>
      <c r="Q27" s="163" t="str">
        <f t="shared" si="3"/>
        <v>...</v>
      </c>
      <c r="R27" s="160">
        <f>'2024'!R27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f>'2025'!S28</f>
        <v>66215894.980000004</v>
      </c>
      <c r="H28" s="160">
        <f>SUM('2025'!G104:R104)</f>
        <v>109199999.99999996</v>
      </c>
      <c r="I28" s="161">
        <f t="shared" si="0"/>
        <v>-42984105.019999951</v>
      </c>
      <c r="J28" s="163">
        <f t="shared" si="1"/>
        <v>-0.39362733534798511</v>
      </c>
      <c r="K28" s="160">
        <f>SUM('2024'!G28:R28)</f>
        <v>40855353.379999995</v>
      </c>
      <c r="L28" s="161">
        <f t="shared" si="7"/>
        <v>25360541.600000009</v>
      </c>
      <c r="M28" s="165">
        <f t="shared" si="2"/>
        <v>0.62073974404575361</v>
      </c>
      <c r="N28" s="160">
        <f>'2025'!R28</f>
        <v>48029855.18</v>
      </c>
      <c r="O28" s="160">
        <f>'2025'!R104</f>
        <v>3170324.8177777799</v>
      </c>
      <c r="P28" s="161">
        <f t="shared" si="6"/>
        <v>44859530.362222217</v>
      </c>
      <c r="Q28" s="163" t="str">
        <f t="shared" si="3"/>
        <v>...</v>
      </c>
      <c r="R28" s="160">
        <f>'2024'!R28</f>
        <v>8518966.4200000018</v>
      </c>
      <c r="S28" s="161">
        <f t="shared" si="4"/>
        <v>39510888.759999998</v>
      </c>
      <c r="T28" s="165" t="str">
        <f t="shared" si="5"/>
        <v>...</v>
      </c>
      <c r="W28" s="470"/>
      <c r="Y28" s="470"/>
    </row>
    <row r="29" spans="1:25" ht="15.7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'2025'!S29</f>
        <v>3194760823.8900003</v>
      </c>
      <c r="H29" s="136">
        <f>SUM('2025'!G105:R105)</f>
        <v>3164221441.6799998</v>
      </c>
      <c r="I29" s="137">
        <f t="shared" si="0"/>
        <v>30539382.210000515</v>
      </c>
      <c r="J29" s="139">
        <f t="shared" si="1"/>
        <v>9.6514680697523669E-3</v>
      </c>
      <c r="K29" s="136">
        <f>SUM('2024'!G29:R29)</f>
        <v>3003265592.9499998</v>
      </c>
      <c r="L29" s="137">
        <f t="shared" si="7"/>
        <v>191495230.94000053</v>
      </c>
      <c r="M29" s="141">
        <f t="shared" si="2"/>
        <v>6.3762336367960692E-2</v>
      </c>
      <c r="N29" s="136">
        <f>'2025'!R29</f>
        <v>480420824.29000008</v>
      </c>
      <c r="O29" s="136">
        <f>'2025'!R105</f>
        <v>285364087.87</v>
      </c>
      <c r="P29" s="137">
        <f t="shared" si="6"/>
        <v>195056736.42000008</v>
      </c>
      <c r="Q29" s="139">
        <f t="shared" si="3"/>
        <v>0.68353638285718632</v>
      </c>
      <c r="R29" s="136">
        <f>'2024'!R29</f>
        <v>506530085.87999988</v>
      </c>
      <c r="S29" s="137">
        <f t="shared" si="4"/>
        <v>-26109261.589999795</v>
      </c>
      <c r="T29" s="141">
        <f t="shared" si="5"/>
        <v>-5.1545332286906387E-2</v>
      </c>
      <c r="V29" s="470"/>
      <c r="W29" s="470"/>
      <c r="Y29" s="470"/>
    </row>
    <row r="30" spans="1:25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294">
        <f>'2025'!S30</f>
        <v>1250212321.7800002</v>
      </c>
      <c r="H30" s="294">
        <f>SUM('2025'!G106:R106)</f>
        <v>1261815313.1399999</v>
      </c>
      <c r="I30" s="173">
        <f t="shared" si="0"/>
        <v>-11602991.359999657</v>
      </c>
      <c r="J30" s="556">
        <f t="shared" si="1"/>
        <v>-9.1954751532741241E-3</v>
      </c>
      <c r="K30" s="294">
        <f>SUM('2024'!G30:R30)</f>
        <v>1191701976.5</v>
      </c>
      <c r="L30" s="173">
        <f t="shared" si="7"/>
        <v>58510345.28000021</v>
      </c>
      <c r="M30" s="177">
        <f t="shared" si="2"/>
        <v>4.9098135636095552E-2</v>
      </c>
      <c r="N30" s="294">
        <f>'2025'!R30</f>
        <v>203889959.92000008</v>
      </c>
      <c r="O30" s="294">
        <f>'2025'!R106</f>
        <v>103445277.06999999</v>
      </c>
      <c r="P30" s="173">
        <f t="shared" si="6"/>
        <v>100444682.85000008</v>
      </c>
      <c r="Q30" s="175">
        <f t="shared" si="3"/>
        <v>0.97099341502106995</v>
      </c>
      <c r="R30" s="294">
        <f>'2024'!R30</f>
        <v>189872196.31</v>
      </c>
      <c r="S30" s="173">
        <f t="shared" si="4"/>
        <v>14017763.610000074</v>
      </c>
      <c r="T30" s="177">
        <f t="shared" si="5"/>
        <v>7.3827363260251078E-2</v>
      </c>
      <c r="W30" s="470"/>
      <c r="Y30" s="470"/>
    </row>
    <row r="31" spans="1:25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148">
        <f>'2025'!S31</f>
        <v>687045772.32999992</v>
      </c>
      <c r="H31" s="148">
        <f>SUM('2025'!G107:R107)</f>
        <v>714373786.53999996</v>
      </c>
      <c r="I31" s="149">
        <f t="shared" si="0"/>
        <v>-27328014.210000038</v>
      </c>
      <c r="J31" s="557">
        <f t="shared" si="1"/>
        <v>-3.8254503069549362E-2</v>
      </c>
      <c r="K31" s="148">
        <f>SUM('2024'!G31:R31)</f>
        <v>675239256.99000001</v>
      </c>
      <c r="L31" s="149">
        <f t="shared" si="7"/>
        <v>11806515.339999914</v>
      </c>
      <c r="M31" s="153">
        <f t="shared" si="2"/>
        <v>1.748493621746694E-2</v>
      </c>
      <c r="N31" s="148">
        <f>'2025'!R31</f>
        <v>60027397.519999988</v>
      </c>
      <c r="O31" s="148">
        <f>'2025'!R107</f>
        <v>48093301.420000009</v>
      </c>
      <c r="P31" s="149">
        <f>+N31-O31</f>
        <v>11934096.099999979</v>
      </c>
      <c r="Q31" s="151">
        <f>IF(+IF(ISERROR(N31/O31),"…",N31/O31-1)&gt;200%,"...",IF(ISERROR(N31/O31),"…",N31/O31-1))</f>
        <v>0.24814466355260612</v>
      </c>
      <c r="R31" s="148">
        <f>'2024'!R31</f>
        <v>57788253.059999973</v>
      </c>
      <c r="S31" s="149">
        <f t="shared" si="4"/>
        <v>2239144.4600000158</v>
      </c>
      <c r="T31" s="153">
        <f t="shared" si="5"/>
        <v>3.874739832808527E-2</v>
      </c>
      <c r="W31" s="470"/>
      <c r="Y31" s="470"/>
    </row>
    <row r="32" spans="1:25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148">
        <f>'2025'!S32</f>
        <v>27625526.710000001</v>
      </c>
      <c r="H32" s="148">
        <f>SUM('2025'!G108:R108)</f>
        <v>26530166.550000004</v>
      </c>
      <c r="I32" s="149">
        <f t="shared" si="0"/>
        <v>1095360.1599999964</v>
      </c>
      <c r="J32" s="557">
        <f t="shared" si="1"/>
        <v>4.128734578185278E-2</v>
      </c>
      <c r="K32" s="148">
        <f>SUM('2024'!G32:R32)</f>
        <v>20705195.260000002</v>
      </c>
      <c r="L32" s="149">
        <f t="shared" si="7"/>
        <v>6920331.4499999993</v>
      </c>
      <c r="M32" s="153">
        <f t="shared" si="2"/>
        <v>0.33423164394731719</v>
      </c>
      <c r="N32" s="148">
        <f>'2025'!R32</f>
        <v>5617411.1200000001</v>
      </c>
      <c r="O32" s="148">
        <f>'2025'!R108</f>
        <v>2409220.79</v>
      </c>
      <c r="P32" s="149">
        <f t="shared" si="6"/>
        <v>3208190.33</v>
      </c>
      <c r="Q32" s="151">
        <f t="shared" si="3"/>
        <v>1.3316298544808753</v>
      </c>
      <c r="R32" s="148">
        <f>'2024'!R32</f>
        <v>3369371.71</v>
      </c>
      <c r="S32" s="149">
        <f t="shared" si="4"/>
        <v>2248039.41</v>
      </c>
      <c r="T32" s="153">
        <f t="shared" si="5"/>
        <v>0.66719839883739041</v>
      </c>
      <c r="W32" s="470"/>
      <c r="Y32" s="470"/>
    </row>
    <row r="33" spans="1:25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148">
        <f>'2025'!S33</f>
        <v>46142184.040000007</v>
      </c>
      <c r="H33" s="148">
        <f>SUM('2025'!G109:R109)</f>
        <v>50612483.57</v>
      </c>
      <c r="I33" s="149">
        <f t="shared" si="0"/>
        <v>-4470299.5299999937</v>
      </c>
      <c r="J33" s="557">
        <f t="shared" si="1"/>
        <v>-8.8324050010652244E-2</v>
      </c>
      <c r="K33" s="148">
        <f>SUM('2024'!G33:R33)</f>
        <v>40058022.25</v>
      </c>
      <c r="L33" s="149">
        <f t="shared" si="7"/>
        <v>6084161.7900000066</v>
      </c>
      <c r="M33" s="153">
        <f t="shared" si="2"/>
        <v>0.15188372885783208</v>
      </c>
      <c r="N33" s="148">
        <f>'2025'!R33</f>
        <v>10051158.870000001</v>
      </c>
      <c r="O33" s="148">
        <f>'2025'!R109</f>
        <v>5146580.28</v>
      </c>
      <c r="P33" s="149">
        <f t="shared" si="6"/>
        <v>4904578.5900000008</v>
      </c>
      <c r="Q33" s="151">
        <f t="shared" si="3"/>
        <v>0.95297815698310662</v>
      </c>
      <c r="R33" s="148">
        <f>'2024'!R33</f>
        <v>9282037.9699999988</v>
      </c>
      <c r="S33" s="149">
        <f t="shared" si="4"/>
        <v>769120.90000000224</v>
      </c>
      <c r="T33" s="153">
        <f t="shared" si="5"/>
        <v>8.2861210273631469E-2</v>
      </c>
      <c r="W33" s="470"/>
      <c r="Y33" s="470"/>
    </row>
    <row r="34" spans="1:25">
      <c r="A34" s="135">
        <v>414</v>
      </c>
      <c r="B34" s="598" t="str">
        <f>+VLOOKUP($A34,Master!$D$30:$G$226,4,FALSE)</f>
        <v>Rashodi za usluge</v>
      </c>
      <c r="C34" s="599"/>
      <c r="D34" s="599"/>
      <c r="E34" s="599"/>
      <c r="F34" s="599"/>
      <c r="G34" s="148">
        <f>'2025'!S34</f>
        <v>101288786.87999998</v>
      </c>
      <c r="H34" s="148">
        <f>SUM('2025'!G110:R110)</f>
        <v>98497542.020000026</v>
      </c>
      <c r="I34" s="149">
        <f t="shared" si="0"/>
        <v>2791244.8599999547</v>
      </c>
      <c r="J34" s="557">
        <f t="shared" si="1"/>
        <v>2.8338218424102335E-2</v>
      </c>
      <c r="K34" s="148">
        <f>SUM('2024'!G34:R34)</f>
        <v>81306308.290000007</v>
      </c>
      <c r="L34" s="149">
        <f t="shared" si="7"/>
        <v>19982478.589999974</v>
      </c>
      <c r="M34" s="153">
        <f t="shared" si="2"/>
        <v>0.24576787472292172</v>
      </c>
      <c r="N34" s="148">
        <f>'2025'!R34</f>
        <v>29889013.09999999</v>
      </c>
      <c r="O34" s="148">
        <f>'2025'!R110</f>
        <v>13071654.640000006</v>
      </c>
      <c r="P34" s="149">
        <f t="shared" si="6"/>
        <v>16817358.459999986</v>
      </c>
      <c r="Q34" s="151">
        <f t="shared" si="3"/>
        <v>1.2865516205223102</v>
      </c>
      <c r="R34" s="148">
        <f>'2024'!R34</f>
        <v>24116042.669999998</v>
      </c>
      <c r="S34" s="149">
        <f t="shared" si="4"/>
        <v>5772970.4299999923</v>
      </c>
      <c r="T34" s="153">
        <f t="shared" si="5"/>
        <v>0.23938299118957374</v>
      </c>
      <c r="W34" s="470"/>
      <c r="Y34" s="470"/>
    </row>
    <row r="35" spans="1:25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148">
        <f>'2025'!S35</f>
        <v>35611125.049999997</v>
      </c>
      <c r="H35" s="148">
        <f>SUM('2025'!G111:R111)</f>
        <v>40834441.310000002</v>
      </c>
      <c r="I35" s="149">
        <f t="shared" si="0"/>
        <v>-5223316.2600000054</v>
      </c>
      <c r="J35" s="557">
        <f t="shared" si="1"/>
        <v>-0.12791447837737058</v>
      </c>
      <c r="K35" s="148">
        <f>SUM('2024'!G35:R35)</f>
        <v>33868346.910000004</v>
      </c>
      <c r="L35" s="149">
        <f t="shared" si="7"/>
        <v>1742778.1399999931</v>
      </c>
      <c r="M35" s="153">
        <f t="shared" si="2"/>
        <v>5.1457431466352954E-2</v>
      </c>
      <c r="N35" s="148">
        <f>'2025'!R35</f>
        <v>9487891.1699999981</v>
      </c>
      <c r="O35" s="148">
        <f>'2025'!R111</f>
        <v>4723052.0699999994</v>
      </c>
      <c r="P35" s="149">
        <f t="shared" si="6"/>
        <v>4764839.0999999987</v>
      </c>
      <c r="Q35" s="151">
        <f t="shared" si="3"/>
        <v>1.0088474633310573</v>
      </c>
      <c r="R35" s="148">
        <f>'2024'!R35</f>
        <v>7558144.2599999998</v>
      </c>
      <c r="S35" s="149">
        <f t="shared" si="4"/>
        <v>1929746.9099999983</v>
      </c>
      <c r="T35" s="153">
        <f t="shared" si="5"/>
        <v>0.25532020078166617</v>
      </c>
      <c r="W35" s="470"/>
      <c r="Y35" s="470"/>
    </row>
    <row r="36" spans="1:25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148">
        <f>'2025'!S36</f>
        <v>161095737.64000002</v>
      </c>
      <c r="H36" s="148">
        <f>SUM('2025'!G112:R112)</f>
        <v>158012011.99000001</v>
      </c>
      <c r="I36" s="149">
        <f t="shared" si="0"/>
        <v>3083725.650000006</v>
      </c>
      <c r="J36" s="557">
        <f t="shared" si="1"/>
        <v>1.9515767258220684E-2</v>
      </c>
      <c r="K36" s="148">
        <f>SUM('2024'!G36:R36)</f>
        <v>149286400.39000002</v>
      </c>
      <c r="L36" s="149">
        <f t="shared" si="7"/>
        <v>11809337.25</v>
      </c>
      <c r="M36" s="153">
        <f t="shared" si="2"/>
        <v>7.9105244812313513E-2</v>
      </c>
      <c r="N36" s="148">
        <f>'2025'!R36</f>
        <v>26198268.620000001</v>
      </c>
      <c r="O36" s="148">
        <f>'2025'!R112</f>
        <v>14490645.719999999</v>
      </c>
      <c r="P36" s="149">
        <f t="shared" si="6"/>
        <v>11707622.900000002</v>
      </c>
      <c r="Q36" s="151">
        <f t="shared" si="3"/>
        <v>0.80794349169969237</v>
      </c>
      <c r="R36" s="148">
        <f>'2024'!R36</f>
        <v>27215872.760000002</v>
      </c>
      <c r="S36" s="149">
        <f t="shared" si="4"/>
        <v>-1017604.1400000006</v>
      </c>
      <c r="T36" s="153">
        <f t="shared" si="5"/>
        <v>-3.7390097645356613E-2</v>
      </c>
      <c r="W36" s="470"/>
      <c r="Y36" s="470"/>
    </row>
    <row r="37" spans="1:25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148">
        <f>'2025'!S37</f>
        <v>14932045.419999996</v>
      </c>
      <c r="H37" s="148">
        <f>SUM('2025'!G113:R113)</f>
        <v>13348178.529999999</v>
      </c>
      <c r="I37" s="149">
        <f t="shared" si="0"/>
        <v>1583866.8899999969</v>
      </c>
      <c r="J37" s="557">
        <f t="shared" si="1"/>
        <v>0.11865790425564504</v>
      </c>
      <c r="K37" s="148">
        <f>SUM('2024'!G37:R37)</f>
        <v>13501000.000000002</v>
      </c>
      <c r="L37" s="149">
        <f t="shared" si="7"/>
        <v>1431045.4199999943</v>
      </c>
      <c r="M37" s="153">
        <f t="shared" si="2"/>
        <v>0.10599551292496812</v>
      </c>
      <c r="N37" s="148">
        <f>'2025'!R37</f>
        <v>3977873.1599999983</v>
      </c>
      <c r="O37" s="148">
        <f>'2025'!R113</f>
        <v>1031644.0999999994</v>
      </c>
      <c r="P37" s="149">
        <f t="shared" si="6"/>
        <v>2946229.0599999987</v>
      </c>
      <c r="Q37" s="151" t="str">
        <f t="shared" si="3"/>
        <v>...</v>
      </c>
      <c r="R37" s="148">
        <f>'2024'!R37</f>
        <v>3659045.2200000011</v>
      </c>
      <c r="S37" s="149">
        <f t="shared" si="4"/>
        <v>318827.93999999715</v>
      </c>
      <c r="T37" s="153">
        <f t="shared" si="5"/>
        <v>8.7134189612446677E-2</v>
      </c>
      <c r="W37" s="470"/>
      <c r="Y37" s="470"/>
    </row>
    <row r="38" spans="1:25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148">
        <f>'2025'!S38</f>
        <v>91138513.580000088</v>
      </c>
      <c r="H38" s="148">
        <f>SUM('2025'!G114:R114)</f>
        <v>70687157.530000001</v>
      </c>
      <c r="I38" s="149">
        <f t="shared" si="0"/>
        <v>20451356.050000086</v>
      </c>
      <c r="J38" s="557">
        <f t="shared" si="1"/>
        <v>0.28932208854657127</v>
      </c>
      <c r="K38" s="148">
        <f>SUM('2024'!G38:R38)</f>
        <v>88788160.519999981</v>
      </c>
      <c r="L38" s="149">
        <f t="shared" si="7"/>
        <v>2350353.0600001067</v>
      </c>
      <c r="M38" s="153">
        <f t="shared" si="2"/>
        <v>2.6471469239084833E-2</v>
      </c>
      <c r="N38" s="148">
        <f>'2025'!R38</f>
        <v>34674373.5900001</v>
      </c>
      <c r="O38" s="148">
        <f>'2025'!R114</f>
        <v>6721963.5799999991</v>
      </c>
      <c r="P38" s="149">
        <f t="shared" si="6"/>
        <v>27952410.010000102</v>
      </c>
      <c r="Q38" s="151" t="str">
        <f t="shared" si="3"/>
        <v>...</v>
      </c>
      <c r="R38" s="148">
        <f>'2024'!R38</f>
        <v>17955567.600000001</v>
      </c>
      <c r="S38" s="149">
        <f t="shared" si="4"/>
        <v>16718805.990000099</v>
      </c>
      <c r="T38" s="153">
        <f t="shared" si="5"/>
        <v>0.93112099614161448</v>
      </c>
      <c r="W38" s="470"/>
      <c r="Y38" s="470"/>
    </row>
    <row r="39" spans="1:25">
      <c r="A39" s="135">
        <v>419</v>
      </c>
      <c r="B39" s="598" t="str">
        <f>+VLOOKUP($A39,Master!$D$30:$G$226,4,FALSE)</f>
        <v>Ostali izdaci</v>
      </c>
      <c r="C39" s="599"/>
      <c r="D39" s="599"/>
      <c r="E39" s="599"/>
      <c r="F39" s="599"/>
      <c r="G39" s="148">
        <f>'2025'!S39</f>
        <v>85332630.129999995</v>
      </c>
      <c r="H39" s="148">
        <f>SUM('2025'!G115:R115)</f>
        <v>88919545.099999964</v>
      </c>
      <c r="I39" s="149">
        <f t="shared" si="0"/>
        <v>-3586914.969999969</v>
      </c>
      <c r="J39" s="557">
        <f t="shared" si="1"/>
        <v>-4.0338881243331626E-2</v>
      </c>
      <c r="K39" s="148">
        <f>SUM('2024'!G39:R39)</f>
        <v>88949285.890000015</v>
      </c>
      <c r="L39" s="149">
        <f t="shared" si="7"/>
        <v>-3616655.7600000203</v>
      </c>
      <c r="M39" s="153">
        <f t="shared" si="2"/>
        <v>-4.0659750371381143E-2</v>
      </c>
      <c r="N39" s="148">
        <f>'2025'!R39</f>
        <v>23966572.770000003</v>
      </c>
      <c r="O39" s="148">
        <f>'2025'!R115</f>
        <v>7757214.4699999988</v>
      </c>
      <c r="P39" s="149">
        <f t="shared" si="6"/>
        <v>16209358.300000004</v>
      </c>
      <c r="Q39" s="151" t="str">
        <f t="shared" si="3"/>
        <v>...</v>
      </c>
      <c r="R39" s="148">
        <f>'2024'!R39</f>
        <v>38927861.060000002</v>
      </c>
      <c r="S39" s="149">
        <f t="shared" si="4"/>
        <v>-14961288.289999999</v>
      </c>
      <c r="T39" s="153">
        <f t="shared" si="5"/>
        <v>-0.38433368499080844</v>
      </c>
      <c r="W39" s="470"/>
      <c r="Y39" s="470"/>
    </row>
    <row r="40" spans="1:25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'2025'!S40</f>
        <v>1107596371.1499999</v>
      </c>
      <c r="H40" s="178">
        <f>SUM('2025'!G116:R116)</f>
        <v>1065657008.6800002</v>
      </c>
      <c r="I40" s="179">
        <f t="shared" si="0"/>
        <v>41939362.469999671</v>
      </c>
      <c r="J40" s="181">
        <f t="shared" si="1"/>
        <v>3.9355404345295719E-2</v>
      </c>
      <c r="K40" s="178">
        <f>SUM('2024'!G40:R40)</f>
        <v>1008167754.3099997</v>
      </c>
      <c r="L40" s="179">
        <f t="shared" si="7"/>
        <v>99428616.840000153</v>
      </c>
      <c r="M40" s="183">
        <f t="shared" si="2"/>
        <v>9.8623087690451028E-2</v>
      </c>
      <c r="N40" s="178">
        <f>'2025'!R40</f>
        <v>99948808.679999992</v>
      </c>
      <c r="O40" s="178">
        <f>'2025'!R116</f>
        <v>77037176.379999995</v>
      </c>
      <c r="P40" s="179">
        <f t="shared" si="6"/>
        <v>22911632.299999997</v>
      </c>
      <c r="Q40" s="181">
        <f t="shared" si="3"/>
        <v>0.2974100736374885</v>
      </c>
      <c r="R40" s="178">
        <f>'2024'!R40</f>
        <v>93229645.209999993</v>
      </c>
      <c r="S40" s="179">
        <f t="shared" si="4"/>
        <v>6719163.4699999988</v>
      </c>
      <c r="T40" s="183">
        <f t="shared" si="5"/>
        <v>7.2071104152172438E-2</v>
      </c>
      <c r="W40" s="470"/>
      <c r="Y40" s="470"/>
    </row>
    <row r="41" spans="1:25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148">
        <f>'2025'!S41</f>
        <v>241353335.31</v>
      </c>
      <c r="H41" s="148">
        <f>SUM('2025'!G117:R117)</f>
        <v>221530000.00000003</v>
      </c>
      <c r="I41" s="149">
        <f t="shared" si="0"/>
        <v>19823335.309999973</v>
      </c>
      <c r="J41" s="151">
        <f t="shared" si="1"/>
        <v>8.948375077867543E-2</v>
      </c>
      <c r="K41" s="148">
        <f>SUM('2024'!G41:R41)</f>
        <v>212995359.84</v>
      </c>
      <c r="L41" s="149">
        <f t="shared" si="7"/>
        <v>28357975.469999999</v>
      </c>
      <c r="M41" s="153">
        <f t="shared" si="2"/>
        <v>0.13313893547400379</v>
      </c>
      <c r="N41" s="148">
        <f>'2025'!R41</f>
        <v>21112054.329999998</v>
      </c>
      <c r="O41" s="148">
        <f>'2025'!R117</f>
        <v>9423875.8399999999</v>
      </c>
      <c r="P41" s="149">
        <f t="shared" si="6"/>
        <v>11688178.489999998</v>
      </c>
      <c r="Q41" s="151">
        <f t="shared" si="3"/>
        <v>1.2402729713807434</v>
      </c>
      <c r="R41" s="148">
        <f>'2024'!R41</f>
        <v>17669066.620000001</v>
      </c>
      <c r="S41" s="149">
        <f t="shared" si="4"/>
        <v>3442987.7099999972</v>
      </c>
      <c r="T41" s="153">
        <f t="shared" si="5"/>
        <v>0.19485962581083971</v>
      </c>
      <c r="W41" s="470"/>
      <c r="Y41" s="470"/>
    </row>
    <row r="42" spans="1:25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148">
        <f>'2025'!S42</f>
        <v>25664111.870000001</v>
      </c>
      <c r="H42" s="148">
        <f>SUM('2025'!G118:R118)</f>
        <v>24661725.040000007</v>
      </c>
      <c r="I42" s="149">
        <f t="shared" si="0"/>
        <v>1002386.8299999945</v>
      </c>
      <c r="J42" s="151">
        <f t="shared" si="1"/>
        <v>4.0645446673911678E-2</v>
      </c>
      <c r="K42" s="148">
        <f>SUM('2024'!G42:R42)</f>
        <v>26016571.370000005</v>
      </c>
      <c r="L42" s="149">
        <f t="shared" si="7"/>
        <v>-352459.50000000373</v>
      </c>
      <c r="M42" s="153">
        <f t="shared" si="2"/>
        <v>-1.3547499975589683E-2</v>
      </c>
      <c r="N42" s="148">
        <f>'2025'!R42</f>
        <v>4695000.3600000003</v>
      </c>
      <c r="O42" s="148">
        <f>'2025'!R118</f>
        <v>344604</v>
      </c>
      <c r="P42" s="149">
        <f t="shared" si="6"/>
        <v>4350396.3600000003</v>
      </c>
      <c r="Q42" s="151" t="str">
        <f t="shared" si="3"/>
        <v>...</v>
      </c>
      <c r="R42" s="148">
        <f>'2024'!R42</f>
        <v>7258641.3300000001</v>
      </c>
      <c r="S42" s="149">
        <f t="shared" si="4"/>
        <v>-2563640.9699999997</v>
      </c>
      <c r="T42" s="153">
        <f t="shared" si="5"/>
        <v>-0.35318468752608823</v>
      </c>
      <c r="W42" s="470"/>
      <c r="Y42" s="470"/>
    </row>
    <row r="43" spans="1:25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148">
        <f>'2025'!S43</f>
        <v>796697682.25999987</v>
      </c>
      <c r="H43" s="148">
        <f>SUM('2025'!G119:R119)</f>
        <v>777205283.63999999</v>
      </c>
      <c r="I43" s="149">
        <f t="shared" si="0"/>
        <v>19492398.619999886</v>
      </c>
      <c r="J43" s="151">
        <f t="shared" si="1"/>
        <v>2.508011593630477E-2</v>
      </c>
      <c r="K43" s="148">
        <f>SUM('2024'!G43:R43)</f>
        <v>730408864.30999994</v>
      </c>
      <c r="L43" s="149">
        <f t="shared" si="7"/>
        <v>66288817.949999928</v>
      </c>
      <c r="M43" s="153">
        <f t="shared" si="2"/>
        <v>9.0755768705821138E-2</v>
      </c>
      <c r="N43" s="148">
        <f>'2025'!R43</f>
        <v>67958544.320000008</v>
      </c>
      <c r="O43" s="148">
        <f>'2025'!R119</f>
        <v>63607323.419999994</v>
      </c>
      <c r="P43" s="149">
        <f t="shared" si="6"/>
        <v>4351220.9000000134</v>
      </c>
      <c r="Q43" s="151">
        <f t="shared" si="3"/>
        <v>6.8407545956129079E-2</v>
      </c>
      <c r="R43" s="148">
        <f>'2024'!R43</f>
        <v>63648277.499999985</v>
      </c>
      <c r="S43" s="149">
        <f t="shared" si="4"/>
        <v>4310266.8200000226</v>
      </c>
      <c r="T43" s="153">
        <f t="shared" si="5"/>
        <v>6.7720085904917404E-2</v>
      </c>
      <c r="W43" s="470"/>
      <c r="Y43" s="470"/>
    </row>
    <row r="44" spans="1:25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148">
        <f>'2025'!S44</f>
        <v>27038139.220000003</v>
      </c>
      <c r="H44" s="148">
        <f>SUM('2025'!G120:R120)</f>
        <v>25559999.999999993</v>
      </c>
      <c r="I44" s="149">
        <f t="shared" si="0"/>
        <v>1478139.22000001</v>
      </c>
      <c r="J44" s="151">
        <f t="shared" si="1"/>
        <v>5.7830172926447876E-2</v>
      </c>
      <c r="K44" s="148">
        <f>SUM('2024'!G44:R44)</f>
        <v>22113621.279999997</v>
      </c>
      <c r="L44" s="149">
        <f t="shared" si="7"/>
        <v>4924517.9400000051</v>
      </c>
      <c r="M44" s="153">
        <f t="shared" si="2"/>
        <v>0.22269161064333853</v>
      </c>
      <c r="N44" s="148">
        <f>'2025'!R44</f>
        <v>3751437.4599999995</v>
      </c>
      <c r="O44" s="148">
        <f>'2025'!R120</f>
        <v>2231619.42</v>
      </c>
      <c r="P44" s="149">
        <f t="shared" si="6"/>
        <v>1519818.0399999996</v>
      </c>
      <c r="Q44" s="151">
        <f t="shared" si="3"/>
        <v>0.68103818526547855</v>
      </c>
      <c r="R44" s="148">
        <f>'2024'!R44</f>
        <v>2910809.95</v>
      </c>
      <c r="S44" s="149">
        <f t="shared" si="4"/>
        <v>840627.50999999931</v>
      </c>
      <c r="T44" s="153">
        <f t="shared" si="5"/>
        <v>0.28879505170030062</v>
      </c>
      <c r="W44" s="470"/>
      <c r="Y44" s="470"/>
    </row>
    <row r="45" spans="1:25">
      <c r="A45" s="135">
        <v>425</v>
      </c>
      <c r="B45" s="598" t="str">
        <f>+VLOOKUP($A45,Master!$D$30:$G$226,4,FALSE)</f>
        <v>Ostala prava iz zdravstvenog osiguranja</v>
      </c>
      <c r="C45" s="599"/>
      <c r="D45" s="599"/>
      <c r="E45" s="599"/>
      <c r="F45" s="599"/>
      <c r="G45" s="148">
        <f>'2025'!S45</f>
        <v>16843102.489999998</v>
      </c>
      <c r="H45" s="148">
        <f>SUM('2025'!G121:R121)</f>
        <v>16700000</v>
      </c>
      <c r="I45" s="149">
        <f t="shared" si="0"/>
        <v>143102.48999999836</v>
      </c>
      <c r="J45" s="151">
        <f t="shared" si="1"/>
        <v>8.5690113772454168E-3</v>
      </c>
      <c r="K45" s="148">
        <f>SUM('2024'!G45:R45)</f>
        <v>16633337.509999996</v>
      </c>
      <c r="L45" s="149">
        <f t="shared" si="7"/>
        <v>209764.98000000231</v>
      </c>
      <c r="M45" s="153">
        <f t="shared" si="2"/>
        <v>1.261111787540492E-2</v>
      </c>
      <c r="N45" s="148">
        <f>'2025'!R45</f>
        <v>2431772.2100000004</v>
      </c>
      <c r="O45" s="148">
        <f>'2025'!R121</f>
        <v>1429753.7000000002</v>
      </c>
      <c r="P45" s="149">
        <f t="shared" si="6"/>
        <v>1002018.5100000002</v>
      </c>
      <c r="Q45" s="151">
        <f t="shared" si="3"/>
        <v>0.70083295465505713</v>
      </c>
      <c r="R45" s="148">
        <f>'2024'!R45</f>
        <v>1742849.8100000003</v>
      </c>
      <c r="S45" s="149">
        <f t="shared" si="4"/>
        <v>688922.40000000014</v>
      </c>
      <c r="T45" s="153">
        <f t="shared" si="5"/>
        <v>0.3952850073753631</v>
      </c>
      <c r="W45" s="470"/>
      <c r="Y45" s="470"/>
    </row>
    <row r="46" spans="1:25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f>'2025'!S46</f>
        <v>467903025.38999999</v>
      </c>
      <c r="H46" s="160">
        <f>SUM('2025'!G122:R122)</f>
        <v>455886309.82000011</v>
      </c>
      <c r="I46" s="161">
        <f t="shared" si="0"/>
        <v>12016715.569999874</v>
      </c>
      <c r="J46" s="163">
        <f t="shared" si="1"/>
        <v>2.6359018270902812E-2</v>
      </c>
      <c r="K46" s="160">
        <f>SUM('2024'!G46:R46)</f>
        <v>429186147.31999999</v>
      </c>
      <c r="L46" s="161">
        <f t="shared" si="7"/>
        <v>38716878.069999993</v>
      </c>
      <c r="M46" s="165">
        <f t="shared" si="2"/>
        <v>9.0209990028249365E-2</v>
      </c>
      <c r="N46" s="160">
        <f>'2025'!R46</f>
        <v>81208362.49000001</v>
      </c>
      <c r="O46" s="160">
        <f>'2025'!R122</f>
        <v>24159617.740000006</v>
      </c>
      <c r="P46" s="161">
        <f t="shared" si="6"/>
        <v>57048744.75</v>
      </c>
      <c r="Q46" s="163" t="str">
        <f t="shared" si="3"/>
        <v>...</v>
      </c>
      <c r="R46" s="160">
        <f>'2024'!R46</f>
        <v>86071555.38000001</v>
      </c>
      <c r="S46" s="161">
        <f t="shared" si="4"/>
        <v>-4863192.8900000006</v>
      </c>
      <c r="T46" s="165">
        <f t="shared" si="5"/>
        <v>-5.6501742864170867E-2</v>
      </c>
      <c r="W46" s="470"/>
      <c r="Y46" s="470"/>
    </row>
    <row r="47" spans="1:25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f>'2025'!S47</f>
        <v>331170830.39000005</v>
      </c>
      <c r="H47" s="160">
        <f>SUM('2025'!G123:R123)</f>
        <v>339503808.88</v>
      </c>
      <c r="I47" s="161">
        <f t="shared" si="0"/>
        <v>-8332978.4899999499</v>
      </c>
      <c r="J47" s="163">
        <f t="shared" si="1"/>
        <v>-2.4544580272869099E-2</v>
      </c>
      <c r="K47" s="160">
        <f>SUM('2024'!G47:R47)</f>
        <v>299128487.52999997</v>
      </c>
      <c r="L47" s="161">
        <f t="shared" si="7"/>
        <v>32042342.860000074</v>
      </c>
      <c r="M47" s="165">
        <f t="shared" si="2"/>
        <v>0.10711899466541608</v>
      </c>
      <c r="N47" s="160">
        <f>'2025'!R47</f>
        <v>90822958.969999999</v>
      </c>
      <c r="O47" s="160">
        <f>'2025'!R123</f>
        <v>76097863.920000017</v>
      </c>
      <c r="P47" s="161">
        <f t="shared" si="6"/>
        <v>14725095.049999982</v>
      </c>
      <c r="Q47" s="163">
        <f t="shared" si="3"/>
        <v>0.1935020812868038</v>
      </c>
      <c r="R47" s="160">
        <f>'2024'!R47</f>
        <v>109853091.14999996</v>
      </c>
      <c r="S47" s="161">
        <f t="shared" si="4"/>
        <v>-19030132.179999962</v>
      </c>
      <c r="T47" s="165">
        <f t="shared" si="5"/>
        <v>-0.17323255978309327</v>
      </c>
      <c r="W47" s="470"/>
      <c r="Y47" s="470"/>
    </row>
    <row r="48" spans="1:25" hidden="1">
      <c r="A48" s="135">
        <v>451</v>
      </c>
      <c r="B48" s="566" t="str">
        <f>+VLOOKUP($A48,Master!$D$30:$G$226,4,FALSE)</f>
        <v>Pozajmice i krediti</v>
      </c>
      <c r="C48" s="567"/>
      <c r="D48" s="567"/>
      <c r="E48" s="567"/>
      <c r="F48" s="567"/>
      <c r="G48" s="148">
        <f>'2025'!S48</f>
        <v>0</v>
      </c>
      <c r="H48" s="148">
        <f>SUM('2025'!G124:R124)</f>
        <v>0</v>
      </c>
      <c r="I48" s="149">
        <f>G48-H48</f>
        <v>0</v>
      </c>
      <c r="J48" s="266" t="str">
        <f t="shared" si="1"/>
        <v>...</v>
      </c>
      <c r="K48" s="148">
        <f>SUM('2024'!G48:R48)</f>
        <v>0</v>
      </c>
      <c r="L48" s="263">
        <f t="shared" si="7"/>
        <v>0</v>
      </c>
      <c r="M48" s="561" t="str">
        <f t="shared" si="2"/>
        <v>...</v>
      </c>
      <c r="N48" s="148">
        <f>'2025'!R48</f>
        <v>0</v>
      </c>
      <c r="O48" s="148">
        <f>'2025'!R124</f>
        <v>0</v>
      </c>
      <c r="P48" s="149">
        <f t="shared" si="6"/>
        <v>0</v>
      </c>
      <c r="Q48" s="266" t="str">
        <f t="shared" si="3"/>
        <v>...</v>
      </c>
      <c r="R48" s="148">
        <f>'2024'!R48</f>
        <v>0</v>
      </c>
      <c r="S48" s="263">
        <f>+N48-R48-S58</f>
        <v>-47.3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6" t="str">
        <f>+VLOOKUP($A49,Master!$D$30:$G$226,4,FALSE)</f>
        <v>Rezerve</v>
      </c>
      <c r="C49" s="567"/>
      <c r="D49" s="567"/>
      <c r="E49" s="567"/>
      <c r="F49" s="567"/>
      <c r="G49" s="148">
        <f>'2025'!S49</f>
        <v>7354797.2799999993</v>
      </c>
      <c r="H49" s="148">
        <f>SUM('2025'!G125:R125)</f>
        <v>13783947.6</v>
      </c>
      <c r="I49" s="149">
        <f t="shared" ref="I49:I50" si="8">G49-H49</f>
        <v>-6429150.3200000003</v>
      </c>
      <c r="J49" s="267">
        <f t="shared" si="1"/>
        <v>-0.4664230093271684</v>
      </c>
      <c r="K49" s="148">
        <f>SUM('2024'!G49:R49)</f>
        <v>48809282.959999979</v>
      </c>
      <c r="L49" s="264">
        <f t="shared" si="7"/>
        <v>-41454485.679999977</v>
      </c>
      <c r="M49" s="476">
        <f t="shared" si="2"/>
        <v>-0.84931560486091595</v>
      </c>
      <c r="N49" s="148">
        <f>'2025'!R49</f>
        <v>2397969.0699999998</v>
      </c>
      <c r="O49" s="148">
        <f>'2025'!R125</f>
        <v>2576498.7200000002</v>
      </c>
      <c r="P49" s="149">
        <f t="shared" si="6"/>
        <v>-178529.65000000037</v>
      </c>
      <c r="Q49" s="267">
        <f t="shared" si="3"/>
        <v>-6.929157333328706E-2</v>
      </c>
      <c r="R49" s="148">
        <f>'2024'!R49</f>
        <v>25368889.319999978</v>
      </c>
      <c r="S49" s="264">
        <f t="shared" si="4"/>
        <v>-22970920.249999978</v>
      </c>
      <c r="T49" s="476">
        <f t="shared" si="5"/>
        <v>-0.90547599306566717</v>
      </c>
      <c r="W49" s="470"/>
      <c r="Y49" s="470"/>
    </row>
    <row r="50" spans="1:25" ht="15.7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f>'2025'!S50</f>
        <v>4062322.96</v>
      </c>
      <c r="H50" s="148">
        <f>SUM('2025'!G126:R126)</f>
        <v>4100003.9999999991</v>
      </c>
      <c r="I50" s="149">
        <f t="shared" si="8"/>
        <v>-37681.039999999106</v>
      </c>
      <c r="J50" s="268">
        <f t="shared" si="1"/>
        <v>-9.1904885946451076E-3</v>
      </c>
      <c r="K50" s="148">
        <f>SUM('2024'!G50:R50)</f>
        <v>5849367.6699999999</v>
      </c>
      <c r="L50" s="264">
        <f t="shared" si="7"/>
        <v>-1787044.71</v>
      </c>
      <c r="M50" s="477">
        <f t="shared" si="2"/>
        <v>-0.30551075104499281</v>
      </c>
      <c r="N50" s="148">
        <f>'2025'!R50</f>
        <v>0</v>
      </c>
      <c r="O50" s="148">
        <f>'2025'!R126</f>
        <v>0.4</v>
      </c>
      <c r="P50" s="149">
        <f t="shared" si="6"/>
        <v>-0.4</v>
      </c>
      <c r="Q50" s="268">
        <f t="shared" si="3"/>
        <v>-1</v>
      </c>
      <c r="R50" s="148">
        <f>'2024'!R50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4" t="str">
        <f>+VLOOKUP($A51,Master!$D$30:$G$226,4,FALSE)</f>
        <v>Otplata obaveza iz prethodnog perioda</v>
      </c>
      <c r="C51" s="585"/>
      <c r="D51" s="585"/>
      <c r="E51" s="585"/>
      <c r="F51" s="585"/>
      <c r="G51" s="295">
        <f>'2025'!S51</f>
        <v>26461154.940000001</v>
      </c>
      <c r="H51" s="295">
        <f>SUM('2025'!G127:R127)</f>
        <v>23475049.560000002</v>
      </c>
      <c r="I51" s="265">
        <f>G51-H51</f>
        <v>2986105.379999999</v>
      </c>
      <c r="J51" s="269">
        <f t="shared" si="1"/>
        <v>0.12720336851122704</v>
      </c>
      <c r="K51" s="295">
        <f>SUM('2024'!G51:R51)</f>
        <v>20422576.659999996</v>
      </c>
      <c r="L51" s="271">
        <f t="shared" si="7"/>
        <v>6038578.2800000049</v>
      </c>
      <c r="M51" s="478">
        <f t="shared" si="2"/>
        <v>0.2956815087798037</v>
      </c>
      <c r="N51" s="295">
        <f>'2025'!R51</f>
        <v>2152765.16</v>
      </c>
      <c r="O51" s="295">
        <f>'2025'!R127</f>
        <v>2047653.6400000004</v>
      </c>
      <c r="P51" s="265">
        <f>N51-O51</f>
        <v>105111.51999999979</v>
      </c>
      <c r="Q51" s="269">
        <f t="shared" si="3"/>
        <v>5.133266581158713E-2</v>
      </c>
      <c r="R51" s="295">
        <f>'2024'!R51</f>
        <v>2134708.5099999998</v>
      </c>
      <c r="S51" s="271">
        <f>+N51-R51</f>
        <v>18056.650000000373</v>
      </c>
      <c r="T51" s="478">
        <f t="shared" si="5"/>
        <v>8.4586021536028344E-3</v>
      </c>
      <c r="W51" s="470"/>
      <c r="Y51" s="470"/>
    </row>
    <row r="52" spans="1:25" ht="15.75" thickBot="1">
      <c r="A52" s="129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148">
        <f>'2025'!S52</f>
        <v>0</v>
      </c>
      <c r="H52" s="148">
        <f>SUM('2025'!G128:R128)</f>
        <v>0</v>
      </c>
      <c r="I52" s="265">
        <f>G52-H52</f>
        <v>0</v>
      </c>
      <c r="J52" s="269" t="str">
        <f t="shared" si="1"/>
        <v>...</v>
      </c>
      <c r="K52" s="148">
        <f>SUM('2024'!G52:R52)</f>
        <v>0</v>
      </c>
      <c r="L52" s="271">
        <f t="shared" si="7"/>
        <v>0</v>
      </c>
      <c r="M52" s="478" t="str">
        <f t="shared" si="2"/>
        <v>...</v>
      </c>
      <c r="N52" s="148">
        <f>'2025'!R52</f>
        <v>0</v>
      </c>
      <c r="O52" s="148">
        <f>'2025'!R128</f>
        <v>0</v>
      </c>
      <c r="P52" s="265">
        <f>N52-O52</f>
        <v>0</v>
      </c>
      <c r="Q52" s="269" t="str">
        <f t="shared" si="3"/>
        <v>...</v>
      </c>
      <c r="R52" s="148">
        <f>'2024'!R52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>'2025'!S53</f>
        <v>-321634512.91000009</v>
      </c>
      <c r="H53" s="136">
        <f>SUM('2025'!G129:R129)</f>
        <v>-278148441.60002053</v>
      </c>
      <c r="I53" s="299">
        <f>+G53-H53</f>
        <v>-43486071.309979558</v>
      </c>
      <c r="J53" s="270">
        <f t="shared" si="1"/>
        <v>0.15634123657076904</v>
      </c>
      <c r="K53" s="136">
        <f>SUM('2024'!G53:R53)</f>
        <v>-247548323.07999954</v>
      </c>
      <c r="L53" s="272">
        <f t="shared" si="7"/>
        <v>-74086189.83000055</v>
      </c>
      <c r="M53" s="479">
        <f t="shared" si="2"/>
        <v>0.29927970793023029</v>
      </c>
      <c r="N53" s="136">
        <f>'2025'!R53</f>
        <v>-150693596.18000007</v>
      </c>
      <c r="O53" s="136">
        <f>'2025'!R129</f>
        <v>-22293840.284296304</v>
      </c>
      <c r="P53" s="299">
        <f>N53-O53</f>
        <v>-128399755.89570376</v>
      </c>
      <c r="Q53" s="270" t="str">
        <f t="shared" si="3"/>
        <v>...</v>
      </c>
      <c r="R53" s="136">
        <f>'2024'!R53</f>
        <v>-248464779.46999985</v>
      </c>
      <c r="S53" s="272">
        <f t="shared" si="4"/>
        <v>97771183.289999783</v>
      </c>
      <c r="T53" s="479">
        <f t="shared" si="5"/>
        <v>-0.39350117750513958</v>
      </c>
      <c r="W53" s="470"/>
      <c r="Y53" s="470"/>
    </row>
    <row r="54" spans="1:25" ht="15.7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36">
        <f>'2025'!S54</f>
        <v>-160538775.2700001</v>
      </c>
      <c r="H54" s="136">
        <f>SUM('2025'!G130:R130)</f>
        <v>-120136429.61002049</v>
      </c>
      <c r="I54" s="191">
        <f t="shared" si="0"/>
        <v>-40402345.659979612</v>
      </c>
      <c r="J54" s="193">
        <f t="shared" si="1"/>
        <v>0.33630386545639168</v>
      </c>
      <c r="K54" s="136">
        <f>SUM('2024'!G54:R54)</f>
        <v>-98261922.689999536</v>
      </c>
      <c r="L54" s="191">
        <f t="shared" si="7"/>
        <v>-62276852.580000564</v>
      </c>
      <c r="M54" s="195">
        <f t="shared" si="2"/>
        <v>0.63378418491233846</v>
      </c>
      <c r="N54" s="136">
        <f>'2025'!R54</f>
        <v>-124495327.56000006</v>
      </c>
      <c r="O54" s="136">
        <f>'2025'!R130</f>
        <v>-7803194.5642963052</v>
      </c>
      <c r="P54" s="191">
        <f t="shared" si="6"/>
        <v>-116692132.99570376</v>
      </c>
      <c r="Q54" s="193" t="str">
        <f t="shared" si="3"/>
        <v>...</v>
      </c>
      <c r="R54" s="136">
        <f>'2024'!R54</f>
        <v>-221248906.70999986</v>
      </c>
      <c r="S54" s="191">
        <f t="shared" si="4"/>
        <v>96753579.149999797</v>
      </c>
      <c r="T54" s="195">
        <f t="shared" si="5"/>
        <v>-0.43730647345895701</v>
      </c>
      <c r="W54" s="470"/>
      <c r="Y54" s="470"/>
    </row>
    <row r="55" spans="1:25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460">
        <f>'2025'!S55</f>
        <v>803793986.27999997</v>
      </c>
      <c r="H55" s="460">
        <f>SUM('2025'!G131:R131)</f>
        <v>820911645.75999987</v>
      </c>
      <c r="I55" s="461">
        <f t="shared" si="0"/>
        <v>-17117659.4799999</v>
      </c>
      <c r="J55" s="462">
        <f t="shared" si="1"/>
        <v>-2.0852011989855979E-2</v>
      </c>
      <c r="K55" s="460">
        <f>SUM('2024'!G55:R55)</f>
        <v>495640543.03000009</v>
      </c>
      <c r="L55" s="461">
        <f t="shared" si="7"/>
        <v>308153443.24999988</v>
      </c>
      <c r="M55" s="480">
        <f t="shared" si="2"/>
        <v>0.62172767660644745</v>
      </c>
      <c r="N55" s="460">
        <f>'2025'!R55</f>
        <v>30219638.550000001</v>
      </c>
      <c r="O55" s="460">
        <f>'2025'!R131</f>
        <v>27083355.399999999</v>
      </c>
      <c r="P55" s="461">
        <f t="shared" si="6"/>
        <v>3136283.1500000022</v>
      </c>
      <c r="Q55" s="462">
        <f t="shared" si="3"/>
        <v>0.11580112964880285</v>
      </c>
      <c r="R55" s="460">
        <f>'2024'!R55</f>
        <v>36634252.979999997</v>
      </c>
      <c r="S55" s="461">
        <f t="shared" si="4"/>
        <v>-6414614.429999996</v>
      </c>
      <c r="T55" s="480">
        <f t="shared" si="5"/>
        <v>-0.17509881895236057</v>
      </c>
      <c r="W55" s="470"/>
      <c r="Y55" s="470"/>
    </row>
    <row r="56" spans="1:25">
      <c r="A56" s="129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48">
        <f>'2025'!S56</f>
        <v>56819301.560000002</v>
      </c>
      <c r="H56" s="148">
        <f>SUM('2025'!G132:R132)</f>
        <v>56781644.759999998</v>
      </c>
      <c r="I56" s="197">
        <f t="shared" si="0"/>
        <v>37656.80000000447</v>
      </c>
      <c r="J56" s="199">
        <f t="shared" si="1"/>
        <v>6.6318614332439019E-4</v>
      </c>
      <c r="K56" s="148">
        <f>SUM('2024'!G56:R56)</f>
        <v>206764325.04000002</v>
      </c>
      <c r="L56" s="197">
        <f t="shared" si="7"/>
        <v>-149945023.48000002</v>
      </c>
      <c r="M56" s="201">
        <f t="shared" si="2"/>
        <v>-0.7251977508740548</v>
      </c>
      <c r="N56" s="148">
        <f>'2025'!R56</f>
        <v>15776242.57</v>
      </c>
      <c r="O56" s="148">
        <f>'2025'!R132</f>
        <v>15726739.58</v>
      </c>
      <c r="P56" s="197">
        <f t="shared" si="6"/>
        <v>49502.990000000224</v>
      </c>
      <c r="Q56" s="199">
        <f t="shared" si="3"/>
        <v>3.1476956649649779E-3</v>
      </c>
      <c r="R56" s="148">
        <f>'2024'!R56</f>
        <v>13242556.039999997</v>
      </c>
      <c r="S56" s="197">
        <f t="shared" si="4"/>
        <v>2533686.5300000031</v>
      </c>
      <c r="T56" s="201">
        <f t="shared" si="5"/>
        <v>0.19132911519096751</v>
      </c>
      <c r="W56" s="470"/>
      <c r="Y56" s="470"/>
    </row>
    <row r="57" spans="1:25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148">
        <f>'2025'!S57</f>
        <v>746974684.72000003</v>
      </c>
      <c r="H57" s="148">
        <f>SUM('2025'!G133:R133)</f>
        <v>764130001</v>
      </c>
      <c r="I57" s="197">
        <f t="shared" si="0"/>
        <v>-17155316.279999971</v>
      </c>
      <c r="J57" s="199">
        <f t="shared" si="1"/>
        <v>-2.2450782272059988E-2</v>
      </c>
      <c r="K57" s="148">
        <f>SUM('2024'!G57:R57)</f>
        <v>288876217.99000001</v>
      </c>
      <c r="L57" s="197">
        <f t="shared" si="7"/>
        <v>458098466.73000002</v>
      </c>
      <c r="M57" s="201">
        <f t="shared" si="2"/>
        <v>1.5857950160018293</v>
      </c>
      <c r="N57" s="148">
        <f>'2025'!R57</f>
        <v>14443395.98</v>
      </c>
      <c r="O57" s="148">
        <f>'2025'!R133</f>
        <v>11356615.819999998</v>
      </c>
      <c r="P57" s="197">
        <f t="shared" si="6"/>
        <v>3086780.160000002</v>
      </c>
      <c r="Q57" s="199">
        <f t="shared" si="3"/>
        <v>0.27180457707866723</v>
      </c>
      <c r="R57" s="148">
        <f>'2024'!R57</f>
        <v>23391696.940000001</v>
      </c>
      <c r="S57" s="197">
        <f t="shared" si="4"/>
        <v>-8948300.9600000009</v>
      </c>
      <c r="T57" s="201">
        <f t="shared" si="5"/>
        <v>-0.38254176184620148</v>
      </c>
      <c r="W57" s="470"/>
      <c r="Y57" s="470"/>
    </row>
    <row r="58" spans="1:25" ht="15.75" thickBot="1">
      <c r="A58" s="129">
        <v>4418</v>
      </c>
      <c r="B58" s="594" t="str">
        <f>+VLOOKUP($A58,Master!$D$30:$G$226,4,FALSE)</f>
        <v>Izdaci za kupovinu hartija od vrijednosti</v>
      </c>
      <c r="C58" s="595"/>
      <c r="D58" s="595"/>
      <c r="E58" s="595"/>
      <c r="F58" s="595"/>
      <c r="G58" s="313">
        <f>'2025'!S58</f>
        <v>1485604.84</v>
      </c>
      <c r="H58" s="313">
        <f>SUM('2025'!G134:R134)</f>
        <v>34201934.24000001</v>
      </c>
      <c r="I58" s="314">
        <f t="shared" ref="I58:I66" si="9">+G58-H58</f>
        <v>-32716329.40000001</v>
      </c>
      <c r="J58" s="315">
        <f t="shared" si="1"/>
        <v>-0.95656371860213252</v>
      </c>
      <c r="K58" s="313">
        <f>SUM('2024'!G58:R58)</f>
        <v>3269563.45</v>
      </c>
      <c r="L58" s="314">
        <f t="shared" ref="L58:L66" si="10">+G58-K58</f>
        <v>-1783958.61</v>
      </c>
      <c r="M58" s="481">
        <f t="shared" si="2"/>
        <v>-0.54562593363955059</v>
      </c>
      <c r="N58" s="313">
        <f>'2025'!R58</f>
        <v>47.3</v>
      </c>
      <c r="O58" s="313">
        <f>'2025'!R134</f>
        <v>3427386.84</v>
      </c>
      <c r="P58" s="314">
        <f t="shared" ref="P58:P66" si="11">+N58-O58</f>
        <v>-3427339.54</v>
      </c>
      <c r="Q58" s="315">
        <f t="shared" si="3"/>
        <v>-0.99998619939848987</v>
      </c>
      <c r="R58" s="313">
        <f>'2024'!R58</f>
        <v>0</v>
      </c>
      <c r="S58" s="314">
        <f t="shared" ref="S58:S66" si="12">+N58-R58</f>
        <v>47.3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4" t="str">
        <f>+VLOOKUP($A59,Master!$D$30:$G$226,4,FALSE)</f>
        <v>Pozajmice i krediti</v>
      </c>
      <c r="C59" s="605"/>
      <c r="D59" s="605"/>
      <c r="E59" s="605"/>
      <c r="F59" s="605"/>
      <c r="G59" s="313">
        <f>'2025'!S59</f>
        <v>9176536.5</v>
      </c>
      <c r="H59" s="313">
        <f>SUM('2025'!G135:R135)</f>
        <v>7500007.9999999981</v>
      </c>
      <c r="I59" s="314">
        <f t="shared" si="9"/>
        <v>1676528.5000000019</v>
      </c>
      <c r="J59" s="315">
        <f t="shared" si="1"/>
        <v>0.2235368948939791</v>
      </c>
      <c r="K59" s="313">
        <f>SUM('2024'!G59:R59)</f>
        <v>9152704.9900000002</v>
      </c>
      <c r="L59" s="314">
        <f t="shared" si="10"/>
        <v>23831.509999999776</v>
      </c>
      <c r="M59" s="481">
        <f t="shared" si="2"/>
        <v>2.6037668673946079E-3</v>
      </c>
      <c r="N59" s="313">
        <f>'2025'!R59</f>
        <v>818668</v>
      </c>
      <c r="O59" s="313">
        <f>'2025'!R135</f>
        <v>624001.6</v>
      </c>
      <c r="P59" s="314">
        <f t="shared" si="11"/>
        <v>194666.40000000002</v>
      </c>
      <c r="Q59" s="315">
        <f t="shared" si="3"/>
        <v>0.31196458470619315</v>
      </c>
      <c r="R59" s="313">
        <f>'2024'!R59</f>
        <v>1326787.44</v>
      </c>
      <c r="S59" s="314">
        <f t="shared" si="12"/>
        <v>-508119.43999999994</v>
      </c>
      <c r="T59" s="481">
        <f t="shared" si="5"/>
        <v>-0.38296973929750189</v>
      </c>
      <c r="W59" s="470"/>
      <c r="Y59" s="470"/>
    </row>
    <row r="60" spans="1:25" ht="15.75" thickBot="1">
      <c r="A60" s="129">
        <v>1002</v>
      </c>
      <c r="B60" s="586" t="str">
        <f>+VLOOKUP($A60,Master!$D$30:$G$226,4,FALSE)</f>
        <v>Nedostajuća sredstva</v>
      </c>
      <c r="C60" s="587"/>
      <c r="D60" s="587"/>
      <c r="E60" s="587"/>
      <c r="F60" s="587"/>
      <c r="G60" s="298">
        <f>'2025'!S60</f>
        <v>-1136090640.53</v>
      </c>
      <c r="H60" s="298">
        <f>SUM('2025'!G136:R136)</f>
        <v>-1140762029.6000204</v>
      </c>
      <c r="I60" s="300">
        <f t="shared" si="9"/>
        <v>4671389.0700204372</v>
      </c>
      <c r="J60" s="301">
        <f t="shared" si="1"/>
        <v>-4.0949724384308217E-3</v>
      </c>
      <c r="K60" s="298">
        <f>SUM('2024'!G60:R60)</f>
        <v>-755611134.54999959</v>
      </c>
      <c r="L60" s="300">
        <f>+G60-K60</f>
        <v>-380479505.98000038</v>
      </c>
      <c r="M60" s="482">
        <f t="shared" si="2"/>
        <v>0.50353877620741128</v>
      </c>
      <c r="N60" s="298">
        <f>'2025'!R60</f>
        <v>-181731950.03000009</v>
      </c>
      <c r="O60" s="298">
        <f>'2025'!R136</f>
        <v>-53428584.1242963</v>
      </c>
      <c r="P60" s="300">
        <f t="shared" si="11"/>
        <v>-128303365.90570378</v>
      </c>
      <c r="Q60" s="301" t="str">
        <f t="shared" si="3"/>
        <v>...</v>
      </c>
      <c r="R60" s="298">
        <f>'2024'!R60</f>
        <v>-286425819.88999987</v>
      </c>
      <c r="S60" s="300">
        <f t="shared" si="12"/>
        <v>104693869.85999978</v>
      </c>
      <c r="T60" s="482">
        <f t="shared" si="5"/>
        <v>-0.36551826891935524</v>
      </c>
      <c r="W60" s="470"/>
      <c r="Y60" s="470"/>
    </row>
    <row r="61" spans="1:25" ht="15.75" thickBot="1">
      <c r="A61" s="129">
        <v>1003</v>
      </c>
      <c r="B61" s="588" t="str">
        <f>+VLOOKUP($A61,Master!$D$30:$G$226,4,FALSE)</f>
        <v>Finansiranje</v>
      </c>
      <c r="C61" s="589"/>
      <c r="D61" s="589"/>
      <c r="E61" s="589"/>
      <c r="F61" s="589"/>
      <c r="G61" s="136">
        <f>'2025'!S61</f>
        <v>1136090640.5299997</v>
      </c>
      <c r="H61" s="136">
        <f>SUM('2025'!G137:R137)</f>
        <v>1140762029.6000204</v>
      </c>
      <c r="I61" s="299">
        <f t="shared" si="9"/>
        <v>-4671389.0700206757</v>
      </c>
      <c r="J61" s="302">
        <f t="shared" si="1"/>
        <v>-4.0949724384309327E-3</v>
      </c>
      <c r="K61" s="136">
        <f>SUM('2024'!G61:R61)</f>
        <v>755611134.54999959</v>
      </c>
      <c r="L61" s="299">
        <f t="shared" si="10"/>
        <v>380479505.98000014</v>
      </c>
      <c r="M61" s="483">
        <f t="shared" si="2"/>
        <v>0.50353877620741105</v>
      </c>
      <c r="N61" s="136">
        <f>'2025'!R61</f>
        <v>181731950.03000009</v>
      </c>
      <c r="O61" s="136">
        <f>'2025'!R137</f>
        <v>53428584.1242963</v>
      </c>
      <c r="P61" s="300">
        <f t="shared" si="11"/>
        <v>128303365.90570378</v>
      </c>
      <c r="Q61" s="302" t="str">
        <f t="shared" si="3"/>
        <v>...</v>
      </c>
      <c r="R61" s="136">
        <f>'2024'!R61</f>
        <v>286425819.88999987</v>
      </c>
      <c r="S61" s="299">
        <f t="shared" si="12"/>
        <v>-104693869.85999978</v>
      </c>
      <c r="T61" s="483">
        <f t="shared" si="5"/>
        <v>-0.36551826891935524</v>
      </c>
      <c r="W61" s="470"/>
      <c r="Y61" s="470"/>
    </row>
    <row r="62" spans="1:25">
      <c r="A62" s="129">
        <v>7511</v>
      </c>
      <c r="B62" s="582" t="str">
        <f>+VLOOKUP($A62,Master!$D$30:$G$226,4,FALSE)</f>
        <v>Pozajmice i krediti od domaćih izvora</v>
      </c>
      <c r="C62" s="583"/>
      <c r="D62" s="583"/>
      <c r="E62" s="583"/>
      <c r="F62" s="583"/>
      <c r="G62" s="148">
        <f>'2025'!S62</f>
        <v>55994697</v>
      </c>
      <c r="H62" s="148">
        <f>SUM('2025'!G138:R138)</f>
        <v>115000000</v>
      </c>
      <c r="I62" s="197">
        <f t="shared" si="9"/>
        <v>-59005303</v>
      </c>
      <c r="J62" s="199">
        <f t="shared" si="1"/>
        <v>-0.51308959130434784</v>
      </c>
      <c r="K62" s="148">
        <f>SUM('2024'!G62:R62)</f>
        <v>0</v>
      </c>
      <c r="L62" s="197">
        <f t="shared" si="10"/>
        <v>55994697</v>
      </c>
      <c r="M62" s="201" t="str">
        <f>IF(+IF(ISERROR(G62/K62),"…",G62/K62-1)&gt;200%,"...",IF(ISERROR(G62/K62),"…",G62/K62-1))</f>
        <v>...</v>
      </c>
      <c r="N62" s="148">
        <f>'2025'!R62</f>
        <v>49867022</v>
      </c>
      <c r="O62" s="148">
        <f>'2025'!R138</f>
        <v>0</v>
      </c>
      <c r="P62" s="197">
        <f t="shared" si="11"/>
        <v>49867022</v>
      </c>
      <c r="Q62" s="199" t="str">
        <f>IF(+IF(ISERROR(N62/O62),"…",N62/O62-1)&gt;200%,"...",IF(ISERROR(N62/O62),"…",N62/O62-1))</f>
        <v>...</v>
      </c>
      <c r="R62" s="148">
        <f>'2024'!R62</f>
        <v>0</v>
      </c>
      <c r="S62" s="197">
        <f t="shared" si="12"/>
        <v>49867022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6" t="str">
        <f>+VLOOKUP($A63,Master!$D$30:$G$226,4,FALSE)</f>
        <v>Pozajmice i krediti od inostranih izvora</v>
      </c>
      <c r="C63" s="567"/>
      <c r="D63" s="567"/>
      <c r="E63" s="567"/>
      <c r="F63" s="567"/>
      <c r="G63" s="148">
        <f>'2025'!S63</f>
        <v>1413791710.5800002</v>
      </c>
      <c r="H63" s="148">
        <f>SUM('2025'!G139:R139)</f>
        <v>770014118.59000003</v>
      </c>
      <c r="I63" s="197">
        <f t="shared" si="9"/>
        <v>643777591.99000013</v>
      </c>
      <c r="J63" s="199">
        <f t="shared" si="1"/>
        <v>0.83605946494701144</v>
      </c>
      <c r="K63" s="148">
        <f>SUM('2024'!G63:R63)</f>
        <v>942124812.58999991</v>
      </c>
      <c r="L63" s="197">
        <f t="shared" si="10"/>
        <v>471666897.99000025</v>
      </c>
      <c r="M63" s="201">
        <f t="shared" si="2"/>
        <v>0.50064162591508277</v>
      </c>
      <c r="N63" s="148">
        <f>'2025'!R63</f>
        <v>455783810.64000005</v>
      </c>
      <c r="O63" s="148">
        <f>'2025'!R139</f>
        <v>0</v>
      </c>
      <c r="P63" s="197">
        <f t="shared" si="11"/>
        <v>455783810.64000005</v>
      </c>
      <c r="Q63" s="199" t="str">
        <f t="shared" si="3"/>
        <v>...</v>
      </c>
      <c r="R63" s="148">
        <f>'2024'!R63</f>
        <v>208872660.51000002</v>
      </c>
      <c r="S63" s="197">
        <f t="shared" si="12"/>
        <v>246911150.13000003</v>
      </c>
      <c r="T63" s="201">
        <f t="shared" si="5"/>
        <v>1.1821133006451023</v>
      </c>
      <c r="W63" s="470"/>
      <c r="Y63" s="470"/>
    </row>
    <row r="64" spans="1:25">
      <c r="A64" s="129">
        <v>72</v>
      </c>
      <c r="B64" s="566" t="str">
        <f>+VLOOKUP($A64,Master!$D$30:$G$226,4,FALSE)</f>
        <v>Primici od prodaje imovine</v>
      </c>
      <c r="C64" s="567"/>
      <c r="D64" s="567"/>
      <c r="E64" s="567"/>
      <c r="F64" s="567"/>
      <c r="G64" s="148">
        <f>'2025'!S64</f>
        <v>10168205.030000001</v>
      </c>
      <c r="H64" s="148">
        <f>SUM('2025'!G140:R140)</f>
        <v>6000000</v>
      </c>
      <c r="I64" s="197">
        <f t="shared" si="9"/>
        <v>4168205.0300000012</v>
      </c>
      <c r="J64" s="199">
        <f t="shared" si="1"/>
        <v>0.69470083833333351</v>
      </c>
      <c r="K64" s="148">
        <f>SUM('2024'!G64:R64)</f>
        <v>2361574.46</v>
      </c>
      <c r="L64" s="197">
        <f t="shared" si="10"/>
        <v>7806630.5700000012</v>
      </c>
      <c r="M64" s="201" t="str">
        <f t="shared" si="2"/>
        <v>...</v>
      </c>
      <c r="N64" s="148">
        <f>'2025'!R64</f>
        <v>5201509.790000001</v>
      </c>
      <c r="O64" s="148">
        <f>'2025'!R140</f>
        <v>500000</v>
      </c>
      <c r="P64" s="197">
        <f t="shared" si="11"/>
        <v>4701509.790000001</v>
      </c>
      <c r="Q64" s="199" t="str">
        <f t="shared" si="3"/>
        <v>...</v>
      </c>
      <c r="R64" s="148">
        <f>'2024'!R64</f>
        <v>521948.26</v>
      </c>
      <c r="S64" s="197">
        <f t="shared" si="12"/>
        <v>4679561.5300000012</v>
      </c>
      <c r="T64" s="201" t="str">
        <f t="shared" si="5"/>
        <v>...</v>
      </c>
      <c r="W64" s="470"/>
      <c r="Y64" s="470"/>
    </row>
    <row r="65" spans="1:25">
      <c r="A65" s="129">
        <v>73</v>
      </c>
      <c r="B65" s="566" t="str">
        <f>+VLOOKUP($A65,Master!$D$30:$G$226,4,FALSE)</f>
        <v>Primici od otplate kredita i sredstva prenesena iz prethodne godine</v>
      </c>
      <c r="C65" s="567"/>
      <c r="D65" s="567"/>
      <c r="E65" s="567"/>
      <c r="F65" s="567"/>
      <c r="G65" s="148">
        <f>'2025'!S65</f>
        <v>19735291.66</v>
      </c>
      <c r="H65" s="148">
        <f>SUM('2025'!G141:R141)</f>
        <v>9747904</v>
      </c>
      <c r="I65" s="197">
        <f t="shared" si="9"/>
        <v>9987387.6600000001</v>
      </c>
      <c r="J65" s="199">
        <f t="shared" si="1"/>
        <v>1.0245677080939655</v>
      </c>
      <c r="K65" s="148">
        <f>SUM('2024'!G65:R65)</f>
        <v>20319169.149999999</v>
      </c>
      <c r="L65" s="197">
        <f t="shared" si="10"/>
        <v>-583877.48999999836</v>
      </c>
      <c r="M65" s="201">
        <f t="shared" si="2"/>
        <v>-2.8735303382225075E-2</v>
      </c>
      <c r="N65" s="148">
        <f>'2025'!R65</f>
        <v>2382212.39</v>
      </c>
      <c r="O65" s="148">
        <f>'2025'!R141</f>
        <v>2152051.5417040759</v>
      </c>
      <c r="P65" s="197">
        <f t="shared" si="11"/>
        <v>230160.84829592425</v>
      </c>
      <c r="Q65" s="199">
        <f t="shared" si="3"/>
        <v>0.10694950554654192</v>
      </c>
      <c r="R65" s="148">
        <f>'2024'!R65</f>
        <v>2884134.7699999996</v>
      </c>
      <c r="S65" s="197">
        <f t="shared" si="12"/>
        <v>-501922.37999999942</v>
      </c>
      <c r="T65" s="201">
        <f>IF(+IF(ISERROR(N65/R65),"…",N65/R65-1)&gt;200%,"...",IF(ISERROR(N65/R65),"…",N65/R65-1))</f>
        <v>-0.17402875386436933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-363599263.74000025</v>
      </c>
      <c r="H66" s="296">
        <f>SUM('2025'!G142:R142)</f>
        <v>240000007.01002049</v>
      </c>
      <c r="I66" s="211">
        <f t="shared" si="9"/>
        <v>-603599270.75002074</v>
      </c>
      <c r="J66" s="213">
        <f t="shared" si="1"/>
        <v>-2.5149968879993376</v>
      </c>
      <c r="K66" s="296">
        <f>SUM('2024'!G66:R66)</f>
        <v>-209194421.65000051</v>
      </c>
      <c r="L66" s="211">
        <f t="shared" si="10"/>
        <v>-154404842.08999974</v>
      </c>
      <c r="M66" s="215">
        <f t="shared" si="2"/>
        <v>0.73809254028929971</v>
      </c>
      <c r="N66" s="296">
        <f>'2025'!R66</f>
        <v>-331502604.78999996</v>
      </c>
      <c r="O66" s="296">
        <f>'2025'!R142</f>
        <v>50776532.582592227</v>
      </c>
      <c r="P66" s="211">
        <f t="shared" si="11"/>
        <v>-382279137.37259221</v>
      </c>
      <c r="Q66" s="213">
        <f t="shared" si="3"/>
        <v>-7.5286577859719657</v>
      </c>
      <c r="R66" s="296">
        <f>'2024'!R66</f>
        <v>74147076.349999845</v>
      </c>
      <c r="S66" s="211">
        <f t="shared" si="12"/>
        <v>-405649681.13999981</v>
      </c>
      <c r="T66" s="215">
        <f t="shared" si="5"/>
        <v>-5.4708789760663388</v>
      </c>
      <c r="W66" s="470"/>
      <c r="Y66" s="470"/>
    </row>
    <row r="67" spans="1:25">
      <c r="G67" s="274"/>
    </row>
    <row r="68" spans="1:25">
      <c r="G68" s="4"/>
      <c r="N68" s="562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Uv6WKxV7z3qnf0pY0ySQu6ctiCvBjjS2TQ4++ZhywFwpB7FefN9mTbrfAp5EDGf0hBL+k9MlF3asMWH1Hl2Z0g==" saltValue="k47ezWSQ9YI8f43eKHzpfQ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2024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7459213000</v>
      </c>
    </row>
    <row r="8" spans="1:24" ht="16.5" customHeight="1">
      <c r="A8" s="129"/>
      <c r="B8" s="570"/>
      <c r="C8" s="571"/>
      <c r="D8" s="571"/>
      <c r="E8" s="571"/>
      <c r="F8" s="57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4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8" t="str">
        <f>+VLOOKUP($A10,Master!$D$30:$G$226,4,FALSE)</f>
        <v>Prihodi budžeta</v>
      </c>
      <c r="C10" s="589"/>
      <c r="D10" s="589"/>
      <c r="E10" s="589"/>
      <c r="F10" s="589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8" t="str">
        <f>+VLOOKUP($A39,Master!$D$30:$G$226,4,FALSE)</f>
        <v>Ostali izdaci</v>
      </c>
      <c r="C39" s="599"/>
      <c r="D39" s="599"/>
      <c r="E39" s="599"/>
      <c r="F39" s="599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4" t="str">
        <f>+VLOOKUP($A59,Master!$D$30:$G$226,4,FALSE)</f>
        <v>Pozajmice i krediti</v>
      </c>
      <c r="C59" s="605"/>
      <c r="D59" s="605"/>
      <c r="E59" s="605"/>
      <c r="F59" s="605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6" t="str">
        <f>+VLOOKUP($A60,Master!$D$30:$G$226,4,FALSE)</f>
        <v>Nedostajuća sredstva</v>
      </c>
      <c r="C60" s="587"/>
      <c r="D60" s="587"/>
      <c r="E60" s="587"/>
      <c r="F60" s="587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8" t="str">
        <f>+VLOOKUP($A61,Master!$D$30:$G$226,4,FALSE)</f>
        <v>Finansiranje</v>
      </c>
      <c r="C61" s="589"/>
      <c r="D61" s="589"/>
      <c r="E61" s="589"/>
      <c r="F61" s="589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2" t="str">
        <f>+VLOOKUP($A62,Master!$D$30:$G$226,4,FALSE)</f>
        <v>Pozajmice i krediti od domaćih izvora</v>
      </c>
      <c r="C62" s="583"/>
      <c r="D62" s="583"/>
      <c r="E62" s="583"/>
      <c r="F62" s="583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6" t="str">
        <f>+VLOOKUP($A63,Master!$D$30:$G$226,4,FALSE)</f>
        <v>Pozajmice i krediti od inostranih izvora</v>
      </c>
      <c r="C63" s="567"/>
      <c r="D63" s="567"/>
      <c r="E63" s="567"/>
      <c r="F63" s="567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6" t="str">
        <f>+VLOOKUP($A64,Master!$D$30:$G$226,4,FALSE)</f>
        <v>Primici od prodaje imovine</v>
      </c>
      <c r="C64" s="567"/>
      <c r="D64" s="567"/>
      <c r="E64" s="567"/>
      <c r="F64" s="567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600" t="s">
        <v>101</v>
      </c>
      <c r="C65" s="601"/>
      <c r="D65" s="601"/>
      <c r="E65" s="601"/>
      <c r="F65" s="601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7" t="str">
        <f>+Master!G253</f>
        <v>Plan ostvarenja budžeta</v>
      </c>
      <c r="C83" s="638"/>
      <c r="D83" s="638"/>
      <c r="E83" s="638"/>
      <c r="F83" s="638"/>
      <c r="G83" s="622">
        <v>2024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7279700000</v>
      </c>
    </row>
    <row r="84" spans="1:26" ht="15.75" customHeight="1">
      <c r="B84" s="639"/>
      <c r="C84" s="640"/>
      <c r="D84" s="640"/>
      <c r="E84" s="640"/>
      <c r="F84" s="641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2"/>
      <c r="C85" s="643"/>
      <c r="D85" s="643"/>
      <c r="E85" s="643"/>
      <c r="F85" s="644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31" t="str">
        <f>+VLOOKUP(LEFT($A86,LEN(A86)-1)*1,Master!$D$30:$G$226,4,FALSE)</f>
        <v>Prihodi budžeta</v>
      </c>
      <c r="C86" s="632"/>
      <c r="D86" s="632"/>
      <c r="E86" s="632"/>
      <c r="F86" s="632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3" t="str">
        <f>+VLOOKUP(LEFT($A87,LEN(A87)-1)*1,Master!$D$30:$G$226,4,FALSE)</f>
        <v>Porezi</v>
      </c>
      <c r="C87" s="634"/>
      <c r="D87" s="634"/>
      <c r="E87" s="634"/>
      <c r="F87" s="634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5" t="str">
        <f>+VLOOKUP(LEFT($A88,LEN(A88)-1)*1,Master!$D$30:$G$229,4,FALSE)</f>
        <v>Porez na dohodak fizičkih lica</v>
      </c>
      <c r="C88" s="636"/>
      <c r="D88" s="636"/>
      <c r="E88" s="636"/>
      <c r="F88" s="636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5" t="str">
        <f>+VLOOKUP(LEFT($A89,LEN(A89)-1)*1,Master!$D$30:$G$229,4,FALSE)</f>
        <v>Porez na dobit pravnih lica</v>
      </c>
      <c r="C89" s="636"/>
      <c r="D89" s="636"/>
      <c r="E89" s="636"/>
      <c r="F89" s="636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5" t="str">
        <f>+VLOOKUP(LEFT($A90,LEN(A90)-1)*1,Master!$D$30:$G$229,4,FALSE)</f>
        <v>Porez na promet nepokretnosti</v>
      </c>
      <c r="C90" s="636"/>
      <c r="D90" s="636"/>
      <c r="E90" s="636"/>
      <c r="F90" s="636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5" t="str">
        <f>+VLOOKUP(LEFT($A91,LEN(A91)-1)*1,Master!$D$30:$G$229,4,FALSE)</f>
        <v>Porez na dodatu vrijednost</v>
      </c>
      <c r="C91" s="636"/>
      <c r="D91" s="636"/>
      <c r="E91" s="636"/>
      <c r="F91" s="636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5" t="str">
        <f>+VLOOKUP(LEFT($A92,LEN(A92)-1)*1,Master!$D$30:$G$229,4,FALSE)</f>
        <v>Akcize</v>
      </c>
      <c r="C92" s="636"/>
      <c r="D92" s="636"/>
      <c r="E92" s="636"/>
      <c r="F92" s="636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5" t="str">
        <f>+VLOOKUP(LEFT($A93,LEN(A93)-1)*1,Master!$D$30:$G$229,4,FALSE)</f>
        <v>Porez na međunarodnu trgovinu i transakcije</v>
      </c>
      <c r="C93" s="636"/>
      <c r="D93" s="636"/>
      <c r="E93" s="636"/>
      <c r="F93" s="636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5" t="str">
        <f>+VLOOKUP(LEFT($A94,LEN(A94)-1)*1,Master!$D$30:$G$229,4,FALSE)</f>
        <v>Ostali državni porezi</v>
      </c>
      <c r="C94" s="636"/>
      <c r="D94" s="636"/>
      <c r="E94" s="636"/>
      <c r="F94" s="636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5" t="str">
        <f>+VLOOKUP(LEFT($A95,LEN(A95)-1)*1,Master!$D$30:$G$229,4,FALSE)</f>
        <v>Doprinosi</v>
      </c>
      <c r="C95" s="646"/>
      <c r="D95" s="646"/>
      <c r="E95" s="646"/>
      <c r="F95" s="646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5" t="str">
        <f>+VLOOKUP(LEFT($A96,LEN(A96)-1)*1,Master!$D$30:$G$229,4,FALSE)</f>
        <v>Doprinosi za penzijsko i invalidsko osiguranje</v>
      </c>
      <c r="C96" s="636"/>
      <c r="D96" s="636"/>
      <c r="E96" s="636"/>
      <c r="F96" s="636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5" t="str">
        <f>+VLOOKUP(LEFT($A97,LEN(A97)-1)*1,Master!$D$30:$G$229,4,FALSE)</f>
        <v>Doprinosi za zdravstveno osiguranje</v>
      </c>
      <c r="C97" s="636"/>
      <c r="D97" s="636"/>
      <c r="E97" s="636"/>
      <c r="F97" s="636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5" t="str">
        <f>+VLOOKUP(LEFT($A98,LEN(A98)-1)*1,Master!$D$30:$G$229,4,FALSE)</f>
        <v>Doprinosi za osiguranje od nezaposlenosti</v>
      </c>
      <c r="C98" s="636"/>
      <c r="D98" s="636"/>
      <c r="E98" s="636"/>
      <c r="F98" s="636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5" t="str">
        <f>+VLOOKUP(LEFT($A99,LEN(A99)-1)*1,Master!$D$30:$G$229,4,FALSE)</f>
        <v>Ostali doprinosi</v>
      </c>
      <c r="C99" s="636"/>
      <c r="D99" s="636"/>
      <c r="E99" s="636"/>
      <c r="F99" s="636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5" t="str">
        <f>+VLOOKUP(LEFT($A100,LEN(A100)-1)*1,Master!$D$30:$G$229,4,FALSE)</f>
        <v>Takse</v>
      </c>
      <c r="C100" s="646"/>
      <c r="D100" s="646"/>
      <c r="E100" s="646"/>
      <c r="F100" s="646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5" t="str">
        <f>+VLOOKUP(LEFT($A101,LEN(A101)-1)*1,Master!$D$30:$G$229,4,FALSE)</f>
        <v>Naknade</v>
      </c>
      <c r="C101" s="646"/>
      <c r="D101" s="646"/>
      <c r="E101" s="646"/>
      <c r="F101" s="646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5" t="str">
        <f>+VLOOKUP(LEFT($A102,LEN(A102)-1)*1,Master!$D$30:$G$229,4,FALSE)</f>
        <v>Ostali prihodi</v>
      </c>
      <c r="C102" s="646"/>
      <c r="D102" s="646"/>
      <c r="E102" s="646"/>
      <c r="F102" s="646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5" t="str">
        <f>+VLOOKUP(LEFT($A103,LEN(A103)-1)*1,Master!$D$30:$G$229,4,FALSE)</f>
        <v>Primici od otplate kredita i sredstva prenesena iz prethodne godine</v>
      </c>
      <c r="C103" s="646"/>
      <c r="D103" s="646"/>
      <c r="E103" s="646"/>
      <c r="F103" s="646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7" t="str">
        <f>+VLOOKUP(LEFT($A104,LEN(A104)-1)*1,Master!$D$30:$G$229,4,FALSE)</f>
        <v>Donacije i transferi</v>
      </c>
      <c r="C104" s="648"/>
      <c r="D104" s="648"/>
      <c r="E104" s="648"/>
      <c r="F104" s="648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31" t="str">
        <f>+VLOOKUP(LEFT($A105,LEN(A105)-1)*1,Master!$D$30:$G$229,4,FALSE)</f>
        <v>Izdaci budžeta</v>
      </c>
      <c r="C105" s="632"/>
      <c r="D105" s="632"/>
      <c r="E105" s="632"/>
      <c r="F105" s="632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9" t="str">
        <f>+VLOOKUP(LEFT($A106,LEN(A106)-1)*1,Master!$D$30:$G$229,4,FALSE)</f>
        <v>Tekući izdaci</v>
      </c>
      <c r="C106" s="650"/>
      <c r="D106" s="650"/>
      <c r="E106" s="650"/>
      <c r="F106" s="650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5" t="str">
        <f>+VLOOKUP(LEFT($A107,LEN(A107)-1)*1,Master!$D$30:$G$229,4,FALSE)</f>
        <v>Bruto zarade i doprinosi na teret poslodavca</v>
      </c>
      <c r="C107" s="636"/>
      <c r="D107" s="636"/>
      <c r="E107" s="636"/>
      <c r="F107" s="636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5" t="str">
        <f>+VLOOKUP(LEFT($A108,LEN(A108)-1)*1,Master!$D$30:$G$229,4,FALSE)</f>
        <v>Ostala lična primanja</v>
      </c>
      <c r="C108" s="636"/>
      <c r="D108" s="636"/>
      <c r="E108" s="636"/>
      <c r="F108" s="636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5" t="str">
        <f>+VLOOKUP(LEFT($A109,LEN(A109)-1)*1,Master!$D$30:$G$229,4,FALSE)</f>
        <v>Rashodi za materijal</v>
      </c>
      <c r="C109" s="636"/>
      <c r="D109" s="636"/>
      <c r="E109" s="636"/>
      <c r="F109" s="636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5" t="str">
        <f>+VLOOKUP(LEFT($A110,LEN(A110)-1)*1,Master!$D$30:$G$229,4,FALSE)</f>
        <v>Rashodi za usluge</v>
      </c>
      <c r="C110" s="636"/>
      <c r="D110" s="636"/>
      <c r="E110" s="636"/>
      <c r="F110" s="636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5" t="str">
        <f>+VLOOKUP(LEFT($A111,LEN(A111)-1)*1,Master!$D$30:$G$229,4,FALSE)</f>
        <v>Rashodi za tekuće održavanje</v>
      </c>
      <c r="C111" s="636"/>
      <c r="D111" s="636"/>
      <c r="E111" s="636"/>
      <c r="F111" s="636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5" t="str">
        <f>+VLOOKUP(LEFT($A112,LEN(A112)-1)*1,Master!$D$30:$G$229,4,FALSE)</f>
        <v>Kamate</v>
      </c>
      <c r="C112" s="636"/>
      <c r="D112" s="636"/>
      <c r="E112" s="636"/>
      <c r="F112" s="636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5" t="str">
        <f>+VLOOKUP(LEFT($A113,LEN(A113)-1)*1,Master!$D$30:$G$229,4,FALSE)</f>
        <v>Renta</v>
      </c>
      <c r="C113" s="636"/>
      <c r="D113" s="636"/>
      <c r="E113" s="636"/>
      <c r="F113" s="636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5" t="str">
        <f>+VLOOKUP(LEFT($A114,LEN(A114)-1)*1,Master!$D$30:$G$229,4,FALSE)</f>
        <v>Subvencije</v>
      </c>
      <c r="C114" s="636"/>
      <c r="D114" s="636"/>
      <c r="E114" s="636"/>
      <c r="F114" s="636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5" t="str">
        <f>+VLOOKUP(LEFT($A115,LEN(A115)-1)*1,Master!$D$30:$G$229,4,FALSE)</f>
        <v>Ostali izdaci</v>
      </c>
      <c r="C115" s="636"/>
      <c r="D115" s="636"/>
      <c r="E115" s="636"/>
      <c r="F115" s="636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5" t="str">
        <f>+VLOOKUP(LEFT($A116,LEN(A116)-1)*1,Master!$D$30:$G$229,4,FALSE)</f>
        <v>Transferi za socijalnu zaštitu</v>
      </c>
      <c r="C116" s="656"/>
      <c r="D116" s="656"/>
      <c r="E116" s="656"/>
      <c r="F116" s="656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5" t="str">
        <f>+VLOOKUP(LEFT($A117,LEN(A117)-1)*1,Master!$D$30:$G$229,4,FALSE)</f>
        <v>Prava iz oblasti socijalne zaštite</v>
      </c>
      <c r="C117" s="636"/>
      <c r="D117" s="636"/>
      <c r="E117" s="636"/>
      <c r="F117" s="636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5" t="str">
        <f>+VLOOKUP(LEFT($A118,LEN(A118)-1)*1,Master!$D$30:$G$229,4,FALSE)</f>
        <v>Sredstva za tehnološke viškove</v>
      </c>
      <c r="C118" s="636"/>
      <c r="D118" s="636"/>
      <c r="E118" s="636"/>
      <c r="F118" s="636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5" t="str">
        <f>+VLOOKUP(LEFT($A119,LEN(A119)-1)*1,Master!$D$30:$G$229,4,FALSE)</f>
        <v>Prava iz oblasti penzijskog i invalidskog osiguranja</v>
      </c>
      <c r="C119" s="636"/>
      <c r="D119" s="636"/>
      <c r="E119" s="636"/>
      <c r="F119" s="636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5" t="str">
        <f>+VLOOKUP(LEFT($A120,LEN(A120)-1)*1,Master!$D$30:$G$229,4,FALSE)</f>
        <v>Ostala prava iz oblasti zdravstvene zaštite</v>
      </c>
      <c r="C120" s="636"/>
      <c r="D120" s="636"/>
      <c r="E120" s="636"/>
      <c r="F120" s="636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5" t="str">
        <f>+VLOOKUP(LEFT($A121,LEN(A121)-1)*1,Master!$D$30:$G$229,4,FALSE)</f>
        <v>Ostala prava iz zdravstvenog osiguranja</v>
      </c>
      <c r="C121" s="636"/>
      <c r="D121" s="636"/>
      <c r="E121" s="636"/>
      <c r="F121" s="636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51" t="str">
        <f>+VLOOKUP(LEFT($A122,LEN(A122)-1)*1,Master!$D$30:$G$229,4,FALSE)</f>
        <v xml:space="preserve">Transferi institucijama, pojedincima, nevladinom i javnom sektoru </v>
      </c>
      <c r="C122" s="652"/>
      <c r="D122" s="652"/>
      <c r="E122" s="652"/>
      <c r="F122" s="652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51" t="str">
        <f>+VLOOKUP(LEFT($A123,LEN(A123)-1)*1,Master!$D$30:$G$229,4,FALSE)</f>
        <v>Kapitalni izdaci</v>
      </c>
      <c r="C123" s="652"/>
      <c r="D123" s="652"/>
      <c r="E123" s="652"/>
      <c r="F123" s="652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3" t="str">
        <f>+VLOOKUP(LEFT($A124,LEN(A124)-1)*1,Master!$D$30:$G$229,4,FALSE)</f>
        <v>Pozajmice i krediti</v>
      </c>
      <c r="C124" s="654"/>
      <c r="D124" s="654"/>
      <c r="E124" s="654"/>
      <c r="F124" s="654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3" t="str">
        <f>+VLOOKUP(LEFT($A125,LEN(A125)-1)*1,Master!$D$30:$G$229,4,FALSE)</f>
        <v>Rezerve</v>
      </c>
      <c r="C125" s="654"/>
      <c r="D125" s="654"/>
      <c r="E125" s="654"/>
      <c r="F125" s="654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3" t="str">
        <f>+VLOOKUP(LEFT($A126,LEN(A126)-1)*1,Master!$D$30:$G$229,4,FALSE)</f>
        <v>Otplata garancija</v>
      </c>
      <c r="C126" s="654"/>
      <c r="D126" s="654"/>
      <c r="E126" s="654"/>
      <c r="F126" s="654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3" t="str">
        <f>+VLOOKUP(LEFT($A127,LEN(A127)-1)*1,Master!$D$30:$G$229,4,FALSE)</f>
        <v>Otplata obaveza iz prethodnog perioda</v>
      </c>
      <c r="C127" s="654"/>
      <c r="D127" s="654"/>
      <c r="E127" s="654"/>
      <c r="F127" s="654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3" t="str">
        <f>+VLOOKUP(LEFT($A128,LEN(A128)-1)*1,Master!$D$30:$G$229,4,FALSE)</f>
        <v>Neto povećanje obaveza</v>
      </c>
      <c r="C128" s="654"/>
      <c r="D128" s="654"/>
      <c r="E128" s="654"/>
      <c r="F128" s="654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61" t="str">
        <f>+VLOOKUP(LEFT($A129,LEN(A129)-1)*1,Master!$D$30:$G$226,4,FALSE)</f>
        <v>Suficit / deficit</v>
      </c>
      <c r="C129" s="662"/>
      <c r="D129" s="662"/>
      <c r="E129" s="662"/>
      <c r="F129" s="662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3" t="str">
        <f>+VLOOKUP(LEFT($A130,LEN(A130)-1)*1,Master!$D$30:$G$226,4,FALSE)</f>
        <v>Primarni suficit/deficit</v>
      </c>
      <c r="C130" s="664"/>
      <c r="D130" s="664"/>
      <c r="E130" s="664"/>
      <c r="F130" s="664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5" t="str">
        <f>+VLOOKUP(LEFT($A131,LEN(A131)-1)*1,Master!$D$30:$G$226,4,FALSE)</f>
        <v>Otplata dugova</v>
      </c>
      <c r="C131" s="656"/>
      <c r="D131" s="656"/>
      <c r="E131" s="656"/>
      <c r="F131" s="656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9" t="str">
        <f>+VLOOKUP(LEFT($A132,LEN(A132)-1)*1,Master!$D$30:$G$226,4,FALSE)</f>
        <v>Otplata hartija od vrijednosti i kredita rezidentima</v>
      </c>
      <c r="C132" s="660"/>
      <c r="D132" s="660"/>
      <c r="E132" s="660"/>
      <c r="F132" s="660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3" t="str">
        <f>+VLOOKUP(LEFT($A133,LEN(A133)-1)*1,Master!$D$30:$G$226,4,FALSE)</f>
        <v>Otplata hartija od vrijednosti i kredita nerezidentima</v>
      </c>
      <c r="C133" s="654"/>
      <c r="D133" s="654"/>
      <c r="E133" s="654"/>
      <c r="F133" s="654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31" t="str">
        <f>+VLOOKUP(LEFT($A134,LEN(A134)-1)*1,Master!$D$30:$G$226,4,FALSE)</f>
        <v>Izdaci za kupovinu hartija od vrijednosti</v>
      </c>
      <c r="C134" s="632"/>
      <c r="D134" s="632"/>
      <c r="E134" s="632"/>
      <c r="F134" s="632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31" t="s">
        <v>113</v>
      </c>
      <c r="C135" s="632"/>
      <c r="D135" s="632"/>
      <c r="E135" s="632"/>
      <c r="F135" s="632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7" t="str">
        <f>+VLOOKUP(LEFT($A136,LEN(A136)-1)*1,Master!$D$30:$G$226,4,FALSE)</f>
        <v>Nedostajuća sredstva</v>
      </c>
      <c r="C136" s="658"/>
      <c r="D136" s="658"/>
      <c r="E136" s="658"/>
      <c r="F136" s="658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31" t="str">
        <f>+VLOOKUP(LEFT($A137,LEN(A137)-1)*1,Master!$D$30:$G$226,4,FALSE)</f>
        <v>Finansiranje</v>
      </c>
      <c r="C137" s="632"/>
      <c r="D137" s="632"/>
      <c r="E137" s="632"/>
      <c r="F137" s="632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9" t="str">
        <f>+VLOOKUP(LEFT($A138,LEN(A138)-1)*1,Master!$D$30:$G$226,4,FALSE)</f>
        <v>Pozajmice i krediti od domaćih izvora</v>
      </c>
      <c r="C138" s="660"/>
      <c r="D138" s="660"/>
      <c r="E138" s="660"/>
      <c r="F138" s="660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3" t="str">
        <f>+VLOOKUP(LEFT($A139,LEN(A139)-1)*1,Master!$D$30:$G$226,4,FALSE)</f>
        <v>Pozajmice i krediti od inostranih izvora</v>
      </c>
      <c r="C139" s="654"/>
      <c r="D139" s="654"/>
      <c r="E139" s="654"/>
      <c r="F139" s="654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3" t="str">
        <f>+VLOOKUP(LEFT($A140,LEN(A140)-1)*1,Master!$D$30:$G$226,4,FALSE)</f>
        <v>Primici od prodaje imovine</v>
      </c>
      <c r="C140" s="654"/>
      <c r="D140" s="654"/>
      <c r="E140" s="654"/>
      <c r="F140" s="654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E5" sqref="E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2025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8124700000</v>
      </c>
    </row>
    <row r="8" spans="1:23" ht="16.5" customHeight="1">
      <c r="A8" s="129"/>
      <c r="B8" s="570"/>
      <c r="C8" s="571"/>
      <c r="D8" s="571"/>
      <c r="E8" s="571"/>
      <c r="F8" s="57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3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8" t="str">
        <f>+VLOOKUP($A10,Master!$D$30:$G$226,4,FALSE)</f>
        <v>Prihodi budžeta</v>
      </c>
      <c r="C10" s="589"/>
      <c r="D10" s="589"/>
      <c r="E10" s="589"/>
      <c r="F10" s="589"/>
      <c r="G10" s="513">
        <f>G11+G19+G24+G25+G26+G27+G28</f>
        <v>156749922.07999998</v>
      </c>
      <c r="H10" s="513">
        <f t="shared" ref="H10:L10" si="1">+H11+H19+SUM(H24:H28)</f>
        <v>178347064.72</v>
      </c>
      <c r="I10" s="513">
        <f t="shared" si="1"/>
        <v>245354294.28999996</v>
      </c>
      <c r="J10" s="513">
        <f t="shared" si="1"/>
        <v>317114383.01000005</v>
      </c>
      <c r="K10" s="513">
        <f t="shared" si="1"/>
        <v>199481986.05999997</v>
      </c>
      <c r="L10" s="513">
        <f t="shared" si="1"/>
        <v>225903693.19999999</v>
      </c>
      <c r="M10" s="513">
        <f t="shared" ref="M10:R10" si="2">+M11+M19+SUM(M24:M28)</f>
        <v>256796079.27000001</v>
      </c>
      <c r="N10" s="513">
        <f t="shared" si="2"/>
        <v>260029283.83000001</v>
      </c>
      <c r="O10" s="513">
        <f t="shared" si="2"/>
        <v>261882689.88</v>
      </c>
      <c r="P10" s="513">
        <f t="shared" si="2"/>
        <v>245618843.22999999</v>
      </c>
      <c r="Q10" s="513">
        <f t="shared" si="2"/>
        <v>196120843.30000001</v>
      </c>
      <c r="R10" s="513">
        <f t="shared" si="2"/>
        <v>329727228.11000001</v>
      </c>
      <c r="S10" s="514">
        <f>+SUM(G10:R10)</f>
        <v>2873126310.98</v>
      </c>
      <c r="T10" s="515">
        <f>+S10/$T$7*100</f>
        <v>35.362860302288084</v>
      </c>
    </row>
    <row r="11" spans="1:23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208690353.47999999</v>
      </c>
      <c r="O11" s="516">
        <f t="shared" si="4"/>
        <v>211153557.13</v>
      </c>
      <c r="P11" s="516">
        <f t="shared" si="4"/>
        <v>193702062.08000001</v>
      </c>
      <c r="Q11" s="516">
        <f t="shared" si="4"/>
        <v>154846007.13</v>
      </c>
      <c r="R11" s="517">
        <f t="shared" si="4"/>
        <v>196519134.14000002</v>
      </c>
      <c r="S11" s="518">
        <f>+SUM(G11:R11)</f>
        <v>2238598161.0300002</v>
      </c>
      <c r="T11" s="519">
        <f t="shared" ref="T11:T66" si="5">+S11/$T$7*100</f>
        <v>27.552994707866141</v>
      </c>
    </row>
    <row r="12" spans="1:23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>
        <v>9648119.4199999999</v>
      </c>
      <c r="O12" s="148">
        <v>11794721.619999999</v>
      </c>
      <c r="P12" s="148">
        <v>7543936.3200000003</v>
      </c>
      <c r="Q12" s="148">
        <v>9039647.1199999992</v>
      </c>
      <c r="R12" s="148">
        <v>17519055.850000001</v>
      </c>
      <c r="S12" s="227">
        <f>+SUM(G12:R12)</f>
        <v>112031208.56999999</v>
      </c>
      <c r="T12" s="436">
        <f t="shared" si="5"/>
        <v>1.3788965570421061</v>
      </c>
    </row>
    <row r="13" spans="1:23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>
        <v>2926004.8</v>
      </c>
      <c r="O13" s="148">
        <v>3732962.04</v>
      </c>
      <c r="P13" s="148">
        <v>4156533.98</v>
      </c>
      <c r="Q13" s="148">
        <v>3525815.43</v>
      </c>
      <c r="R13" s="148">
        <v>3201756.75</v>
      </c>
      <c r="S13" s="227">
        <f t="shared" ref="S13:S65" si="6">+SUM(G13:R13)</f>
        <v>233431231.62</v>
      </c>
      <c r="T13" s="436">
        <f t="shared" si="5"/>
        <v>2.8731058576932074</v>
      </c>
      <c r="V13" s="276"/>
      <c r="W13" s="494"/>
    </row>
    <row r="14" spans="1:23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>
        <v>142252517.13</v>
      </c>
      <c r="O15" s="148">
        <v>149853557.13</v>
      </c>
      <c r="P15" s="148">
        <v>134545730.12</v>
      </c>
      <c r="Q15" s="148">
        <v>107592791.44</v>
      </c>
      <c r="R15" s="148">
        <v>131336012.73999999</v>
      </c>
      <c r="S15" s="227">
        <f t="shared" si="6"/>
        <v>1403654521.4600003</v>
      </c>
      <c r="T15" s="436">
        <f t="shared" si="5"/>
        <v>17.276385853754604</v>
      </c>
      <c r="V15" s="276"/>
      <c r="W15" s="494"/>
    </row>
    <row r="16" spans="1:23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>
        <v>46239123.810000002</v>
      </c>
      <c r="O16" s="148">
        <v>38081379.990000002</v>
      </c>
      <c r="P16" s="148">
        <v>39650532.630000003</v>
      </c>
      <c r="Q16" s="148">
        <v>28400492.25</v>
      </c>
      <c r="R16" s="148">
        <v>36470170.960000001</v>
      </c>
      <c r="S16" s="227">
        <f t="shared" si="6"/>
        <v>403172372.66999996</v>
      </c>
      <c r="T16" s="436">
        <f t="shared" si="5"/>
        <v>4.9623047333440002</v>
      </c>
      <c r="V16" s="276"/>
      <c r="W16" s="494"/>
    </row>
    <row r="17" spans="1:23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>
        <v>6176594.8899999997</v>
      </c>
      <c r="O17" s="148">
        <v>6435243.1500000004</v>
      </c>
      <c r="P17" s="148">
        <v>6274901.9400000004</v>
      </c>
      <c r="Q17" s="148">
        <v>4834041.2</v>
      </c>
      <c r="R17" s="148">
        <v>6489077.96</v>
      </c>
      <c r="S17" s="227">
        <f t="shared" si="6"/>
        <v>69907569.540000007</v>
      </c>
      <c r="T17" s="436">
        <f t="shared" si="5"/>
        <v>0.860432625696949</v>
      </c>
      <c r="V17" s="276"/>
      <c r="W17" s="494"/>
    </row>
    <row r="18" spans="1:23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>
        <v>1447993.43</v>
      </c>
      <c r="O18" s="148">
        <v>1255693.2</v>
      </c>
      <c r="P18" s="148">
        <v>1530427.09</v>
      </c>
      <c r="Q18" s="148">
        <v>1453219.69</v>
      </c>
      <c r="R18" s="148">
        <v>1503059.88</v>
      </c>
      <c r="S18" s="227">
        <f t="shared" si="6"/>
        <v>16401257.169999998</v>
      </c>
      <c r="T18" s="436">
        <f t="shared" si="5"/>
        <v>0.2018690803352739</v>
      </c>
      <c r="V18" s="276"/>
      <c r="W18" s="494"/>
    </row>
    <row r="19" spans="1:23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36620901.300000004</v>
      </c>
      <c r="O19" s="520">
        <f t="shared" si="7"/>
        <v>35020872.800000004</v>
      </c>
      <c r="P19" s="520">
        <f t="shared" si="7"/>
        <v>34596670.239999995</v>
      </c>
      <c r="Q19" s="520">
        <f t="shared" si="7"/>
        <v>30961281.810000002</v>
      </c>
      <c r="R19" s="520">
        <f t="shared" si="7"/>
        <v>64170339.240000002</v>
      </c>
      <c r="S19" s="521">
        <f t="shared" si="6"/>
        <v>420381280.55000001</v>
      </c>
      <c r="T19" s="522">
        <f t="shared" si="5"/>
        <v>5.1741144971506641</v>
      </c>
      <c r="V19" s="276"/>
      <c r="W19" s="494"/>
    </row>
    <row r="20" spans="1:23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>
        <v>30908485.440000001</v>
      </c>
      <c r="O20" s="148">
        <v>29269872.190000001</v>
      </c>
      <c r="P20" s="148">
        <v>28683629.949999999</v>
      </c>
      <c r="Q20" s="148">
        <v>25906266.57</v>
      </c>
      <c r="R20" s="148">
        <v>53818912.590000004</v>
      </c>
      <c r="S20" s="227">
        <f>+SUM(G20:R20)</f>
        <v>353301163.85000002</v>
      </c>
      <c r="T20" s="436">
        <f t="shared" si="5"/>
        <v>4.348482575972036</v>
      </c>
      <c r="V20" s="276"/>
      <c r="W20" s="494"/>
    </row>
    <row r="21" spans="1:23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>
        <v>478138.37</v>
      </c>
      <c r="O21" s="148">
        <v>536571.03</v>
      </c>
      <c r="P21" s="148">
        <v>591623.41</v>
      </c>
      <c r="Q21" s="148">
        <v>423550.17</v>
      </c>
      <c r="R21" s="148">
        <v>1273029.8600000001</v>
      </c>
      <c r="S21" s="227">
        <f t="shared" si="6"/>
        <v>7466196.290000001</v>
      </c>
      <c r="T21" s="436">
        <f t="shared" si="5"/>
        <v>9.1895039693773314E-2</v>
      </c>
      <c r="V21" s="276"/>
      <c r="W21" s="494"/>
    </row>
    <row r="22" spans="1:23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>
        <v>3041994</v>
      </c>
      <c r="O22" s="148">
        <v>3032409.41</v>
      </c>
      <c r="P22" s="148">
        <v>3092583.31</v>
      </c>
      <c r="Q22" s="148">
        <v>2699467.23</v>
      </c>
      <c r="R22" s="148">
        <v>5217248.67</v>
      </c>
      <c r="S22" s="227">
        <f t="shared" si="6"/>
        <v>34755174.259999998</v>
      </c>
      <c r="T22" s="436">
        <f t="shared" si="5"/>
        <v>0.42777178554285078</v>
      </c>
    </row>
    <row r="23" spans="1:23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>
        <v>2192283.4900000002</v>
      </c>
      <c r="O23" s="148">
        <v>2182020.17</v>
      </c>
      <c r="P23" s="148">
        <v>2228833.5699999998</v>
      </c>
      <c r="Q23" s="148">
        <v>1931997.84</v>
      </c>
      <c r="R23" s="148">
        <v>3861148.12</v>
      </c>
      <c r="S23" s="227">
        <f t="shared" si="6"/>
        <v>24858746.150000002</v>
      </c>
      <c r="T23" s="436">
        <f t="shared" si="5"/>
        <v>0.30596509594200405</v>
      </c>
      <c r="V23" s="495"/>
      <c r="W23" s="494"/>
    </row>
    <row r="24" spans="1:23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v>876568.74</v>
      </c>
      <c r="H24" s="160">
        <v>1052557.3699999999</v>
      </c>
      <c r="I24" s="160">
        <v>1107384.3999999999</v>
      </c>
      <c r="J24" s="160">
        <v>1282834.46</v>
      </c>
      <c r="K24" s="160">
        <v>1223227.82</v>
      </c>
      <c r="L24" s="523">
        <v>1517861.18</v>
      </c>
      <c r="M24" s="523">
        <v>1891582.0999999999</v>
      </c>
      <c r="N24" s="523">
        <v>1783600.39</v>
      </c>
      <c r="O24" s="523">
        <v>1722264.71</v>
      </c>
      <c r="P24" s="523">
        <v>1671469.5499999998</v>
      </c>
      <c r="Q24" s="523">
        <v>1247965.6300000001</v>
      </c>
      <c r="R24" s="523">
        <v>2009599.26</v>
      </c>
      <c r="S24" s="521">
        <f t="shared" si="6"/>
        <v>17386915.610000003</v>
      </c>
      <c r="T24" s="522">
        <f t="shared" si="5"/>
        <v>0.21400070907233501</v>
      </c>
    </row>
    <row r="25" spans="1:23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>
        <v>6686850.2999999998</v>
      </c>
      <c r="O25" s="523">
        <v>7408352.6699999999</v>
      </c>
      <c r="P25" s="523">
        <v>7790053.5899999999</v>
      </c>
      <c r="Q25" s="523">
        <v>5619437.5199999996</v>
      </c>
      <c r="R25" s="523">
        <v>10024472.73</v>
      </c>
      <c r="S25" s="521">
        <f t="shared" si="6"/>
        <v>75830913.780000001</v>
      </c>
      <c r="T25" s="522">
        <f t="shared" si="5"/>
        <v>0.93333801592674193</v>
      </c>
    </row>
    <row r="26" spans="1:23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v>2283978</v>
      </c>
      <c r="H26" s="160">
        <v>2933440.11</v>
      </c>
      <c r="I26" s="160">
        <v>2894196.9999999995</v>
      </c>
      <c r="J26" s="160">
        <v>8456385.3900000006</v>
      </c>
      <c r="K26" s="160">
        <v>3041498.58</v>
      </c>
      <c r="L26" s="523">
        <v>4108450.7699999996</v>
      </c>
      <c r="M26" s="523">
        <v>7202667.7500000009</v>
      </c>
      <c r="N26" s="523">
        <v>3897204.77</v>
      </c>
      <c r="O26" s="523">
        <v>4916026.459999999</v>
      </c>
      <c r="P26" s="523">
        <v>3380549.37</v>
      </c>
      <c r="Q26" s="523">
        <v>2624919.27</v>
      </c>
      <c r="R26" s="523">
        <v>8973827.5600000005</v>
      </c>
      <c r="S26" s="521">
        <f t="shared" si="6"/>
        <v>54713145.030000001</v>
      </c>
      <c r="T26" s="522">
        <f t="shared" si="5"/>
        <v>0.67341741885854245</v>
      </c>
    </row>
    <row r="27" spans="1:23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0</v>
      </c>
      <c r="H28" s="160">
        <v>852850.11</v>
      </c>
      <c r="I28" s="160">
        <v>2017857.46</v>
      </c>
      <c r="J28" s="160">
        <v>598180.56000000006</v>
      </c>
      <c r="K28" s="160">
        <v>723470.79</v>
      </c>
      <c r="L28" s="523">
        <v>1048268.97</v>
      </c>
      <c r="M28" s="523">
        <v>3634151.87</v>
      </c>
      <c r="N28" s="523">
        <v>2350373.59</v>
      </c>
      <c r="O28" s="523">
        <v>1661616.11</v>
      </c>
      <c r="P28" s="523">
        <v>4478038.4000000004</v>
      </c>
      <c r="Q28" s="523">
        <v>821231.94</v>
      </c>
      <c r="R28" s="523">
        <v>48029855.18</v>
      </c>
      <c r="S28" s="521">
        <f t="shared" si="6"/>
        <v>66215894.980000004</v>
      </c>
      <c r="T28" s="524">
        <f t="shared" si="5"/>
        <v>0.81499495341366446</v>
      </c>
    </row>
    <row r="29" spans="1:23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+G30+G40+G46+SUM(G47:G51)</f>
        <v>154386676.20999998</v>
      </c>
      <c r="H29" s="136">
        <f t="shared" ref="H29:L29" si="8">+H30+H40+H46+SUM(H47:H51)</f>
        <v>212752270.76000002</v>
      </c>
      <c r="I29" s="136">
        <f t="shared" si="8"/>
        <v>278509762.04000002</v>
      </c>
      <c r="J29" s="136">
        <f t="shared" si="8"/>
        <v>284492258.29000008</v>
      </c>
      <c r="K29" s="136">
        <f t="shared" si="8"/>
        <v>236030617.63999996</v>
      </c>
      <c r="L29" s="136">
        <f t="shared" si="8"/>
        <v>267278512.37000003</v>
      </c>
      <c r="M29" s="136">
        <f t="shared" ref="M29:R29" si="9">+M30+M40+M46+SUM(M47:M51)</f>
        <v>242521463.38999999</v>
      </c>
      <c r="N29" s="136">
        <f t="shared" si="9"/>
        <v>235435973.85000002</v>
      </c>
      <c r="O29" s="136">
        <f t="shared" si="9"/>
        <v>276548846.13999999</v>
      </c>
      <c r="P29" s="136">
        <f t="shared" si="9"/>
        <v>277881319.12999994</v>
      </c>
      <c r="Q29" s="136">
        <f t="shared" si="9"/>
        <v>248502299.78</v>
      </c>
      <c r="R29" s="136">
        <f t="shared" si="9"/>
        <v>480420824.29000008</v>
      </c>
      <c r="S29" s="525">
        <f t="shared" si="6"/>
        <v>3194760823.8900003</v>
      </c>
      <c r="T29" s="526">
        <f t="shared" si="5"/>
        <v>39.321585091018754</v>
      </c>
    </row>
    <row r="30" spans="1:23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" si="10">+SUM(G31:G39)</f>
        <v>62040481.689999975</v>
      </c>
      <c r="H30" s="172">
        <f t="shared" ref="H30:L30" si="11">+SUM(H31:H39)</f>
        <v>75174486.540000021</v>
      </c>
      <c r="I30" s="172">
        <f t="shared" si="11"/>
        <v>110896502.17000002</v>
      </c>
      <c r="J30" s="172">
        <f t="shared" si="11"/>
        <v>122534648.02000006</v>
      </c>
      <c r="K30" s="172">
        <f t="shared" si="11"/>
        <v>91191485.61999999</v>
      </c>
      <c r="L30" s="172">
        <f t="shared" si="11"/>
        <v>96474567.219999999</v>
      </c>
      <c r="M30" s="172">
        <f t="shared" ref="M30:R30" si="12">+SUM(M31:M39)</f>
        <v>91813139.319999993</v>
      </c>
      <c r="N30" s="172">
        <f t="shared" si="12"/>
        <v>83390727.220000014</v>
      </c>
      <c r="O30" s="172">
        <f t="shared" si="12"/>
        <v>103621277.65000002</v>
      </c>
      <c r="P30" s="172">
        <f t="shared" si="12"/>
        <v>111477202.06999996</v>
      </c>
      <c r="Q30" s="172">
        <f t="shared" si="12"/>
        <v>97707844.340000004</v>
      </c>
      <c r="R30" s="231">
        <f t="shared" si="12"/>
        <v>203889959.92000008</v>
      </c>
      <c r="S30" s="527">
        <f t="shared" si="6"/>
        <v>1250212321.7800002</v>
      </c>
      <c r="T30" s="519">
        <f t="shared" si="5"/>
        <v>15.387796740556578</v>
      </c>
      <c r="U30" s="472"/>
    </row>
    <row r="31" spans="1:23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499">
        <v>55835995.219999969</v>
      </c>
      <c r="H31" s="499">
        <v>57528909.890000023</v>
      </c>
      <c r="I31" s="499">
        <v>56240253.31000001</v>
      </c>
      <c r="J31" s="499">
        <v>57954305.050000042</v>
      </c>
      <c r="K31" s="499">
        <v>57928887.869999997</v>
      </c>
      <c r="L31" s="499">
        <v>57840380.260000005</v>
      </c>
      <c r="M31" s="499">
        <v>56104167.339999989</v>
      </c>
      <c r="N31" s="499">
        <v>55952683.13000001</v>
      </c>
      <c r="O31" s="499">
        <v>55652686.990000017</v>
      </c>
      <c r="P31" s="499">
        <v>58246792.709999979</v>
      </c>
      <c r="Q31" s="499">
        <v>57733313.039999999</v>
      </c>
      <c r="R31" s="148">
        <v>60027397.519999988</v>
      </c>
      <c r="S31" s="227">
        <f t="shared" si="6"/>
        <v>687045772.32999992</v>
      </c>
      <c r="T31" s="436">
        <f t="shared" si="5"/>
        <v>8.4562601982842427</v>
      </c>
      <c r="U31" s="472"/>
    </row>
    <row r="32" spans="1:23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2658566.0100000002</v>
      </c>
      <c r="M32" s="499">
        <v>1633324.49</v>
      </c>
      <c r="N32" s="499">
        <v>2785504.1199999992</v>
      </c>
      <c r="O32" s="499">
        <v>1966705.3199999996</v>
      </c>
      <c r="P32" s="499">
        <v>2922121.669999999</v>
      </c>
      <c r="Q32" s="499">
        <v>2200810.23</v>
      </c>
      <c r="R32" s="148">
        <v>5617411.1200000001</v>
      </c>
      <c r="S32" s="227">
        <f t="shared" si="6"/>
        <v>27625526.710000001</v>
      </c>
      <c r="T32" s="436">
        <f t="shared" si="5"/>
        <v>0.34001903713367881</v>
      </c>
      <c r="U32" s="472"/>
    </row>
    <row r="33" spans="1:23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499">
        <v>39625.339999999997</v>
      </c>
      <c r="H33" s="499">
        <v>1487251.5900000003</v>
      </c>
      <c r="I33" s="499">
        <v>4592010.7300000004</v>
      </c>
      <c r="J33" s="499">
        <v>3866754.6</v>
      </c>
      <c r="K33" s="499">
        <v>2644539.75</v>
      </c>
      <c r="L33" s="499">
        <v>2839973.1600000006</v>
      </c>
      <c r="M33" s="499">
        <v>3117960.62</v>
      </c>
      <c r="N33" s="499">
        <v>3610133.73</v>
      </c>
      <c r="O33" s="499">
        <v>5631680.8300000001</v>
      </c>
      <c r="P33" s="499">
        <v>2823163.0100000002</v>
      </c>
      <c r="Q33" s="499">
        <v>5437931.8099999987</v>
      </c>
      <c r="R33" s="148">
        <v>10051158.870000001</v>
      </c>
      <c r="S33" s="227">
        <f t="shared" si="6"/>
        <v>46142184.040000007</v>
      </c>
      <c r="T33" s="436">
        <f t="shared" si="5"/>
        <v>0.56792477309931455</v>
      </c>
      <c r="U33" s="472"/>
    </row>
    <row r="34" spans="1:23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499">
        <v>1243150.6400000001</v>
      </c>
      <c r="H34" s="499">
        <v>3161327.2499999995</v>
      </c>
      <c r="I34" s="499">
        <v>5712683.1800000016</v>
      </c>
      <c r="J34" s="499">
        <v>8510762.9799999986</v>
      </c>
      <c r="K34" s="499">
        <v>6665434.2199999997</v>
      </c>
      <c r="L34" s="499">
        <v>7561647.5499999989</v>
      </c>
      <c r="M34" s="499">
        <v>7217505.9199999999</v>
      </c>
      <c r="N34" s="499">
        <v>5739223.7699999996</v>
      </c>
      <c r="O34" s="499">
        <v>8395244.1900000013</v>
      </c>
      <c r="P34" s="499">
        <v>9151777.6199999992</v>
      </c>
      <c r="Q34" s="499">
        <v>8041016.4600000009</v>
      </c>
      <c r="R34" s="148">
        <v>29889013.09999999</v>
      </c>
      <c r="S34" s="227">
        <f t="shared" si="6"/>
        <v>101288786.87999998</v>
      </c>
      <c r="T34" s="436">
        <f t="shared" si="5"/>
        <v>1.24667725429862</v>
      </c>
      <c r="U34" s="472"/>
    </row>
    <row r="35" spans="1:23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499">
        <v>1721.01</v>
      </c>
      <c r="H35" s="499">
        <v>948846.4600000002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2619371.9699999997</v>
      </c>
      <c r="N35" s="499">
        <v>2796550.34</v>
      </c>
      <c r="O35" s="499">
        <v>1842795.7999999998</v>
      </c>
      <c r="P35" s="499">
        <v>3430466.1300000004</v>
      </c>
      <c r="Q35" s="499">
        <v>3156152.7800000003</v>
      </c>
      <c r="R35" s="148">
        <v>9487891.1699999981</v>
      </c>
      <c r="S35" s="227">
        <f t="shared" si="6"/>
        <v>35611125.049999997</v>
      </c>
      <c r="T35" s="436">
        <f t="shared" si="5"/>
        <v>0.43830695348751336</v>
      </c>
      <c r="U35" s="472"/>
    </row>
    <row r="36" spans="1:23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499">
        <v>3788619.5500000003</v>
      </c>
      <c r="H36" s="499">
        <v>3320549.13</v>
      </c>
      <c r="I36" s="499">
        <v>24471807.800000001</v>
      </c>
      <c r="J36" s="499">
        <v>33272514.919999998</v>
      </c>
      <c r="K36" s="499">
        <v>10340576.27</v>
      </c>
      <c r="L36" s="499">
        <v>5428174.1699999999</v>
      </c>
      <c r="M36" s="499">
        <v>4924646.78</v>
      </c>
      <c r="N36" s="499">
        <v>2716052.2899999996</v>
      </c>
      <c r="O36" s="499">
        <v>23271613.460000005</v>
      </c>
      <c r="P36" s="499">
        <v>15439495.569999998</v>
      </c>
      <c r="Q36" s="499">
        <v>7923419.0800000001</v>
      </c>
      <c r="R36" s="148">
        <v>26198268.620000001</v>
      </c>
      <c r="S36" s="227">
        <f>+SUM(G36:R36)</f>
        <v>161095737.64000002</v>
      </c>
      <c r="T36" s="436">
        <f t="shared" si="5"/>
        <v>1.9827899816608614</v>
      </c>
      <c r="U36" s="472"/>
    </row>
    <row r="37" spans="1:23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499">
        <v>17739.240000000002</v>
      </c>
      <c r="H37" s="499">
        <v>658913.61</v>
      </c>
      <c r="I37" s="499">
        <v>1423673.4499999997</v>
      </c>
      <c r="J37" s="499">
        <v>1026043.09</v>
      </c>
      <c r="K37" s="499">
        <v>804963.71999999986</v>
      </c>
      <c r="L37" s="499">
        <v>1422017.38</v>
      </c>
      <c r="M37" s="499">
        <v>1142860.7</v>
      </c>
      <c r="N37" s="499">
        <v>749974.72999999975</v>
      </c>
      <c r="O37" s="499">
        <v>1352660.5799999998</v>
      </c>
      <c r="P37" s="499">
        <v>1141838.8899999999</v>
      </c>
      <c r="Q37" s="499">
        <v>1213486.8699999999</v>
      </c>
      <c r="R37" s="148">
        <v>3977873.1599999983</v>
      </c>
      <c r="S37" s="227">
        <f t="shared" si="6"/>
        <v>14932045.419999996</v>
      </c>
      <c r="T37" s="436">
        <f t="shared" si="5"/>
        <v>0.18378580649131654</v>
      </c>
      <c r="U37" s="472"/>
    </row>
    <row r="38" spans="1:23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499">
        <v>651862.93000000005</v>
      </c>
      <c r="H38" s="499">
        <v>4133251.8900000006</v>
      </c>
      <c r="I38" s="499">
        <v>6084455.6400000006</v>
      </c>
      <c r="J38" s="499">
        <v>6925339.3099999968</v>
      </c>
      <c r="K38" s="499">
        <v>4645561.2299999995</v>
      </c>
      <c r="L38" s="499">
        <v>5186790.0599999987</v>
      </c>
      <c r="M38" s="499">
        <v>6248831.4699999969</v>
      </c>
      <c r="N38" s="499">
        <v>4290997.3299999945</v>
      </c>
      <c r="O38" s="499">
        <v>1662216.29</v>
      </c>
      <c r="P38" s="499">
        <v>9523418.4199999999</v>
      </c>
      <c r="Q38" s="499">
        <v>7111415.4199999999</v>
      </c>
      <c r="R38" s="148">
        <v>34674373.5900001</v>
      </c>
      <c r="S38" s="227">
        <f t="shared" si="6"/>
        <v>91138513.580000088</v>
      </c>
      <c r="T38" s="436">
        <f t="shared" si="5"/>
        <v>1.12174620084434</v>
      </c>
      <c r="U38" s="472"/>
    </row>
    <row r="39" spans="1:23">
      <c r="A39" s="135">
        <v>419</v>
      </c>
      <c r="B39" s="598" t="str">
        <f>+VLOOKUP($A39,Master!$D$30:$G$226,4,FALSE)</f>
        <v>Ostali izdaci</v>
      </c>
      <c r="C39" s="599"/>
      <c r="D39" s="599"/>
      <c r="E39" s="599"/>
      <c r="F39" s="599"/>
      <c r="G39" s="499">
        <v>430001.24</v>
      </c>
      <c r="H39" s="499">
        <v>2093270.5499999993</v>
      </c>
      <c r="I39" s="499">
        <v>7275150.3600000003</v>
      </c>
      <c r="J39" s="499">
        <v>5903016.0799999991</v>
      </c>
      <c r="K39" s="499">
        <v>4254401.9099999992</v>
      </c>
      <c r="L39" s="499">
        <v>10322038.519999998</v>
      </c>
      <c r="M39" s="499">
        <v>8804470.0299999975</v>
      </c>
      <c r="N39" s="499">
        <v>4749607.7800000012</v>
      </c>
      <c r="O39" s="499">
        <v>3845674.19</v>
      </c>
      <c r="P39" s="499">
        <v>8798128.0500000007</v>
      </c>
      <c r="Q39" s="499">
        <v>4890298.6499999994</v>
      </c>
      <c r="R39" s="148">
        <v>23966572.770000003</v>
      </c>
      <c r="S39" s="227">
        <f t="shared" si="6"/>
        <v>85332630.129999995</v>
      </c>
      <c r="T39" s="436">
        <f t="shared" si="5"/>
        <v>1.0502865352566864</v>
      </c>
      <c r="U39" s="472"/>
    </row>
    <row r="40" spans="1:23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82167964.540000007</v>
      </c>
      <c r="H40" s="178">
        <f t="shared" ref="H40:L40" si="13">+SUM(H41:H45)</f>
        <v>94348979.949999973</v>
      </c>
      <c r="I40" s="178">
        <f t="shared" si="13"/>
        <v>92698392.189999998</v>
      </c>
      <c r="J40" s="178">
        <f t="shared" si="13"/>
        <v>90293045.51000002</v>
      </c>
      <c r="K40" s="178">
        <f t="shared" si="13"/>
        <v>90665419.499999955</v>
      </c>
      <c r="L40" s="178">
        <f t="shared" si="13"/>
        <v>93385424.450000003</v>
      </c>
      <c r="M40" s="178">
        <f t="shared" ref="M40:R40" si="14">+SUM(M41:M45)</f>
        <v>92683231.180000007</v>
      </c>
      <c r="N40" s="178">
        <f t="shared" si="14"/>
        <v>94391978.5</v>
      </c>
      <c r="O40" s="178">
        <f t="shared" si="14"/>
        <v>93158567.469999999</v>
      </c>
      <c r="P40" s="178">
        <f t="shared" si="14"/>
        <v>96402993.629999995</v>
      </c>
      <c r="Q40" s="178">
        <f t="shared" si="14"/>
        <v>87451565.549999997</v>
      </c>
      <c r="R40" s="178">
        <f t="shared" si="14"/>
        <v>99948808.679999992</v>
      </c>
      <c r="S40" s="528">
        <f t="shared" si="6"/>
        <v>1107596371.1499999</v>
      </c>
      <c r="T40" s="529">
        <f t="shared" si="5"/>
        <v>13.632458689551614</v>
      </c>
      <c r="U40" s="472"/>
    </row>
    <row r="41" spans="1:23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499">
        <v>19199401.200000003</v>
      </c>
      <c r="H41" s="499">
        <v>22395140.600000005</v>
      </c>
      <c r="I41" s="499">
        <v>21236015.860000007</v>
      </c>
      <c r="J41" s="499">
        <v>19874612.219999999</v>
      </c>
      <c r="K41" s="499">
        <v>19544794.68</v>
      </c>
      <c r="L41" s="499">
        <v>20328527.629999995</v>
      </c>
      <c r="M41" s="499">
        <v>20317695.200000003</v>
      </c>
      <c r="N41" s="499">
        <v>21306570.510000002</v>
      </c>
      <c r="O41" s="499">
        <v>19728465.5</v>
      </c>
      <c r="P41" s="499">
        <v>22440561.82</v>
      </c>
      <c r="Q41" s="499">
        <v>13869495.760000004</v>
      </c>
      <c r="R41" s="148">
        <v>21112054.329999998</v>
      </c>
      <c r="S41" s="227">
        <f t="shared" si="6"/>
        <v>241353335.31</v>
      </c>
      <c r="T41" s="436">
        <f t="shared" si="5"/>
        <v>2.9706122725762181</v>
      </c>
      <c r="U41" s="472"/>
    </row>
    <row r="42" spans="1:23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>
        <v>2028607.22</v>
      </c>
      <c r="Q42" s="499">
        <v>2035555.39</v>
      </c>
      <c r="R42" s="148">
        <v>4695000.3600000003</v>
      </c>
      <c r="S42" s="227">
        <f t="shared" si="6"/>
        <v>25664111.870000001</v>
      </c>
      <c r="T42" s="436">
        <f t="shared" si="5"/>
        <v>0.31587765542112328</v>
      </c>
      <c r="U42" s="472"/>
    </row>
    <row r="43" spans="1:23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499">
        <v>62931303.340000004</v>
      </c>
      <c r="H43" s="499">
        <v>65497529.849999972</v>
      </c>
      <c r="I43" s="499">
        <v>65458140.899999991</v>
      </c>
      <c r="J43" s="499">
        <v>65623487.38000001</v>
      </c>
      <c r="K43" s="499">
        <v>65646943.669999972</v>
      </c>
      <c r="L43" s="499">
        <v>66986411.460000001</v>
      </c>
      <c r="M43" s="499">
        <v>66789126.960000008</v>
      </c>
      <c r="N43" s="499">
        <v>66911161.070000008</v>
      </c>
      <c r="O43" s="499">
        <v>67160706.24000001</v>
      </c>
      <c r="P43" s="499">
        <v>67815727.029999986</v>
      </c>
      <c r="Q43" s="499">
        <v>67918600.039999992</v>
      </c>
      <c r="R43" s="148">
        <v>67958544.320000008</v>
      </c>
      <c r="S43" s="227">
        <f t="shared" si="6"/>
        <v>796697682.25999987</v>
      </c>
      <c r="T43" s="436">
        <f t="shared" si="5"/>
        <v>9.805871998473787</v>
      </c>
      <c r="U43" s="472"/>
    </row>
    <row r="44" spans="1:23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499">
        <v>0</v>
      </c>
      <c r="H44" s="499">
        <v>2943314.7199999997</v>
      </c>
      <c r="I44" s="499">
        <v>1822777.5999999996</v>
      </c>
      <c r="J44" s="499">
        <v>1453855.4</v>
      </c>
      <c r="K44" s="499">
        <v>1873268.4400000004</v>
      </c>
      <c r="L44" s="499">
        <v>2658340.8699999996</v>
      </c>
      <c r="M44" s="499">
        <v>2206882.38</v>
      </c>
      <c r="N44" s="499">
        <v>2543110.1900000004</v>
      </c>
      <c r="O44" s="499">
        <v>2548955.6000000006</v>
      </c>
      <c r="P44" s="499">
        <v>2451167.83</v>
      </c>
      <c r="Q44" s="499">
        <v>2785028.7300000004</v>
      </c>
      <c r="R44" s="148">
        <v>3751437.4599999995</v>
      </c>
      <c r="S44" s="227">
        <f t="shared" si="6"/>
        <v>27038139.220000003</v>
      </c>
      <c r="T44" s="436">
        <f t="shared" si="5"/>
        <v>0.33278938570039512</v>
      </c>
      <c r="U44" s="472"/>
    </row>
    <row r="45" spans="1:23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499">
        <v>0</v>
      </c>
      <c r="H45" s="499">
        <v>1367078.85</v>
      </c>
      <c r="I45" s="499">
        <v>2013570.3699999999</v>
      </c>
      <c r="J45" s="499">
        <v>1198303.67</v>
      </c>
      <c r="K45" s="499">
        <v>1509129.4900000002</v>
      </c>
      <c r="L45" s="499">
        <v>1319611.46</v>
      </c>
      <c r="M45" s="499">
        <v>1295328.1099999999</v>
      </c>
      <c r="N45" s="499">
        <v>1574364.1899999997</v>
      </c>
      <c r="O45" s="499">
        <v>1624128.7800000003</v>
      </c>
      <c r="P45" s="499">
        <v>1666929.7299999997</v>
      </c>
      <c r="Q45" s="499">
        <v>842885.63000000012</v>
      </c>
      <c r="R45" s="148">
        <v>2431772.2100000004</v>
      </c>
      <c r="S45" s="227">
        <f t="shared" si="6"/>
        <v>16843102.489999998</v>
      </c>
      <c r="T45" s="436">
        <f t="shared" si="5"/>
        <v>0.20730737738008786</v>
      </c>
      <c r="U45" s="472"/>
    </row>
    <row r="46" spans="1:23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v>4939745.53</v>
      </c>
      <c r="H46" s="160">
        <v>29118491.300000001</v>
      </c>
      <c r="I46" s="160">
        <v>48389791.060000002</v>
      </c>
      <c r="J46" s="160">
        <v>36213658.170000002</v>
      </c>
      <c r="K46" s="160">
        <v>42197619.030000001</v>
      </c>
      <c r="L46" s="160">
        <v>42288285.969999999</v>
      </c>
      <c r="M46" s="160">
        <v>33284044.530000001</v>
      </c>
      <c r="N46" s="160">
        <v>32294980.560000002</v>
      </c>
      <c r="O46" s="160">
        <v>40483162.599999994</v>
      </c>
      <c r="P46" s="160">
        <v>41566269.539999992</v>
      </c>
      <c r="Q46" s="160">
        <v>35918614.609999999</v>
      </c>
      <c r="R46" s="160">
        <v>81208362.49000001</v>
      </c>
      <c r="S46" s="521">
        <f t="shared" si="6"/>
        <v>467903025.38999999</v>
      </c>
      <c r="T46" s="522">
        <f t="shared" si="5"/>
        <v>5.7590191070439518</v>
      </c>
      <c r="U46" s="472"/>
    </row>
    <row r="47" spans="1:23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v>125800.66000000002</v>
      </c>
      <c r="H47" s="160">
        <v>11702685.83</v>
      </c>
      <c r="I47" s="160">
        <v>20240491.23</v>
      </c>
      <c r="J47" s="160">
        <v>33566278.810000002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>
        <v>26343479.410000004</v>
      </c>
      <c r="Q47" s="160">
        <v>25841448.77</v>
      </c>
      <c r="R47" s="160">
        <v>90822958.969999999</v>
      </c>
      <c r="S47" s="521">
        <f t="shared" si="6"/>
        <v>331170830.39000005</v>
      </c>
      <c r="T47" s="522">
        <f t="shared" si="5"/>
        <v>4.0760991838467886</v>
      </c>
      <c r="U47" s="472"/>
      <c r="V47" s="292"/>
      <c r="W47" s="292"/>
    </row>
    <row r="48" spans="1:23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196045.28999999998</v>
      </c>
      <c r="M49" s="499">
        <v>28857.670000000002</v>
      </c>
      <c r="N49" s="499">
        <v>2000</v>
      </c>
      <c r="O49" s="499">
        <v>53111.649999999994</v>
      </c>
      <c r="P49" s="499">
        <v>22666.7</v>
      </c>
      <c r="Q49" s="499">
        <v>263081.59999999998</v>
      </c>
      <c r="R49" s="148">
        <v>2397969.0699999998</v>
      </c>
      <c r="S49" s="227">
        <f t="shared" si="6"/>
        <v>7354797.2799999993</v>
      </c>
      <c r="T49" s="436">
        <f t="shared" si="5"/>
        <v>9.0523924329513686E-2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6"/>
        <v>4062322.96</v>
      </c>
      <c r="T50" s="436">
        <f t="shared" si="5"/>
        <v>4.9999667187711538E-2</v>
      </c>
      <c r="U50" s="472"/>
    </row>
    <row r="51" spans="1:21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430">
        <v>1050360.8299999998</v>
      </c>
      <c r="H51" s="430">
        <v>2197777.1399999997</v>
      </c>
      <c r="I51" s="430">
        <v>2186945.5499999998</v>
      </c>
      <c r="J51" s="430">
        <v>1823733.3699999996</v>
      </c>
      <c r="K51" s="430">
        <v>1744824.6599999997</v>
      </c>
      <c r="L51" s="430">
        <v>1298140.1999999997</v>
      </c>
      <c r="M51" s="430">
        <v>3501066.26</v>
      </c>
      <c r="N51" s="430">
        <v>737916.52000000025</v>
      </c>
      <c r="O51" s="430">
        <v>6379172.5600000015</v>
      </c>
      <c r="P51" s="430">
        <v>2068707.7800000007</v>
      </c>
      <c r="Q51" s="430">
        <v>1319744.9099999997</v>
      </c>
      <c r="R51" s="430">
        <v>2152765.16</v>
      </c>
      <c r="S51" s="398">
        <f>+SUM(G51:R51)</f>
        <v>26461154.940000001</v>
      </c>
      <c r="T51" s="440">
        <f t="shared" si="5"/>
        <v>0.3256877785025909</v>
      </c>
      <c r="U51" s="472"/>
    </row>
    <row r="52" spans="1:21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:R53" si="15">+G10-G29</f>
        <v>2363245.8700000048</v>
      </c>
      <c r="H53" s="136">
        <f t="shared" si="15"/>
        <v>-34405206.040000021</v>
      </c>
      <c r="I53" s="136">
        <f t="shared" si="15"/>
        <v>-33155467.75000006</v>
      </c>
      <c r="J53" s="136">
        <f t="shared" si="15"/>
        <v>32622124.719999969</v>
      </c>
      <c r="K53" s="136">
        <f t="shared" si="15"/>
        <v>-36548631.579999983</v>
      </c>
      <c r="L53" s="136">
        <f t="shared" si="15"/>
        <v>-41374819.170000046</v>
      </c>
      <c r="M53" s="136">
        <f t="shared" si="15"/>
        <v>14274615.880000025</v>
      </c>
      <c r="N53" s="136">
        <f t="shared" si="15"/>
        <v>24593309.979999989</v>
      </c>
      <c r="O53" s="136">
        <f t="shared" si="15"/>
        <v>-14666156.25999999</v>
      </c>
      <c r="P53" s="136">
        <f t="shared" si="15"/>
        <v>-32262475.899999946</v>
      </c>
      <c r="Q53" s="136">
        <f t="shared" si="15"/>
        <v>-52381456.479999989</v>
      </c>
      <c r="R53" s="136">
        <f t="shared" si="15"/>
        <v>-150693596.18000007</v>
      </c>
      <c r="S53" s="530">
        <f>SUM(G53:R53)</f>
        <v>-321634512.91000009</v>
      </c>
      <c r="T53" s="531">
        <f t="shared" si="5"/>
        <v>-3.9587247887306618</v>
      </c>
    </row>
    <row r="54" spans="1:21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:R54" si="16">+G53+G36</f>
        <v>6151865.4200000055</v>
      </c>
      <c r="H54" s="190">
        <f t="shared" si="16"/>
        <v>-31084656.910000023</v>
      </c>
      <c r="I54" s="190">
        <f t="shared" si="16"/>
        <v>-8683659.9500000589</v>
      </c>
      <c r="J54" s="190">
        <f t="shared" si="16"/>
        <v>65894639.639999971</v>
      </c>
      <c r="K54" s="190">
        <f t="shared" si="16"/>
        <v>-26208055.309999984</v>
      </c>
      <c r="L54" s="190">
        <f t="shared" si="16"/>
        <v>-35946645.000000045</v>
      </c>
      <c r="M54" s="190">
        <f t="shared" si="16"/>
        <v>19199262.660000026</v>
      </c>
      <c r="N54" s="190">
        <f t="shared" si="16"/>
        <v>27309362.269999988</v>
      </c>
      <c r="O54" s="190">
        <f t="shared" si="16"/>
        <v>8605457.2000000142</v>
      </c>
      <c r="P54" s="190">
        <f t="shared" si="16"/>
        <v>-16822980.329999946</v>
      </c>
      <c r="Q54" s="190">
        <f t="shared" si="16"/>
        <v>-44458037.399999991</v>
      </c>
      <c r="R54" s="190">
        <f t="shared" si="16"/>
        <v>-124495327.56000006</v>
      </c>
      <c r="S54" s="530">
        <f t="shared" si="6"/>
        <v>-160538775.2700001</v>
      </c>
      <c r="T54" s="531">
        <f t="shared" si="5"/>
        <v>-1.9759348070698006</v>
      </c>
    </row>
    <row r="55" spans="1:21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" si="17">+SUM(G56:G57)</f>
        <v>34620662.689999998</v>
      </c>
      <c r="H55" s="178">
        <f t="shared" ref="H55:L55" si="18">+SUM(H56:H57)</f>
        <v>8280354.3399999999</v>
      </c>
      <c r="I55" s="178">
        <f t="shared" si="18"/>
        <v>35822753.07</v>
      </c>
      <c r="J55" s="160">
        <f t="shared" si="18"/>
        <v>507364176.06</v>
      </c>
      <c r="K55" s="178">
        <f t="shared" si="18"/>
        <v>49335423.139999993</v>
      </c>
      <c r="L55" s="178">
        <f t="shared" si="18"/>
        <v>38233496.120000005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26105146.839999996</v>
      </c>
      <c r="P55" s="178">
        <f t="shared" si="19"/>
        <v>7069854.0100000016</v>
      </c>
      <c r="Q55" s="178">
        <f t="shared" si="19"/>
        <v>24725000.399999995</v>
      </c>
      <c r="R55" s="178">
        <f>+SUM(R56:R57)</f>
        <v>30219638.550000001</v>
      </c>
      <c r="S55" s="532">
        <f t="shared" si="6"/>
        <v>803793986.27999997</v>
      </c>
      <c r="T55" s="533">
        <f t="shared" si="5"/>
        <v>9.8932143498221468</v>
      </c>
    </row>
    <row r="56" spans="1:21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>
        <v>2795674.8899999997</v>
      </c>
      <c r="L56" s="554">
        <v>15431758.250000002</v>
      </c>
      <c r="M56" s="554">
        <v>1723907.95</v>
      </c>
      <c r="N56" s="554">
        <v>1755694.7399999998</v>
      </c>
      <c r="O56" s="554">
        <v>4555783.9000000004</v>
      </c>
      <c r="P56" s="554">
        <v>1755147.06</v>
      </c>
      <c r="Q56" s="554">
        <v>2864397.9</v>
      </c>
      <c r="R56" s="196">
        <v>15776242.57</v>
      </c>
      <c r="S56" s="235">
        <f t="shared" si="6"/>
        <v>56819301.560000002</v>
      </c>
      <c r="T56" s="444">
        <f t="shared" si="5"/>
        <v>0.69934030253424739</v>
      </c>
    </row>
    <row r="57" spans="1:21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554">
        <v>32635767.399999999</v>
      </c>
      <c r="H57" s="554">
        <v>6574864.21</v>
      </c>
      <c r="I57" s="554">
        <v>31402266.420000002</v>
      </c>
      <c r="J57" s="554">
        <v>505314353.82999998</v>
      </c>
      <c r="K57" s="554">
        <v>46539748.249999993</v>
      </c>
      <c r="L57" s="554">
        <v>22801737.870000005</v>
      </c>
      <c r="M57" s="554">
        <v>32743948.25</v>
      </c>
      <c r="N57" s="554">
        <v>5793930.1200000001</v>
      </c>
      <c r="O57" s="554">
        <v>21549362.939999994</v>
      </c>
      <c r="P57" s="554">
        <v>5314706.9500000011</v>
      </c>
      <c r="Q57" s="554">
        <v>21860602.499999996</v>
      </c>
      <c r="R57" s="554">
        <v>14443395.98</v>
      </c>
      <c r="S57" s="235">
        <f>+SUM(G57:R57)</f>
        <v>746974684.72000003</v>
      </c>
      <c r="T57" s="444">
        <f t="shared" si="5"/>
        <v>9.1938740472879008</v>
      </c>
    </row>
    <row r="58" spans="1:21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>
        <v>0</v>
      </c>
      <c r="Q58" s="432">
        <v>0</v>
      </c>
      <c r="R58" s="432">
        <v>47.3</v>
      </c>
      <c r="S58" s="532">
        <f>SUM(G58:R58)</f>
        <v>1485604.84</v>
      </c>
      <c r="T58" s="534">
        <f t="shared" si="5"/>
        <v>1.8285042401565598E-2</v>
      </c>
    </row>
    <row r="59" spans="1:21" ht="13.5" thickBot="1">
      <c r="A59" s="135">
        <v>451</v>
      </c>
      <c r="B59" s="604" t="str">
        <f>+VLOOKUP($A59,Master!$D$30:$G$226,4,FALSE)</f>
        <v>Pozajmice i krediti</v>
      </c>
      <c r="C59" s="605"/>
      <c r="D59" s="605"/>
      <c r="E59" s="605"/>
      <c r="F59" s="605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>
        <v>1401425.2</v>
      </c>
      <c r="Q59" s="499">
        <v>280526.68</v>
      </c>
      <c r="R59" s="432">
        <v>818668</v>
      </c>
      <c r="S59" s="532">
        <f>SUM(G59:R59)</f>
        <v>9176536.5</v>
      </c>
      <c r="T59" s="534">
        <f t="shared" si="5"/>
        <v>0.11294615801198814</v>
      </c>
    </row>
    <row r="60" spans="1:21" ht="13.5" thickBot="1">
      <c r="A60" s="129">
        <v>1002</v>
      </c>
      <c r="B60" s="586" t="str">
        <f>+VLOOKUP($A60,Master!$D$30:$G$226,4,FALSE)</f>
        <v>Nedostajuća sredstva</v>
      </c>
      <c r="C60" s="587"/>
      <c r="D60" s="587"/>
      <c r="E60" s="587"/>
      <c r="F60" s="587"/>
      <c r="G60" s="202">
        <f>+G53-G55-G58-G59</f>
        <v>-32257416.819999993</v>
      </c>
      <c r="H60" s="202">
        <f t="shared" ref="H60:S60" si="20">+H53-H55-H58-H59</f>
        <v>-44163782.380000025</v>
      </c>
      <c r="I60" s="202">
        <f t="shared" si="20"/>
        <v>-71477117.360000059</v>
      </c>
      <c r="J60" s="202">
        <f t="shared" si="20"/>
        <v>-475534603.64000005</v>
      </c>
      <c r="K60" s="202">
        <f t="shared" si="20"/>
        <v>-86652588.589999974</v>
      </c>
      <c r="L60" s="202">
        <f t="shared" si="20"/>
        <v>-80745995.350000054</v>
      </c>
      <c r="M60" s="202">
        <f t="shared" si="20"/>
        <v>-20563892.389999978</v>
      </c>
      <c r="N60" s="202">
        <f t="shared" si="20"/>
        <v>17032520.61999999</v>
      </c>
      <c r="O60" s="202">
        <f t="shared" si="20"/>
        <v>-41875075.919999987</v>
      </c>
      <c r="P60" s="202">
        <f t="shared" si="20"/>
        <v>-40733755.109999955</v>
      </c>
      <c r="Q60" s="202">
        <f t="shared" si="20"/>
        <v>-77386983.559999987</v>
      </c>
      <c r="R60" s="202">
        <f t="shared" si="20"/>
        <v>-181731950.03000009</v>
      </c>
      <c r="S60" s="532">
        <f t="shared" si="20"/>
        <v>-1136090640.53</v>
      </c>
      <c r="T60" s="535">
        <f t="shared" si="5"/>
        <v>-13.98317033896636</v>
      </c>
    </row>
    <row r="61" spans="1:21" ht="13.5" thickBot="1">
      <c r="A61" s="129">
        <v>1003</v>
      </c>
      <c r="B61" s="588" t="str">
        <f>+VLOOKUP($A61,Master!$D$30:$G$226,4,FALSE)</f>
        <v>Finansiranje</v>
      </c>
      <c r="C61" s="589"/>
      <c r="D61" s="589"/>
      <c r="E61" s="589"/>
      <c r="F61" s="589"/>
      <c r="G61" s="136">
        <f>+SUM(G62:G66)</f>
        <v>32257416.819999993</v>
      </c>
      <c r="H61" s="136">
        <f t="shared" ref="H61:L61" si="21">+SUM(H62:H66)</f>
        <v>44163782.380000025</v>
      </c>
      <c r="I61" s="136">
        <f t="shared" si="21"/>
        <v>71477117.360000059</v>
      </c>
      <c r="J61" s="136">
        <f t="shared" si="21"/>
        <v>475534603.64000005</v>
      </c>
      <c r="K61" s="136">
        <f t="shared" si="21"/>
        <v>86652588.589999974</v>
      </c>
      <c r="L61" s="136">
        <f t="shared" si="21"/>
        <v>80745995.350000054</v>
      </c>
      <c r="M61" s="136">
        <f t="shared" ref="M61:R61" si="22">+SUM(M62:M66)</f>
        <v>20563892.389999978</v>
      </c>
      <c r="N61" s="136">
        <f t="shared" si="22"/>
        <v>-17032520.61999999</v>
      </c>
      <c r="O61" s="136">
        <f t="shared" si="22"/>
        <v>41875075.919999987</v>
      </c>
      <c r="P61" s="136">
        <f t="shared" si="22"/>
        <v>40733755.109999955</v>
      </c>
      <c r="Q61" s="136">
        <f t="shared" si="22"/>
        <v>77386983.559999987</v>
      </c>
      <c r="R61" s="136">
        <f t="shared" si="22"/>
        <v>181731950.03000009</v>
      </c>
      <c r="S61" s="536">
        <f t="shared" si="6"/>
        <v>1136090640.5299997</v>
      </c>
      <c r="T61" s="537">
        <f t="shared" si="5"/>
        <v>13.983170338966358</v>
      </c>
    </row>
    <row r="62" spans="1:21">
      <c r="A62" s="129">
        <v>7511</v>
      </c>
      <c r="B62" s="582" t="str">
        <f>+VLOOKUP($A62,Master!$D$30:$G$226,4,FALSE)</f>
        <v>Pozajmice i krediti od domaćih izvora</v>
      </c>
      <c r="C62" s="583"/>
      <c r="D62" s="583"/>
      <c r="E62" s="583"/>
      <c r="F62" s="583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49867022</v>
      </c>
      <c r="S62" s="235">
        <f t="shared" si="6"/>
        <v>55994697</v>
      </c>
      <c r="T62" s="444">
        <f t="shared" si="5"/>
        <v>0.68919094858887098</v>
      </c>
    </row>
    <row r="63" spans="1:21">
      <c r="A63" s="129">
        <v>7512</v>
      </c>
      <c r="B63" s="566" t="str">
        <f>+VLOOKUP($A63,Master!$D$30:$G$226,4,FALSE)</f>
        <v>Pozajmice i krediti od inostranih izvora</v>
      </c>
      <c r="C63" s="567"/>
      <c r="D63" s="567"/>
      <c r="E63" s="567"/>
      <c r="F63" s="567"/>
      <c r="G63" s="554">
        <v>1824723.8699999999</v>
      </c>
      <c r="H63" s="554">
        <v>12400327.83</v>
      </c>
      <c r="I63" s="554">
        <v>3541669.7800000003</v>
      </c>
      <c r="J63" s="554">
        <v>875107403.84000003</v>
      </c>
      <c r="K63" s="554">
        <v>13247476.579999998</v>
      </c>
      <c r="L63" s="554">
        <v>17223432.43</v>
      </c>
      <c r="M63" s="555">
        <v>2262202.15</v>
      </c>
      <c r="N63" s="554">
        <v>5098569.58</v>
      </c>
      <c r="O63" s="554">
        <v>11385734.539999999</v>
      </c>
      <c r="P63" s="554">
        <v>8898787.9399999995</v>
      </c>
      <c r="Q63" s="554">
        <v>7017571.3999999994</v>
      </c>
      <c r="R63" s="196">
        <v>455783810.64000005</v>
      </c>
      <c r="S63" s="235">
        <f t="shared" si="6"/>
        <v>1413791710.5800002</v>
      </c>
      <c r="T63" s="444">
        <f t="shared" si="5"/>
        <v>17.401155865201179</v>
      </c>
    </row>
    <row r="64" spans="1:21">
      <c r="A64" s="129">
        <v>72</v>
      </c>
      <c r="B64" s="566" t="str">
        <f>+VLOOKUP($A64,Master!$D$30:$G$226,4,FALSE)</f>
        <v>Primici od prodaje imovine</v>
      </c>
      <c r="C64" s="567"/>
      <c r="D64" s="567"/>
      <c r="E64" s="567"/>
      <c r="F64" s="567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>
        <v>186399.44000000003</v>
      </c>
      <c r="Q64" s="554">
        <v>3374180.95</v>
      </c>
      <c r="R64" s="196">
        <v>5201509.790000001</v>
      </c>
      <c r="S64" s="235">
        <f t="shared" si="6"/>
        <v>10168205.030000001</v>
      </c>
      <c r="T64" s="444">
        <f t="shared" si="5"/>
        <v>0.12515175981882409</v>
      </c>
    </row>
    <row r="65" spans="1:20">
      <c r="A65" s="129">
        <v>73</v>
      </c>
      <c r="B65" s="600" t="s">
        <v>101</v>
      </c>
      <c r="C65" s="601"/>
      <c r="D65" s="601"/>
      <c r="E65" s="601"/>
      <c r="F65" s="601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>
        <v>2238256.6500000004</v>
      </c>
      <c r="Q65" s="160">
        <v>704735.70000000007</v>
      </c>
      <c r="R65" s="160">
        <v>2382212.39</v>
      </c>
      <c r="S65" s="228">
        <f t="shared" si="6"/>
        <v>19735291.66</v>
      </c>
      <c r="T65" s="437">
        <f t="shared" si="5"/>
        <v>0.24290486614890397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27392361.799999993</v>
      </c>
      <c r="H66" s="210">
        <f t="shared" ref="H66:L66" si="23">-H60-SUM(H62:H65)</f>
        <v>30651837.510000024</v>
      </c>
      <c r="I66" s="210">
        <f t="shared" si="23"/>
        <v>67255335.89000006</v>
      </c>
      <c r="J66" s="210">
        <f t="shared" si="23"/>
        <v>-401627830.25000006</v>
      </c>
      <c r="K66" s="210">
        <f t="shared" si="23"/>
        <v>72373817.649999976</v>
      </c>
      <c r="L66" s="210">
        <f t="shared" si="23"/>
        <v>54834286.650000051</v>
      </c>
      <c r="M66" s="210">
        <f t="shared" ref="M66:S66" si="24">-M60-SUM(M62:M65)</f>
        <v>15020771.459999979</v>
      </c>
      <c r="N66" s="210">
        <f t="shared" si="24"/>
        <v>-23506347.479999989</v>
      </c>
      <c r="O66" s="210">
        <f t="shared" si="24"/>
        <v>29808301.229999989</v>
      </c>
      <c r="P66" s="210">
        <f t="shared" si="24"/>
        <v>29410311.079999954</v>
      </c>
      <c r="Q66" s="210">
        <f t="shared" si="24"/>
        <v>66290495.50999999</v>
      </c>
      <c r="R66" s="210">
        <f t="shared" si="24"/>
        <v>-331502604.78999996</v>
      </c>
      <c r="S66" s="238">
        <f t="shared" si="24"/>
        <v>-363599263.74000025</v>
      </c>
      <c r="T66" s="448">
        <f t="shared" si="5"/>
        <v>-4.4752331007914172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7" t="str">
        <f>+Master!G253</f>
        <v>Plan ostvarenja budžeta</v>
      </c>
      <c r="C83" s="638"/>
      <c r="D83" s="638"/>
      <c r="E83" s="638"/>
      <c r="F83" s="638"/>
      <c r="G83" s="622">
        <v>2025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221">
        <f>+T7</f>
        <v>8124700000</v>
      </c>
    </row>
    <row r="84" spans="1:25" ht="15.75" customHeight="1">
      <c r="B84" s="639"/>
      <c r="C84" s="640"/>
      <c r="D84" s="640"/>
      <c r="E84" s="640"/>
      <c r="F84" s="641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2" t="str">
        <f>+Master!G247</f>
        <v>Jan - Dec</v>
      </c>
      <c r="T84" s="624">
        <f>+T8</f>
        <v>0</v>
      </c>
    </row>
    <row r="85" spans="1:25" ht="13.5" thickBot="1">
      <c r="B85" s="642"/>
      <c r="C85" s="643"/>
      <c r="D85" s="643"/>
      <c r="E85" s="643"/>
      <c r="F85" s="644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31" t="str">
        <f>+VLOOKUP(LEFT($A86,LEN(A86)-1)*1,Master!$D$30:$G$226,4,FALSE)</f>
        <v>Prihodi budžeta</v>
      </c>
      <c r="C86" s="632"/>
      <c r="D86" s="632"/>
      <c r="E86" s="632"/>
      <c r="F86" s="632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35.522210051817041</v>
      </c>
      <c r="U86" s="276"/>
    </row>
    <row r="87" spans="1:25">
      <c r="A87" s="105" t="str">
        <f t="shared" si="27"/>
        <v>711p</v>
      </c>
      <c r="B87" s="633" t="str">
        <f>+VLOOKUP(LEFT($A87,LEN(A87)-1)*1,Master!$D$30:$G$226,4,FALSE)</f>
        <v>Porezi</v>
      </c>
      <c r="C87" s="634"/>
      <c r="D87" s="634"/>
      <c r="E87" s="634"/>
      <c r="F87" s="634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26.875810915242944</v>
      </c>
      <c r="U87" s="276"/>
    </row>
    <row r="88" spans="1:25">
      <c r="A88" s="105" t="str">
        <f t="shared" si="27"/>
        <v>7111p</v>
      </c>
      <c r="B88" s="635" t="str">
        <f>+VLOOKUP(LEFT($A88,LEN(A88)-1)*1,Master!$D$30:$G$229,4,FALSE)</f>
        <v>Porez na dohodak fizičkih lica</v>
      </c>
      <c r="C88" s="636"/>
      <c r="D88" s="636"/>
      <c r="E88" s="636"/>
      <c r="F88" s="636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1.3332614594223724</v>
      </c>
      <c r="U88" s="276"/>
    </row>
    <row r="89" spans="1:25">
      <c r="A89" s="105" t="str">
        <f t="shared" si="27"/>
        <v>7112p</v>
      </c>
      <c r="B89" s="635" t="str">
        <f>+VLOOKUP(LEFT($A89,LEN(A89)-1)*1,Master!$D$30:$G$229,4,FALSE)</f>
        <v>Porez na dobit pravnih lica</v>
      </c>
      <c r="C89" s="636"/>
      <c r="D89" s="636"/>
      <c r="E89" s="636"/>
      <c r="F89" s="636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2.7061042160447237</v>
      </c>
      <c r="U89" s="276"/>
    </row>
    <row r="90" spans="1:25">
      <c r="A90" s="105" t="str">
        <f t="shared" si="27"/>
        <v>7113p</v>
      </c>
      <c r="B90" s="635" t="str">
        <f>+VLOOKUP(LEFT($A90,LEN(A90)-1)*1,Master!$D$30:$G$229,4,FALSE)</f>
        <v>Porez na promet nepokretnosti</v>
      </c>
      <c r="C90" s="636"/>
      <c r="D90" s="636"/>
      <c r="E90" s="636"/>
      <c r="F90" s="636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5" t="str">
        <f>+VLOOKUP(LEFT($A91,LEN(A91)-1)*1,Master!$D$30:$G$229,4,FALSE)</f>
        <v>Porez na dodatu vrijednost</v>
      </c>
      <c r="C91" s="636"/>
      <c r="D91" s="636"/>
      <c r="E91" s="636"/>
      <c r="F91" s="636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16.894076088911998</v>
      </c>
      <c r="U91" s="276"/>
    </row>
    <row r="92" spans="1:25">
      <c r="A92" s="105" t="str">
        <f t="shared" si="27"/>
        <v>7115p</v>
      </c>
      <c r="B92" s="635" t="str">
        <f>+VLOOKUP(LEFT($A92,LEN(A92)-1)*1,Master!$D$30:$G$229,4,FALSE)</f>
        <v>Akcize</v>
      </c>
      <c r="C92" s="636"/>
      <c r="D92" s="636"/>
      <c r="E92" s="636"/>
      <c r="F92" s="636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4.9663372186049948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5" t="str">
        <f>+VLOOKUP(LEFT($A93,LEN(A93)-1)*1,Master!$D$30:$G$229,4,FALSE)</f>
        <v>Porez na međunarodnu trgovinu i transakcije</v>
      </c>
      <c r="C93" s="636"/>
      <c r="D93" s="636"/>
      <c r="E93" s="636"/>
      <c r="F93" s="636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0.78763509567328449</v>
      </c>
      <c r="U93" s="276"/>
    </row>
    <row r="94" spans="1:25">
      <c r="A94" s="105" t="str">
        <f t="shared" si="27"/>
        <v>7118p</v>
      </c>
      <c r="B94" s="635" t="str">
        <f>+VLOOKUP(LEFT($A94,LEN(A94)-1)*1,Master!$D$30:$G$229,4,FALSE)</f>
        <v>Ostali državni porezi</v>
      </c>
      <c r="C94" s="636"/>
      <c r="D94" s="636"/>
      <c r="E94" s="636"/>
      <c r="F94" s="636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0.18839683658555859</v>
      </c>
      <c r="U94" s="276"/>
    </row>
    <row r="95" spans="1:25">
      <c r="A95" s="105" t="str">
        <f t="shared" si="27"/>
        <v>712p</v>
      </c>
      <c r="B95" s="645" t="str">
        <f>+VLOOKUP(LEFT($A95,LEN(A95)-1)*1,Master!$D$30:$G$229,4,FALSE)</f>
        <v>Doprinosi</v>
      </c>
      <c r="C95" s="646"/>
      <c r="D95" s="646"/>
      <c r="E95" s="646"/>
      <c r="F95" s="646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5.5269895733649692</v>
      </c>
      <c r="U95" s="276"/>
    </row>
    <row r="96" spans="1:25">
      <c r="A96" s="105" t="str">
        <f t="shared" si="27"/>
        <v>7121p</v>
      </c>
      <c r="B96" s="635" t="str">
        <f>+VLOOKUP(LEFT($A96,LEN(A96)-1)*1,Master!$D$30:$G$229,4,FALSE)</f>
        <v>Doprinosi za penzijsko i invalidsko osiguranje</v>
      </c>
      <c r="C96" s="636"/>
      <c r="D96" s="636"/>
      <c r="E96" s="636"/>
      <c r="F96" s="636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4.8905058321095067</v>
      </c>
      <c r="U96" s="276"/>
      <c r="V96" s="292"/>
    </row>
    <row r="97" spans="1:22">
      <c r="A97" s="105" t="str">
        <f t="shared" si="27"/>
        <v>7122p</v>
      </c>
      <c r="B97" s="635" t="str">
        <f>+VLOOKUP(LEFT($A97,LEN(A97)-1)*1,Master!$D$30:$G$229,4,FALSE)</f>
        <v>Doprinosi za zdravstveno osiguranje</v>
      </c>
      <c r="C97" s="636"/>
      <c r="D97" s="636"/>
      <c r="E97" s="636"/>
      <c r="F97" s="636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7.3848880627337563E-2</v>
      </c>
      <c r="U97" s="276"/>
    </row>
    <row r="98" spans="1:22">
      <c r="A98" s="105" t="str">
        <f t="shared" si="27"/>
        <v>7123p</v>
      </c>
      <c r="B98" s="635" t="str">
        <f>+VLOOKUP(LEFT($A98,LEN(A98)-1)*1,Master!$D$30:$G$229,4,FALSE)</f>
        <v>Doprinosi za osiguranje od nezaposlenosti</v>
      </c>
      <c r="C98" s="636"/>
      <c r="D98" s="636"/>
      <c r="E98" s="636"/>
      <c r="F98" s="636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0.32001181586669591</v>
      </c>
      <c r="U98" s="276"/>
    </row>
    <row r="99" spans="1:22">
      <c r="A99" s="105" t="str">
        <f t="shared" si="27"/>
        <v>7124p</v>
      </c>
      <c r="B99" s="635" t="str">
        <f>+VLOOKUP(LEFT($A99,LEN(A99)-1)*1,Master!$D$30:$G$229,4,FALSE)</f>
        <v>Ostali doprinosi</v>
      </c>
      <c r="C99" s="636"/>
      <c r="D99" s="636"/>
      <c r="E99" s="636"/>
      <c r="F99" s="636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0.24262304476142865</v>
      </c>
      <c r="U99" s="276"/>
    </row>
    <row r="100" spans="1:22">
      <c r="A100" s="105" t="str">
        <f t="shared" si="27"/>
        <v>713p</v>
      </c>
      <c r="B100" s="645" t="str">
        <f>+VLOOKUP(LEFT($A100,LEN(A100)-1)*1,Master!$D$30:$G$229,4,FALSE)</f>
        <v>Takse</v>
      </c>
      <c r="C100" s="646"/>
      <c r="D100" s="646"/>
      <c r="E100" s="646"/>
      <c r="F100" s="646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0.21896154962517148</v>
      </c>
      <c r="U100" s="276"/>
    </row>
    <row r="101" spans="1:22">
      <c r="A101" s="105" t="str">
        <f t="shared" si="27"/>
        <v>714p</v>
      </c>
      <c r="B101" s="645" t="str">
        <f>+VLOOKUP(LEFT($A101,LEN(A101)-1)*1,Master!$D$30:$G$229,4,FALSE)</f>
        <v>Naknade</v>
      </c>
      <c r="C101" s="646"/>
      <c r="D101" s="646"/>
      <c r="E101" s="646"/>
      <c r="F101" s="646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0.91305657477124424</v>
      </c>
      <c r="U101" s="276"/>
    </row>
    <row r="102" spans="1:22">
      <c r="A102" s="105" t="str">
        <f t="shared" si="27"/>
        <v>715p</v>
      </c>
      <c r="B102" s="645" t="str">
        <f>+VLOOKUP(LEFT($A102,LEN(A102)-1)*1,Master!$D$30:$G$229,4,FALSE)</f>
        <v>Ostali prihodi</v>
      </c>
      <c r="C102" s="646"/>
      <c r="D102" s="646"/>
      <c r="E102" s="646"/>
      <c r="F102" s="646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0.64334181236497645</v>
      </c>
      <c r="U102" s="276"/>
    </row>
    <row r="103" spans="1:22">
      <c r="A103" s="105" t="str">
        <f t="shared" si="27"/>
        <v>73p</v>
      </c>
      <c r="B103" s="645" t="str">
        <f>+VLOOKUP(LEFT($A103,LEN(A103)-1)*1,Master!$D$30:$G$229,4,FALSE)</f>
        <v>Primici od otplate kredita i sredstva prenesena iz prethodne godine</v>
      </c>
      <c r="C103" s="646"/>
      <c r="D103" s="646"/>
      <c r="E103" s="646"/>
      <c r="F103" s="646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7" t="str">
        <f>+VLOOKUP(LEFT($A104,LEN(A104)-1)*1,Master!$D$30:$G$229,4,FALSE)</f>
        <v>Donacije i transferi</v>
      </c>
      <c r="C104" s="648"/>
      <c r="D104" s="648"/>
      <c r="E104" s="648"/>
      <c r="F104" s="648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1.3440496264477453</v>
      </c>
      <c r="U104" s="276"/>
    </row>
    <row r="105" spans="1:22" ht="13.5" thickBot="1">
      <c r="A105" s="105" t="str">
        <f t="shared" si="27"/>
        <v>4p</v>
      </c>
      <c r="B105" s="631" t="str">
        <f>+VLOOKUP(LEFT($A105,LEN(A105)-1)*1,Master!$D$30:$G$229,4,FALSE)</f>
        <v>Izdaci budžeta</v>
      </c>
      <c r="C105" s="632"/>
      <c r="D105" s="632"/>
      <c r="E105" s="632"/>
      <c r="F105" s="632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38.945701892746811</v>
      </c>
      <c r="U105" s="276"/>
    </row>
    <row r="106" spans="1:22">
      <c r="A106" s="105" t="str">
        <f t="shared" si="27"/>
        <v>41p</v>
      </c>
      <c r="B106" s="649" t="str">
        <f>+VLOOKUP(LEFT($A106,LEN(A106)-1)*1,Master!$D$30:$G$229,4,FALSE)</f>
        <v>Tekući izdaci</v>
      </c>
      <c r="C106" s="650"/>
      <c r="D106" s="650"/>
      <c r="E106" s="650"/>
      <c r="F106" s="650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15.53060806109764</v>
      </c>
      <c r="U106" s="276"/>
      <c r="V106" s="275"/>
    </row>
    <row r="107" spans="1:22">
      <c r="A107" s="105" t="str">
        <f t="shared" si="27"/>
        <v>411p</v>
      </c>
      <c r="B107" s="635" t="str">
        <f>+VLOOKUP(LEFT($A107,LEN(A107)-1)*1,Master!$D$30:$G$229,4,FALSE)</f>
        <v>Bruto zarade i doprinosi na teret poslodavca</v>
      </c>
      <c r="C107" s="636"/>
      <c r="D107" s="636"/>
      <c r="E107" s="636"/>
      <c r="F107" s="636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8.7926174079042916</v>
      </c>
      <c r="U107" s="276"/>
    </row>
    <row r="108" spans="1:22">
      <c r="A108" s="105" t="str">
        <f t="shared" si="27"/>
        <v>412p</v>
      </c>
      <c r="B108" s="635" t="str">
        <f>+VLOOKUP(LEFT($A108,LEN(A108)-1)*1,Master!$D$30:$G$229,4,FALSE)</f>
        <v>Ostala lična primanja</v>
      </c>
      <c r="C108" s="636"/>
      <c r="D108" s="636"/>
      <c r="E108" s="636"/>
      <c r="F108" s="636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0.32653718352677641</v>
      </c>
      <c r="U108" s="276"/>
    </row>
    <row r="109" spans="1:22">
      <c r="A109" s="105" t="str">
        <f t="shared" si="27"/>
        <v>413p</v>
      </c>
      <c r="B109" s="635" t="str">
        <f>+VLOOKUP(LEFT($A109,LEN(A109)-1)*1,Master!$D$30:$G$229,4,FALSE)</f>
        <v>Rashodi za materijal</v>
      </c>
      <c r="C109" s="636"/>
      <c r="D109" s="636"/>
      <c r="E109" s="636"/>
      <c r="F109" s="636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0.62294587578618288</v>
      </c>
      <c r="U109" s="276"/>
    </row>
    <row r="110" spans="1:22">
      <c r="A110" s="105" t="str">
        <f t="shared" si="27"/>
        <v>414p</v>
      </c>
      <c r="B110" s="635" t="str">
        <f>+VLOOKUP(LEFT($A110,LEN(A110)-1)*1,Master!$D$30:$G$229,4,FALSE)</f>
        <v>Rashodi za usluge</v>
      </c>
      <c r="C110" s="636"/>
      <c r="D110" s="636"/>
      <c r="E110" s="636"/>
      <c r="F110" s="636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1.2123222029121079</v>
      </c>
      <c r="U110" s="276"/>
    </row>
    <row r="111" spans="1:22">
      <c r="A111" s="105" t="str">
        <f t="shared" si="27"/>
        <v>415p</v>
      </c>
      <c r="B111" s="635" t="str">
        <f>+VLOOKUP(LEFT($A111,LEN(A111)-1)*1,Master!$D$30:$G$229,4,FALSE)</f>
        <v>Rashodi za tekuće održavanje</v>
      </c>
      <c r="C111" s="636"/>
      <c r="D111" s="636"/>
      <c r="E111" s="636"/>
      <c r="F111" s="636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0.50259629660172078</v>
      </c>
      <c r="U111" s="276"/>
    </row>
    <row r="112" spans="1:22">
      <c r="A112" s="105" t="str">
        <f t="shared" si="27"/>
        <v>416p</v>
      </c>
      <c r="B112" s="635" t="str">
        <f>+VLOOKUP(LEFT($A112,LEN(A112)-1)*1,Master!$D$30:$G$229,4,FALSE)</f>
        <v>Kamate</v>
      </c>
      <c r="C112" s="636"/>
      <c r="D112" s="636"/>
      <c r="E112" s="636"/>
      <c r="F112" s="636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1.9448350337858629</v>
      </c>
      <c r="U112" s="276"/>
    </row>
    <row r="113" spans="1:21">
      <c r="A113" s="105" t="str">
        <f t="shared" si="27"/>
        <v>417p</v>
      </c>
      <c r="B113" s="635" t="str">
        <f>+VLOOKUP(LEFT($A113,LEN(A113)-1)*1,Master!$D$30:$G$229,4,FALSE)</f>
        <v>Renta</v>
      </c>
      <c r="C113" s="636"/>
      <c r="D113" s="636"/>
      <c r="E113" s="636"/>
      <c r="F113" s="636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0.1642913403571824</v>
      </c>
      <c r="U113" s="276"/>
    </row>
    <row r="114" spans="1:21">
      <c r="A114" s="105" t="str">
        <f t="shared" si="27"/>
        <v>418p</v>
      </c>
      <c r="B114" s="635" t="str">
        <f>+VLOOKUP(LEFT($A114,LEN(A114)-1)*1,Master!$D$30:$G$229,4,FALSE)</f>
        <v>Subvencije</v>
      </c>
      <c r="C114" s="636"/>
      <c r="D114" s="636"/>
      <c r="E114" s="636"/>
      <c r="F114" s="636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0.87002790909202798</v>
      </c>
      <c r="U114" s="276"/>
    </row>
    <row r="115" spans="1:21">
      <c r="A115" s="105" t="str">
        <f t="shared" si="27"/>
        <v>419p</v>
      </c>
      <c r="B115" s="635" t="str">
        <f>+VLOOKUP(LEFT($A115,LEN(A115)-1)*1,Master!$D$30:$G$229,4,FALSE)</f>
        <v>Ostali izdaci</v>
      </c>
      <c r="C115" s="636"/>
      <c r="D115" s="636"/>
      <c r="E115" s="636"/>
      <c r="F115" s="636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1.0944348111314874</v>
      </c>
      <c r="U115" s="276"/>
    </row>
    <row r="116" spans="1:21">
      <c r="A116" s="105" t="str">
        <f t="shared" si="27"/>
        <v>42p</v>
      </c>
      <c r="B116" s="655" t="str">
        <f>+VLOOKUP(LEFT($A116,LEN(A116)-1)*1,Master!$D$30:$G$229,4,FALSE)</f>
        <v>Transferi za socijalnu zaštitu</v>
      </c>
      <c r="C116" s="656"/>
      <c r="D116" s="656"/>
      <c r="E116" s="656"/>
      <c r="F116" s="656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13.116262861151798</v>
      </c>
      <c r="U116" s="276"/>
    </row>
    <row r="117" spans="1:21">
      <c r="A117" s="105" t="str">
        <f t="shared" si="27"/>
        <v>421p</v>
      </c>
      <c r="B117" s="635" t="str">
        <f>+VLOOKUP(LEFT($A117,LEN(A117)-1)*1,Master!$D$30:$G$229,4,FALSE)</f>
        <v>Prava iz oblasti socijalne zaštite</v>
      </c>
      <c r="C117" s="636"/>
      <c r="D117" s="636"/>
      <c r="E117" s="636"/>
      <c r="F117" s="636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2.7266237522616223</v>
      </c>
      <c r="U117" s="276"/>
    </row>
    <row r="118" spans="1:21">
      <c r="A118" s="105" t="str">
        <f t="shared" si="27"/>
        <v>422p</v>
      </c>
      <c r="B118" s="635" t="str">
        <f>+VLOOKUP(LEFT($A118,LEN(A118)-1)*1,Master!$D$30:$G$229,4,FALSE)</f>
        <v>Sredstva za tehnološke viškove</v>
      </c>
      <c r="C118" s="636"/>
      <c r="D118" s="636"/>
      <c r="E118" s="636"/>
      <c r="F118" s="636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0.30354013120484458</v>
      </c>
      <c r="U118" s="276"/>
    </row>
    <row r="119" spans="1:21">
      <c r="A119" s="105" t="str">
        <f t="shared" si="27"/>
        <v>423p</v>
      </c>
      <c r="B119" s="635" t="str">
        <f>+VLOOKUP(LEFT($A119,LEN(A119)-1)*1,Master!$D$30:$G$229,4,FALSE)</f>
        <v>Prava iz oblasti penzijskog i invalidskog osiguranja</v>
      </c>
      <c r="C119" s="636"/>
      <c r="D119" s="636"/>
      <c r="E119" s="636"/>
      <c r="F119" s="636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9.5659566955087563</v>
      </c>
      <c r="U119" s="276"/>
    </row>
    <row r="120" spans="1:21">
      <c r="A120" s="105" t="str">
        <f t="shared" si="27"/>
        <v>424p</v>
      </c>
      <c r="B120" s="635" t="str">
        <f>+VLOOKUP(LEFT($A120,LEN(A120)-1)*1,Master!$D$30:$G$229,4,FALSE)</f>
        <v>Ostala prava iz oblasti zdravstvene zaštite</v>
      </c>
      <c r="C120" s="636"/>
      <c r="D120" s="636"/>
      <c r="E120" s="636"/>
      <c r="F120" s="636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0.31459623124546132</v>
      </c>
      <c r="U120" s="276"/>
    </row>
    <row r="121" spans="1:21">
      <c r="A121" s="105" t="str">
        <f t="shared" si="27"/>
        <v>425p</v>
      </c>
      <c r="B121" s="635" t="str">
        <f>+VLOOKUP(LEFT($A121,LEN(A121)-1)*1,Master!$D$30:$G$229,4,FALSE)</f>
        <v>Ostala prava iz zdravstvenog osiguranja</v>
      </c>
      <c r="C121" s="636"/>
      <c r="D121" s="636"/>
      <c r="E121" s="636"/>
      <c r="F121" s="636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0.20554605093111131</v>
      </c>
      <c r="U121" s="276"/>
    </row>
    <row r="122" spans="1:21">
      <c r="A122" s="105" t="str">
        <f t="shared" si="27"/>
        <v>43p</v>
      </c>
      <c r="B122" s="651" t="str">
        <f>+VLOOKUP(LEFT($A122,LEN(A122)-1)*1,Master!$D$30:$G$229,4,FALSE)</f>
        <v xml:space="preserve">Transferi institucijama, pojedincima, nevladinom i javnom sektoru </v>
      </c>
      <c r="C122" s="652"/>
      <c r="D122" s="652"/>
      <c r="E122" s="652"/>
      <c r="F122" s="652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5.6111156082070739</v>
      </c>
      <c r="U122" s="276"/>
    </row>
    <row r="123" spans="1:21">
      <c r="A123" s="105" t="str">
        <f t="shared" si="27"/>
        <v>44p</v>
      </c>
      <c r="B123" s="651" t="str">
        <f>+VLOOKUP(LEFT($A123,LEN(A123)-1)*1,Master!$D$30:$G$229,4,FALSE)</f>
        <v>Kapitalni izdaci</v>
      </c>
      <c r="C123" s="652"/>
      <c r="D123" s="652"/>
      <c r="E123" s="652"/>
      <c r="F123" s="652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4.1786627060691472</v>
      </c>
      <c r="U123" s="276"/>
    </row>
    <row r="124" spans="1:21">
      <c r="A124" s="105" t="str">
        <f t="shared" si="27"/>
        <v>451p</v>
      </c>
      <c r="B124" s="653" t="str">
        <f>+VLOOKUP(LEFT($A124,LEN(A124)-1)*1,Master!$D$30:$G$229,4,FALSE)</f>
        <v>Pozajmice i krediti</v>
      </c>
      <c r="C124" s="654"/>
      <c r="D124" s="654"/>
      <c r="E124" s="654"/>
      <c r="F124" s="654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3" t="str">
        <f>+VLOOKUP(LEFT($A125,LEN(A125)-1)*1,Master!$D$30:$G$229,4,FALSE)</f>
        <v>Rezerve</v>
      </c>
      <c r="C125" s="654"/>
      <c r="D125" s="654"/>
      <c r="E125" s="654"/>
      <c r="F125" s="654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0.1696548500252317</v>
      </c>
      <c r="U125" s="276"/>
    </row>
    <row r="126" spans="1:21">
      <c r="A126" s="105" t="str">
        <f t="shared" si="27"/>
        <v>462p</v>
      </c>
      <c r="B126" s="653" t="str">
        <f>+VLOOKUP(LEFT($A126,LEN(A126)-1)*1,Master!$D$30:$G$229,4,FALSE)</f>
        <v>Otplata garancija</v>
      </c>
      <c r="C126" s="654"/>
      <c r="D126" s="654"/>
      <c r="E126" s="654"/>
      <c r="F126" s="654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5.0463450958189209E-2</v>
      </c>
      <c r="U126" s="276"/>
    </row>
    <row r="127" spans="1:21">
      <c r="A127" s="106" t="str">
        <f t="shared" si="27"/>
        <v>4630p</v>
      </c>
      <c r="B127" s="653" t="str">
        <f>+VLOOKUP(LEFT($A127,LEN(A127)-1)*1,Master!$D$30:$G$229,4,FALSE)</f>
        <v>Otplata obaveza iz prethodnog perioda</v>
      </c>
      <c r="C127" s="654"/>
      <c r="D127" s="654"/>
      <c r="E127" s="654"/>
      <c r="F127" s="654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0.28893435523773187</v>
      </c>
      <c r="U127" s="276"/>
    </row>
    <row r="128" spans="1:21" ht="13.5" thickBot="1">
      <c r="A128" s="105" t="str">
        <f t="shared" si="27"/>
        <v>1005p</v>
      </c>
      <c r="B128" s="653" t="str">
        <f>+VLOOKUP(LEFT($A128,LEN(A128)-1)*1,Master!$D$30:$G$229,4,FALSE)</f>
        <v>Neto povećanje obaveza</v>
      </c>
      <c r="C128" s="654"/>
      <c r="D128" s="654"/>
      <c r="E128" s="654"/>
      <c r="F128" s="654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61" t="str">
        <f>+VLOOKUP(LEFT($A129,LEN(A129)-1)*1,Master!$D$30:$G$226,4,FALSE)</f>
        <v>Suficit / deficit</v>
      </c>
      <c r="C129" s="662"/>
      <c r="D129" s="662"/>
      <c r="E129" s="662"/>
      <c r="F129" s="662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-3.4234918409297639</v>
      </c>
      <c r="U129" s="276"/>
    </row>
    <row r="130" spans="1:22" ht="13.5" thickBot="1">
      <c r="A130" s="106" t="str">
        <f t="shared" si="27"/>
        <v>1001p</v>
      </c>
      <c r="B130" s="663" t="str">
        <f>+VLOOKUP(LEFT($A130,LEN(A130)-1)*1,Master!$D$30:$G$226,4,FALSE)</f>
        <v>Primarni suficit/deficit</v>
      </c>
      <c r="C130" s="664"/>
      <c r="D130" s="664"/>
      <c r="E130" s="664"/>
      <c r="F130" s="664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-1.4786568071439006</v>
      </c>
      <c r="U130" s="276"/>
    </row>
    <row r="131" spans="1:22">
      <c r="A131" s="106" t="str">
        <f t="shared" si="27"/>
        <v>46p</v>
      </c>
      <c r="B131" s="655" t="str">
        <f>+VLOOKUP(LEFT($A131,LEN(A131)-1)*1,Master!$D$30:$G$226,4,FALSE)</f>
        <v>Otplata dugova</v>
      </c>
      <c r="C131" s="656"/>
      <c r="D131" s="656"/>
      <c r="E131" s="656"/>
      <c r="F131" s="656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10.103901014929781</v>
      </c>
      <c r="U131" s="276"/>
      <c r="V131" s="494"/>
    </row>
    <row r="132" spans="1:22">
      <c r="A132" s="106" t="str">
        <f t="shared" si="27"/>
        <v>4611p</v>
      </c>
      <c r="B132" s="659" t="str">
        <f>+VLOOKUP(LEFT($A132,LEN(A132)-1)*1,Master!$D$30:$G$226,4,FALSE)</f>
        <v>Otplata hartija od vrijednosti i kredita rezidentima</v>
      </c>
      <c r="C132" s="660"/>
      <c r="D132" s="660"/>
      <c r="E132" s="660"/>
      <c r="F132" s="660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0.69887681711324723</v>
      </c>
      <c r="U132" s="276"/>
    </row>
    <row r="133" spans="1:22" ht="13.5" thickBot="1">
      <c r="A133" s="106" t="str">
        <f t="shared" si="27"/>
        <v>4612p</v>
      </c>
      <c r="B133" s="653" t="str">
        <f>+VLOOKUP(LEFT($A133,LEN(A133)-1)*1,Master!$D$30:$G$226,4,FALSE)</f>
        <v>Otplata hartija od vrijednosti i kredita nerezidentima</v>
      </c>
      <c r="C133" s="654"/>
      <c r="D133" s="654"/>
      <c r="E133" s="654"/>
      <c r="F133" s="654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9.4050241978165339</v>
      </c>
      <c r="U133" s="276"/>
    </row>
    <row r="134" spans="1:22" ht="13.5" thickBot="1">
      <c r="A134" s="106" t="str">
        <f t="shared" si="27"/>
        <v>4418p</v>
      </c>
      <c r="B134" s="631" t="str">
        <f>+VLOOKUP(LEFT($A134,LEN(A134)-1)*1,Master!$D$30:$G$226,4,FALSE)</f>
        <v>Izdaci za kupovinu hartija od vrijednosti</v>
      </c>
      <c r="C134" s="632"/>
      <c r="D134" s="632"/>
      <c r="E134" s="632"/>
      <c r="F134" s="632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0.42096242618188995</v>
      </c>
      <c r="U134" s="276"/>
      <c r="V134" s="494"/>
    </row>
    <row r="135" spans="1:22" ht="13.5" thickBot="1">
      <c r="A135" s="106" t="s">
        <v>856</v>
      </c>
      <c r="B135" s="631" t="s">
        <v>113</v>
      </c>
      <c r="C135" s="632"/>
      <c r="D135" s="632"/>
      <c r="E135" s="632"/>
      <c r="F135" s="632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9.2311199182739029E-2</v>
      </c>
      <c r="U135" s="276"/>
    </row>
    <row r="136" spans="1:22" ht="13.5" thickBot="1">
      <c r="A136" s="106" t="str">
        <f>+CONCATENATE(A60,"p")</f>
        <v>1002p</v>
      </c>
      <c r="B136" s="657" t="str">
        <f>+VLOOKUP(LEFT($A136,LEN(A136)-1)*1,Master!$D$30:$G$226,4,FALSE)</f>
        <v>Nedostajuća sredstva</v>
      </c>
      <c r="C136" s="658"/>
      <c r="D136" s="658"/>
      <c r="E136" s="658"/>
      <c r="F136" s="658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-14.040666481224173</v>
      </c>
      <c r="U136" s="276"/>
    </row>
    <row r="137" spans="1:22" ht="13.5" thickBot="1">
      <c r="A137" s="106" t="str">
        <f>+CONCATENATE(A61,"p")</f>
        <v>1003p</v>
      </c>
      <c r="B137" s="631" t="str">
        <f>+VLOOKUP(LEFT($A137,LEN(A137)-1)*1,Master!$D$30:$G$226,4,FALSE)</f>
        <v>Finansiranje</v>
      </c>
      <c r="C137" s="632"/>
      <c r="D137" s="632"/>
      <c r="E137" s="632"/>
      <c r="F137" s="632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14.040666481224173</v>
      </c>
      <c r="U137" s="276"/>
    </row>
    <row r="138" spans="1:22">
      <c r="A138" s="106" t="str">
        <f>+CONCATENATE(A62,"p")</f>
        <v>7511p</v>
      </c>
      <c r="B138" s="659" t="str">
        <f>+VLOOKUP(LEFT($A138,LEN(A138)-1)*1,Master!$D$30:$G$226,4,FALSE)</f>
        <v>Pozajmice i krediti od domaćih izvora</v>
      </c>
      <c r="C138" s="660"/>
      <c r="D138" s="660"/>
      <c r="E138" s="660"/>
      <c r="F138" s="660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1.4154368776693294</v>
      </c>
      <c r="U138" s="276"/>
    </row>
    <row r="139" spans="1:22">
      <c r="A139" s="106" t="str">
        <f>+CONCATENATE(A63,"p")</f>
        <v>7512p</v>
      </c>
      <c r="B139" s="653" t="str">
        <f>+VLOOKUP(LEFT($A139,LEN(A139)-1)*1,Master!$D$30:$G$226,4,FALSE)</f>
        <v>Pozajmice i krediti od inostranih izvora</v>
      </c>
      <c r="C139" s="654"/>
      <c r="D139" s="654"/>
      <c r="E139" s="654"/>
      <c r="F139" s="654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9.4774467806811327</v>
      </c>
      <c r="U139" s="276"/>
    </row>
    <row r="140" spans="1:22">
      <c r="A140" s="106" t="str">
        <f>+CONCATENATE(A64,"p")</f>
        <v>72p</v>
      </c>
      <c r="B140" s="653" t="str">
        <f>+VLOOKUP(LEFT($A140,LEN(A140)-1)*1,Master!$D$30:$G$226,4,FALSE)</f>
        <v>Primici od prodaje imovine</v>
      </c>
      <c r="C140" s="654"/>
      <c r="D140" s="654"/>
      <c r="E140" s="654"/>
      <c r="F140" s="654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7.3848880574051964E-2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0.11997863305722056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2.9539553092424398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SdCvh6I9QIPkLSQv7mTHYAxf5IUyhHINGvCNIq5KM2eZFf39J10UEWGDxBlDRZ/Wwa1Wl1ncEPantwCdTIEFHg==" saltValue="pNddf+8LfhIdEvoOjt7tVA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2023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6963615000</v>
      </c>
    </row>
    <row r="8" spans="1:24" ht="16.5" customHeight="1">
      <c r="A8" s="129"/>
      <c r="B8" s="570"/>
      <c r="C8" s="571"/>
      <c r="D8" s="571"/>
      <c r="E8" s="571"/>
      <c r="F8" s="57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4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8" t="str">
        <f>+VLOOKUP($A10,Master!$D$30:$G$226,4,FALSE)</f>
        <v>Prihodi budžeta</v>
      </c>
      <c r="C10" s="589"/>
      <c r="D10" s="589"/>
      <c r="E10" s="589"/>
      <c r="F10" s="589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8" t="str">
        <f>+VLOOKUP($A39,Master!$D$30:$G$226,4,FALSE)</f>
        <v>Ostali izdaci</v>
      </c>
      <c r="C39" s="599"/>
      <c r="D39" s="599"/>
      <c r="E39" s="599"/>
      <c r="F39" s="599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4" t="str">
        <f>+VLOOKUP($A59,Master!$D$30:$G$226,4,FALSE)</f>
        <v>Pozajmice i krediti</v>
      </c>
      <c r="C59" s="605"/>
      <c r="D59" s="605"/>
      <c r="E59" s="605"/>
      <c r="F59" s="605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6" t="str">
        <f>+VLOOKUP($A60,Master!$D$30:$G$226,4,FALSE)</f>
        <v>Nedostajuća sredstva</v>
      </c>
      <c r="C60" s="587"/>
      <c r="D60" s="587"/>
      <c r="E60" s="587"/>
      <c r="F60" s="587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8" t="str">
        <f>+VLOOKUP($A61,Master!$D$30:$G$226,4,FALSE)</f>
        <v>Finansiranje</v>
      </c>
      <c r="C61" s="589"/>
      <c r="D61" s="589"/>
      <c r="E61" s="589"/>
      <c r="F61" s="589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2" t="str">
        <f>+VLOOKUP($A62,Master!$D$30:$G$226,4,FALSE)</f>
        <v>Pozajmice i krediti od domaćih izvora</v>
      </c>
      <c r="C62" s="583"/>
      <c r="D62" s="583"/>
      <c r="E62" s="583"/>
      <c r="F62" s="58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6" t="str">
        <f>+VLOOKUP($A63,Master!$D$30:$G$226,4,FALSE)</f>
        <v>Pozajmice i krediti od inostranih izvora</v>
      </c>
      <c r="C63" s="567"/>
      <c r="D63" s="567"/>
      <c r="E63" s="567"/>
      <c r="F63" s="567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6" t="str">
        <f>+VLOOKUP($A64,Master!$D$30:$G$226,4,FALSE)</f>
        <v>Primici od prodaje imovine</v>
      </c>
      <c r="C64" s="567"/>
      <c r="D64" s="567"/>
      <c r="E64" s="567"/>
      <c r="F64" s="567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6" t="s">
        <v>101</v>
      </c>
      <c r="C65" s="567"/>
      <c r="D65" s="567"/>
      <c r="E65" s="567"/>
      <c r="F65" s="567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7" t="str">
        <f>+Master!G253</f>
        <v>Plan ostvarenja budžeta</v>
      </c>
      <c r="C83" s="638"/>
      <c r="D83" s="638"/>
      <c r="E83" s="638"/>
      <c r="F83" s="638"/>
      <c r="G83" s="622">
        <v>2023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6624340418</v>
      </c>
    </row>
    <row r="84" spans="1:26" ht="15.75" customHeight="1">
      <c r="B84" s="639"/>
      <c r="C84" s="640"/>
      <c r="D84" s="640"/>
      <c r="E84" s="640"/>
      <c r="F84" s="641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2"/>
      <c r="C85" s="643"/>
      <c r="D85" s="643"/>
      <c r="E85" s="643"/>
      <c r="F85" s="644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31" t="str">
        <f>+VLOOKUP(LEFT($A86,LEN(A86)-1)*1,Master!$D$30:$G$226,4,FALSE)</f>
        <v>Prihodi budžeta</v>
      </c>
      <c r="C86" s="632"/>
      <c r="D86" s="632"/>
      <c r="E86" s="632"/>
      <c r="F86" s="632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3" t="str">
        <f>+VLOOKUP(LEFT($A87,LEN(A87)-1)*1,Master!$D$30:$G$226,4,FALSE)</f>
        <v>Porezi</v>
      </c>
      <c r="C87" s="634"/>
      <c r="D87" s="634"/>
      <c r="E87" s="634"/>
      <c r="F87" s="634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5" t="str">
        <f>+VLOOKUP(LEFT($A88,LEN(A88)-1)*1,Master!$D$30:$G$229,4,FALSE)</f>
        <v>Porez na dohodak fizičkih lica</v>
      </c>
      <c r="C88" s="636"/>
      <c r="D88" s="636"/>
      <c r="E88" s="636"/>
      <c r="F88" s="636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5" t="str">
        <f>+VLOOKUP(LEFT($A89,LEN(A89)-1)*1,Master!$D$30:$G$229,4,FALSE)</f>
        <v>Porez na dobit pravnih lica</v>
      </c>
      <c r="C89" s="636"/>
      <c r="D89" s="636"/>
      <c r="E89" s="636"/>
      <c r="F89" s="636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5" t="str">
        <f>+VLOOKUP(LEFT($A90,LEN(A90)-1)*1,Master!$D$30:$G$229,4,FALSE)</f>
        <v>Porez na promet nepokretnosti</v>
      </c>
      <c r="C90" s="636"/>
      <c r="D90" s="636"/>
      <c r="E90" s="636"/>
      <c r="F90" s="636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5" t="str">
        <f>+VLOOKUP(LEFT($A91,LEN(A91)-1)*1,Master!$D$30:$G$229,4,FALSE)</f>
        <v>Porez na dodatu vrijednost</v>
      </c>
      <c r="C91" s="636"/>
      <c r="D91" s="636"/>
      <c r="E91" s="636"/>
      <c r="F91" s="636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5" t="str">
        <f>+VLOOKUP(LEFT($A92,LEN(A92)-1)*1,Master!$D$30:$G$229,4,FALSE)</f>
        <v>Akcize</v>
      </c>
      <c r="C92" s="636"/>
      <c r="D92" s="636"/>
      <c r="E92" s="636"/>
      <c r="F92" s="636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5" t="str">
        <f>+VLOOKUP(LEFT($A93,LEN(A93)-1)*1,Master!$D$30:$G$229,4,FALSE)</f>
        <v>Porez na međunarodnu trgovinu i transakcije</v>
      </c>
      <c r="C93" s="636"/>
      <c r="D93" s="636"/>
      <c r="E93" s="636"/>
      <c r="F93" s="636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5" t="str">
        <f>+VLOOKUP(LEFT($A94,LEN(A94)-1)*1,Master!$D$30:$G$229,4,FALSE)</f>
        <v>Ostali državni porezi</v>
      </c>
      <c r="C94" s="636"/>
      <c r="D94" s="636"/>
      <c r="E94" s="636"/>
      <c r="F94" s="636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5" t="str">
        <f>+VLOOKUP(LEFT($A95,LEN(A95)-1)*1,Master!$D$30:$G$229,4,FALSE)</f>
        <v>Doprinosi</v>
      </c>
      <c r="C95" s="646"/>
      <c r="D95" s="646"/>
      <c r="E95" s="646"/>
      <c r="F95" s="646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5" t="str">
        <f>+VLOOKUP(LEFT($A96,LEN(A96)-1)*1,Master!$D$30:$G$229,4,FALSE)</f>
        <v>Doprinosi za penzijsko i invalidsko osiguranje</v>
      </c>
      <c r="C96" s="636"/>
      <c r="D96" s="636"/>
      <c r="E96" s="636"/>
      <c r="F96" s="636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5" t="str">
        <f>+VLOOKUP(LEFT($A97,LEN(A97)-1)*1,Master!$D$30:$G$229,4,FALSE)</f>
        <v>Doprinosi za zdravstveno osiguranje</v>
      </c>
      <c r="C97" s="636"/>
      <c r="D97" s="636"/>
      <c r="E97" s="636"/>
      <c r="F97" s="636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5" t="str">
        <f>+VLOOKUP(LEFT($A98,LEN(A98)-1)*1,Master!$D$30:$G$229,4,FALSE)</f>
        <v>Doprinosi za osiguranje od nezaposlenosti</v>
      </c>
      <c r="C98" s="636"/>
      <c r="D98" s="636"/>
      <c r="E98" s="636"/>
      <c r="F98" s="636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5" t="str">
        <f>+VLOOKUP(LEFT($A99,LEN(A99)-1)*1,Master!$D$30:$G$229,4,FALSE)</f>
        <v>Ostali doprinosi</v>
      </c>
      <c r="C99" s="636"/>
      <c r="D99" s="636"/>
      <c r="E99" s="636"/>
      <c r="F99" s="636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5" t="str">
        <f>+VLOOKUP(LEFT($A100,LEN(A100)-1)*1,Master!$D$30:$G$229,4,FALSE)</f>
        <v>Takse</v>
      </c>
      <c r="C100" s="646"/>
      <c r="D100" s="646"/>
      <c r="E100" s="646"/>
      <c r="F100" s="646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5" t="str">
        <f>+VLOOKUP(LEFT($A101,LEN(A101)-1)*1,Master!$D$30:$G$229,4,FALSE)</f>
        <v>Naknade</v>
      </c>
      <c r="C101" s="646"/>
      <c r="D101" s="646"/>
      <c r="E101" s="646"/>
      <c r="F101" s="646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5" t="str">
        <f>+VLOOKUP(LEFT($A102,LEN(A102)-1)*1,Master!$D$30:$G$229,4,FALSE)</f>
        <v>Ostali prihodi</v>
      </c>
      <c r="C102" s="646"/>
      <c r="D102" s="646"/>
      <c r="E102" s="646"/>
      <c r="F102" s="646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5" t="str">
        <f>+VLOOKUP(LEFT($A103,LEN(A103)-1)*1,Master!$D$30:$G$229,4,FALSE)</f>
        <v>Primici od otplate kredita i sredstva prenesena iz prethodne godine</v>
      </c>
      <c r="C103" s="646"/>
      <c r="D103" s="646"/>
      <c r="E103" s="646"/>
      <c r="F103" s="646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7" t="str">
        <f>+VLOOKUP(LEFT($A104,LEN(A104)-1)*1,Master!$D$30:$G$229,4,FALSE)</f>
        <v>Donacije i transferi</v>
      </c>
      <c r="C104" s="648"/>
      <c r="D104" s="648"/>
      <c r="E104" s="648"/>
      <c r="F104" s="648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31" t="str">
        <f>+VLOOKUP(LEFT($A105,LEN(A105)-1)*1,Master!$D$30:$G$229,4,FALSE)</f>
        <v>Izdaci budžeta</v>
      </c>
      <c r="C105" s="632"/>
      <c r="D105" s="632"/>
      <c r="E105" s="632"/>
      <c r="F105" s="632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9" t="str">
        <f>+VLOOKUP(LEFT($A106,LEN(A106)-1)*1,Master!$D$30:$G$229,4,FALSE)</f>
        <v>Tekući izdaci</v>
      </c>
      <c r="C106" s="650"/>
      <c r="D106" s="650"/>
      <c r="E106" s="650"/>
      <c r="F106" s="650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5" t="str">
        <f>+VLOOKUP(LEFT($A107,LEN(A107)-1)*1,Master!$D$30:$G$229,4,FALSE)</f>
        <v>Bruto zarade i doprinosi na teret poslodavca</v>
      </c>
      <c r="C107" s="636"/>
      <c r="D107" s="636"/>
      <c r="E107" s="636"/>
      <c r="F107" s="636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5" t="str">
        <f>+VLOOKUP(LEFT($A108,LEN(A108)-1)*1,Master!$D$30:$G$229,4,FALSE)</f>
        <v>Ostala lična primanja</v>
      </c>
      <c r="C108" s="636"/>
      <c r="D108" s="636"/>
      <c r="E108" s="636"/>
      <c r="F108" s="636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5" t="str">
        <f>+VLOOKUP(LEFT($A109,LEN(A109)-1)*1,Master!$D$30:$G$229,4,FALSE)</f>
        <v>Rashodi za materijal</v>
      </c>
      <c r="C109" s="636"/>
      <c r="D109" s="636"/>
      <c r="E109" s="636"/>
      <c r="F109" s="636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5" t="str">
        <f>+VLOOKUP(LEFT($A110,LEN(A110)-1)*1,Master!$D$30:$G$229,4,FALSE)</f>
        <v>Rashodi za usluge</v>
      </c>
      <c r="C110" s="636"/>
      <c r="D110" s="636"/>
      <c r="E110" s="636"/>
      <c r="F110" s="636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5" t="str">
        <f>+VLOOKUP(LEFT($A111,LEN(A111)-1)*1,Master!$D$30:$G$229,4,FALSE)</f>
        <v>Rashodi za tekuće održavanje</v>
      </c>
      <c r="C111" s="636"/>
      <c r="D111" s="636"/>
      <c r="E111" s="636"/>
      <c r="F111" s="636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5" t="str">
        <f>+VLOOKUP(LEFT($A112,LEN(A112)-1)*1,Master!$D$30:$G$229,4,FALSE)</f>
        <v>Kamate</v>
      </c>
      <c r="C112" s="636"/>
      <c r="D112" s="636"/>
      <c r="E112" s="636"/>
      <c r="F112" s="636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5" t="str">
        <f>+VLOOKUP(LEFT($A113,LEN(A113)-1)*1,Master!$D$30:$G$229,4,FALSE)</f>
        <v>Renta</v>
      </c>
      <c r="C113" s="636"/>
      <c r="D113" s="636"/>
      <c r="E113" s="636"/>
      <c r="F113" s="636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5" t="str">
        <f>+VLOOKUP(LEFT($A114,LEN(A114)-1)*1,Master!$D$30:$G$229,4,FALSE)</f>
        <v>Subvencije</v>
      </c>
      <c r="C114" s="636"/>
      <c r="D114" s="636"/>
      <c r="E114" s="636"/>
      <c r="F114" s="636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5" t="str">
        <f>+VLOOKUP(LEFT($A115,LEN(A115)-1)*1,Master!$D$30:$G$229,4,FALSE)</f>
        <v>Ostali izdaci</v>
      </c>
      <c r="C115" s="636"/>
      <c r="D115" s="636"/>
      <c r="E115" s="636"/>
      <c r="F115" s="636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5" t="str">
        <f>+VLOOKUP(LEFT($A116,LEN(A116)-1)*1,Master!$D$30:$G$229,4,FALSE)</f>
        <v>Transferi za socijalnu zaštitu</v>
      </c>
      <c r="C116" s="656"/>
      <c r="D116" s="656"/>
      <c r="E116" s="656"/>
      <c r="F116" s="656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5" t="str">
        <f>+VLOOKUP(LEFT($A117,LEN(A117)-1)*1,Master!$D$30:$G$229,4,FALSE)</f>
        <v>Prava iz oblasti socijalne zaštite</v>
      </c>
      <c r="C117" s="636"/>
      <c r="D117" s="636"/>
      <c r="E117" s="636"/>
      <c r="F117" s="636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5" t="str">
        <f>+VLOOKUP(LEFT($A118,LEN(A118)-1)*1,Master!$D$30:$G$229,4,FALSE)</f>
        <v>Sredstva za tehnološke viškove</v>
      </c>
      <c r="C118" s="636"/>
      <c r="D118" s="636"/>
      <c r="E118" s="636"/>
      <c r="F118" s="636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5" t="str">
        <f>+VLOOKUP(LEFT($A119,LEN(A119)-1)*1,Master!$D$30:$G$229,4,FALSE)</f>
        <v>Prava iz oblasti penzijskog i invalidskog osiguranja</v>
      </c>
      <c r="C119" s="636"/>
      <c r="D119" s="636"/>
      <c r="E119" s="636"/>
      <c r="F119" s="636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5" t="str">
        <f>+VLOOKUP(LEFT($A120,LEN(A120)-1)*1,Master!$D$30:$G$229,4,FALSE)</f>
        <v>Ostala prava iz oblasti zdravstvene zaštite</v>
      </c>
      <c r="C120" s="636"/>
      <c r="D120" s="636"/>
      <c r="E120" s="636"/>
      <c r="F120" s="636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5" t="str">
        <f>+VLOOKUP(LEFT($A121,LEN(A121)-1)*1,Master!$D$30:$G$229,4,FALSE)</f>
        <v>Ostala prava iz zdravstvenog osiguranja</v>
      </c>
      <c r="C121" s="636"/>
      <c r="D121" s="636"/>
      <c r="E121" s="636"/>
      <c r="F121" s="636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51" t="str">
        <f>+VLOOKUP(LEFT($A122,LEN(A122)-1)*1,Master!$D$30:$G$229,4,FALSE)</f>
        <v xml:space="preserve">Transferi institucijama, pojedincima, nevladinom i javnom sektoru </v>
      </c>
      <c r="C122" s="652"/>
      <c r="D122" s="652"/>
      <c r="E122" s="652"/>
      <c r="F122" s="652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51" t="str">
        <f>+VLOOKUP(LEFT($A123,LEN(A123)-1)*1,Master!$D$30:$G$229,4,FALSE)</f>
        <v>Kapitalni izdaci</v>
      </c>
      <c r="C123" s="652"/>
      <c r="D123" s="652"/>
      <c r="E123" s="652"/>
      <c r="F123" s="652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3" t="str">
        <f>+VLOOKUP(LEFT($A124,LEN(A124)-1)*1,Master!$D$30:$G$229,4,FALSE)</f>
        <v>Pozajmice i krediti</v>
      </c>
      <c r="C124" s="654"/>
      <c r="D124" s="654"/>
      <c r="E124" s="654"/>
      <c r="F124" s="654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3" t="str">
        <f>+VLOOKUP(LEFT($A125,LEN(A125)-1)*1,Master!$D$30:$G$229,4,FALSE)</f>
        <v>Rezerve</v>
      </c>
      <c r="C125" s="654"/>
      <c r="D125" s="654"/>
      <c r="E125" s="654"/>
      <c r="F125" s="654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3" t="str">
        <f>+VLOOKUP(LEFT($A126,LEN(A126)-1)*1,Master!$D$30:$G$229,4,FALSE)</f>
        <v>Otplata garancija</v>
      </c>
      <c r="C126" s="654"/>
      <c r="D126" s="654"/>
      <c r="E126" s="654"/>
      <c r="F126" s="654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3" t="str">
        <f>+VLOOKUP(LEFT($A127,LEN(A127)-1)*1,Master!$D$30:$G$229,4,FALSE)</f>
        <v>Otplata obaveza iz prethodnog perioda</v>
      </c>
      <c r="C127" s="654"/>
      <c r="D127" s="654"/>
      <c r="E127" s="654"/>
      <c r="F127" s="654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3" t="str">
        <f>+VLOOKUP(LEFT($A128,LEN(A128)-1)*1,Master!$D$30:$G$229,4,FALSE)</f>
        <v>Neto povećanje obaveza</v>
      </c>
      <c r="C128" s="654"/>
      <c r="D128" s="654"/>
      <c r="E128" s="654"/>
      <c r="F128" s="65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61" t="str">
        <f>+VLOOKUP(LEFT($A129,LEN(A129)-1)*1,Master!$D$30:$G$226,4,FALSE)</f>
        <v>Suficit / deficit</v>
      </c>
      <c r="C129" s="662"/>
      <c r="D129" s="662"/>
      <c r="E129" s="662"/>
      <c r="F129" s="662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3" t="str">
        <f>+VLOOKUP(LEFT($A130,LEN(A130)-1)*1,Master!$D$30:$G$226,4,FALSE)</f>
        <v>Primarni suficit/deficit</v>
      </c>
      <c r="C130" s="664"/>
      <c r="D130" s="664"/>
      <c r="E130" s="664"/>
      <c r="F130" s="664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5" t="str">
        <f>+VLOOKUP(LEFT($A131,LEN(A131)-1)*1,Master!$D$30:$G$226,4,FALSE)</f>
        <v>Otplata dugova</v>
      </c>
      <c r="C131" s="656"/>
      <c r="D131" s="656"/>
      <c r="E131" s="656"/>
      <c r="F131" s="656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9" t="str">
        <f>+VLOOKUP(LEFT($A132,LEN(A132)-1)*1,Master!$D$30:$G$226,4,FALSE)</f>
        <v>Otplata hartija od vrijednosti i kredita rezidentima</v>
      </c>
      <c r="C132" s="660"/>
      <c r="D132" s="660"/>
      <c r="E132" s="660"/>
      <c r="F132" s="660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3" t="str">
        <f>+VLOOKUP(LEFT($A133,LEN(A133)-1)*1,Master!$D$30:$G$226,4,FALSE)</f>
        <v>Otplata hartija od vrijednosti i kredita nerezidentima</v>
      </c>
      <c r="C133" s="654"/>
      <c r="D133" s="654"/>
      <c r="E133" s="654"/>
      <c r="F133" s="654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31" t="str">
        <f>+VLOOKUP(LEFT($A134,LEN(A134)-1)*1,Master!$D$30:$G$226,4,FALSE)</f>
        <v>Izdaci za kupovinu hartija od vrijednosti</v>
      </c>
      <c r="C134" s="632"/>
      <c r="D134" s="632"/>
      <c r="E134" s="632"/>
      <c r="F134" s="632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31" t="s">
        <v>113</v>
      </c>
      <c r="C135" s="632"/>
      <c r="D135" s="632"/>
      <c r="E135" s="632"/>
      <c r="F135" s="632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7" t="str">
        <f>+VLOOKUP(LEFT($A136,LEN(A136)-1)*1,Master!$D$30:$G$226,4,FALSE)</f>
        <v>Nedostajuća sredstva</v>
      </c>
      <c r="C136" s="658"/>
      <c r="D136" s="658"/>
      <c r="E136" s="658"/>
      <c r="F136" s="658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31" t="str">
        <f>+VLOOKUP(LEFT($A137,LEN(A137)-1)*1,Master!$D$30:$G$226,4,FALSE)</f>
        <v>Finansiranje</v>
      </c>
      <c r="C137" s="632"/>
      <c r="D137" s="632"/>
      <c r="E137" s="632"/>
      <c r="F137" s="632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9" t="str">
        <f>+VLOOKUP(LEFT($A138,LEN(A138)-1)*1,Master!$D$30:$G$226,4,FALSE)</f>
        <v>Pozajmice i krediti od domaćih izvora</v>
      </c>
      <c r="C138" s="660"/>
      <c r="D138" s="660"/>
      <c r="E138" s="660"/>
      <c r="F138" s="660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3" t="str">
        <f>+VLOOKUP(LEFT($A139,LEN(A139)-1)*1,Master!$D$30:$G$226,4,FALSE)</f>
        <v>Pozajmice i krediti od inostranih izvora</v>
      </c>
      <c r="C139" s="654"/>
      <c r="D139" s="654"/>
      <c r="E139" s="654"/>
      <c r="F139" s="654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3" t="str">
        <f>+VLOOKUP(LEFT($A140,LEN(A140)-1)*1,Master!$D$30:$G$226,4,FALSE)</f>
        <v>Primici od prodaje imovine</v>
      </c>
      <c r="C140" s="654"/>
      <c r="D140" s="654"/>
      <c r="E140" s="654"/>
      <c r="F140" s="654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2022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5796761000</v>
      </c>
    </row>
    <row r="8" spans="1:23" ht="16.5" customHeight="1">
      <c r="A8" s="129"/>
      <c r="B8" s="570"/>
      <c r="C8" s="571"/>
      <c r="D8" s="571"/>
      <c r="E8" s="571"/>
      <c r="F8" s="57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3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8" t="str">
        <f>+VLOOKUP($A10,Master!$D$30:$G$226,4,FALSE)</f>
        <v>Prihodi budžeta</v>
      </c>
      <c r="C10" s="589"/>
      <c r="D10" s="589"/>
      <c r="E10" s="589"/>
      <c r="F10" s="589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8" t="str">
        <f>+VLOOKUP($A39,Master!$D$30:$G$226,4,FALSE)</f>
        <v>Ostali izdaci</v>
      </c>
      <c r="C39" s="599"/>
      <c r="D39" s="599"/>
      <c r="E39" s="599"/>
      <c r="F39" s="599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4" t="str">
        <f>+VLOOKUP($A59,Master!$D$30:$G$226,4,FALSE)</f>
        <v>Pozajmice i krediti</v>
      </c>
      <c r="C59" s="605"/>
      <c r="D59" s="605"/>
      <c r="E59" s="605"/>
      <c r="F59" s="605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6" t="str">
        <f>+VLOOKUP($A60,Master!$D$30:$G$226,4,FALSE)</f>
        <v>Nedostajuća sredstva</v>
      </c>
      <c r="C60" s="587"/>
      <c r="D60" s="587"/>
      <c r="E60" s="587"/>
      <c r="F60" s="587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8" t="str">
        <f>+VLOOKUP($A61,Master!$D$30:$G$226,4,FALSE)</f>
        <v>Finansiranje</v>
      </c>
      <c r="C61" s="589"/>
      <c r="D61" s="589"/>
      <c r="E61" s="589"/>
      <c r="F61" s="589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2" t="str">
        <f>+VLOOKUP($A62,Master!$D$30:$G$226,4,FALSE)</f>
        <v>Pozajmice i krediti od domaćih izvora</v>
      </c>
      <c r="C62" s="583"/>
      <c r="D62" s="583"/>
      <c r="E62" s="583"/>
      <c r="F62" s="58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2" t="str">
        <f>+VLOOKUP($A63,Master!$D$30:$G$226,4,FALSE)</f>
        <v>Pozajmice i krediti od inostranih izvora</v>
      </c>
      <c r="C63" s="583"/>
      <c r="D63" s="583"/>
      <c r="E63" s="583"/>
      <c r="F63" s="583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6" t="str">
        <f>+VLOOKUP($A64,Master!$D$30:$G$226,4,FALSE)</f>
        <v>Primici od prodaje imovine</v>
      </c>
      <c r="C64" s="567"/>
      <c r="D64" s="567"/>
      <c r="E64" s="567"/>
      <c r="F64" s="567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6" t="s">
        <v>101</v>
      </c>
      <c r="C65" s="567"/>
      <c r="D65" s="567"/>
      <c r="E65" s="567"/>
      <c r="F65" s="567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7" t="str">
        <f>+Master!G253</f>
        <v>Plan ostvarenja budžeta</v>
      </c>
      <c r="C83" s="638"/>
      <c r="D83" s="638"/>
      <c r="E83" s="638"/>
      <c r="F83" s="638"/>
      <c r="G83" s="622">
        <v>2022</v>
      </c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4"/>
      <c r="S83" s="96" t="str">
        <f>+S7</f>
        <v>BDP</v>
      </c>
      <c r="T83" s="97">
        <v>5700400000</v>
      </c>
    </row>
    <row r="84" spans="1:26" ht="15.75" customHeight="1">
      <c r="B84" s="639"/>
      <c r="C84" s="640"/>
      <c r="D84" s="640"/>
      <c r="E84" s="640"/>
      <c r="F84" s="641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2" t="str">
        <f>+Master!G247</f>
        <v>Jan - Dec</v>
      </c>
      <c r="T84" s="624">
        <f>+T8</f>
        <v>0</v>
      </c>
    </row>
    <row r="85" spans="1:26" ht="13.5" thickBot="1">
      <c r="B85" s="642"/>
      <c r="C85" s="643"/>
      <c r="D85" s="643"/>
      <c r="E85" s="643"/>
      <c r="F85" s="644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31" t="str">
        <f>+VLOOKUP(LEFT($A86,LEN(A86)-1)*1,Master!$D$30:$G$226,4,FALSE)</f>
        <v>Prihodi budžeta</v>
      </c>
      <c r="C86" s="632"/>
      <c r="D86" s="632"/>
      <c r="E86" s="632"/>
      <c r="F86" s="632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3" t="str">
        <f>+VLOOKUP(LEFT($A87,LEN(A87)-1)*1,Master!$D$30:$G$226,4,FALSE)</f>
        <v>Porezi</v>
      </c>
      <c r="C87" s="634"/>
      <c r="D87" s="634"/>
      <c r="E87" s="634"/>
      <c r="F87" s="634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5" t="str">
        <f>+VLOOKUP(LEFT($A88,LEN(A88)-1)*1,Master!$D$30:$G$229,4,FALSE)</f>
        <v>Porez na dohodak fizičkih lica</v>
      </c>
      <c r="C88" s="636"/>
      <c r="D88" s="636"/>
      <c r="E88" s="636"/>
      <c r="F88" s="636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5" t="str">
        <f>+VLOOKUP(LEFT($A89,LEN(A89)-1)*1,Master!$D$30:$G$229,4,FALSE)</f>
        <v>Porez na dobit pravnih lica</v>
      </c>
      <c r="C89" s="636"/>
      <c r="D89" s="636"/>
      <c r="E89" s="636"/>
      <c r="F89" s="636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5" t="str">
        <f>+VLOOKUP(LEFT($A90,LEN(A90)-1)*1,Master!$D$30:$G$229,4,FALSE)</f>
        <v>Porez na promet nepokretnosti</v>
      </c>
      <c r="C90" s="636"/>
      <c r="D90" s="636"/>
      <c r="E90" s="636"/>
      <c r="F90" s="636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5" t="str">
        <f>+VLOOKUP(LEFT($A91,LEN(A91)-1)*1,Master!$D$30:$G$229,4,FALSE)</f>
        <v>Porez na dodatu vrijednost</v>
      </c>
      <c r="C91" s="636"/>
      <c r="D91" s="636"/>
      <c r="E91" s="636"/>
      <c r="F91" s="636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5" t="str">
        <f>+VLOOKUP(LEFT($A92,LEN(A92)-1)*1,Master!$D$30:$G$229,4,FALSE)</f>
        <v>Akcize</v>
      </c>
      <c r="C92" s="636"/>
      <c r="D92" s="636"/>
      <c r="E92" s="636"/>
      <c r="F92" s="636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5" t="str">
        <f>+VLOOKUP(LEFT($A93,LEN(A93)-1)*1,Master!$D$30:$G$229,4,FALSE)</f>
        <v>Porez na međunarodnu trgovinu i transakcije</v>
      </c>
      <c r="C93" s="636"/>
      <c r="D93" s="636"/>
      <c r="E93" s="636"/>
      <c r="F93" s="636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5" t="str">
        <f>+VLOOKUP(LEFT($A94,LEN(A94)-1)*1,Master!$D$30:$G$229,4,FALSE)</f>
        <v>Ostali državni porezi</v>
      </c>
      <c r="C94" s="636"/>
      <c r="D94" s="636"/>
      <c r="E94" s="636"/>
      <c r="F94" s="636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5" t="str">
        <f>+VLOOKUP(LEFT($A95,LEN(A95)-1)*1,Master!$D$30:$G$229,4,FALSE)</f>
        <v>Doprinosi</v>
      </c>
      <c r="C95" s="646"/>
      <c r="D95" s="646"/>
      <c r="E95" s="646"/>
      <c r="F95" s="646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5" t="str">
        <f>+VLOOKUP(LEFT($A96,LEN(A96)-1)*1,Master!$D$30:$G$229,4,FALSE)</f>
        <v>Doprinosi za penzijsko i invalidsko osiguranje</v>
      </c>
      <c r="C96" s="636"/>
      <c r="D96" s="636"/>
      <c r="E96" s="636"/>
      <c r="F96" s="636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5" t="str">
        <f>+VLOOKUP(LEFT($A97,LEN(A97)-1)*1,Master!$D$30:$G$229,4,FALSE)</f>
        <v>Doprinosi za zdravstveno osiguranje</v>
      </c>
      <c r="C97" s="636"/>
      <c r="D97" s="636"/>
      <c r="E97" s="636"/>
      <c r="F97" s="636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5" t="str">
        <f>+VLOOKUP(LEFT($A98,LEN(A98)-1)*1,Master!$D$30:$G$229,4,FALSE)</f>
        <v>Doprinosi za osiguranje od nezaposlenosti</v>
      </c>
      <c r="C98" s="636"/>
      <c r="D98" s="636"/>
      <c r="E98" s="636"/>
      <c r="F98" s="636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5" t="str">
        <f>+VLOOKUP(LEFT($A99,LEN(A99)-1)*1,Master!$D$30:$G$229,4,FALSE)</f>
        <v>Ostali doprinosi</v>
      </c>
      <c r="C99" s="636"/>
      <c r="D99" s="636"/>
      <c r="E99" s="636"/>
      <c r="F99" s="636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5" t="str">
        <f>+VLOOKUP(LEFT($A100,LEN(A100)-1)*1,Master!$D$30:$G$229,4,FALSE)</f>
        <v>Takse</v>
      </c>
      <c r="C100" s="646"/>
      <c r="D100" s="646"/>
      <c r="E100" s="646"/>
      <c r="F100" s="646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5" t="str">
        <f>+VLOOKUP(LEFT($A101,LEN(A101)-1)*1,Master!$D$30:$G$229,4,FALSE)</f>
        <v>Naknade</v>
      </c>
      <c r="C101" s="646"/>
      <c r="D101" s="646"/>
      <c r="E101" s="646"/>
      <c r="F101" s="646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5" t="str">
        <f>+VLOOKUP(LEFT($A102,LEN(A102)-1)*1,Master!$D$30:$G$229,4,FALSE)</f>
        <v>Ostali prihodi</v>
      </c>
      <c r="C102" s="646"/>
      <c r="D102" s="646"/>
      <c r="E102" s="646"/>
      <c r="F102" s="646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5" t="str">
        <f>+VLOOKUP(LEFT($A103,LEN(A103)-1)*1,Master!$D$30:$G$229,4,FALSE)</f>
        <v>Primici od otplate kredita i sredstva prenesena iz prethodne godine</v>
      </c>
      <c r="C103" s="646"/>
      <c r="D103" s="646"/>
      <c r="E103" s="646"/>
      <c r="F103" s="646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7" t="str">
        <f>+VLOOKUP(LEFT($A104,LEN(A104)-1)*1,Master!$D$30:$G$229,4,FALSE)</f>
        <v>Donacije i transferi</v>
      </c>
      <c r="C104" s="648"/>
      <c r="D104" s="648"/>
      <c r="E104" s="648"/>
      <c r="F104" s="648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31" t="str">
        <f>+VLOOKUP(LEFT($A105,LEN(A105)-1)*1,Master!$D$30:$G$229,4,FALSE)</f>
        <v>Izdaci budžeta</v>
      </c>
      <c r="C105" s="632"/>
      <c r="D105" s="632"/>
      <c r="E105" s="632"/>
      <c r="F105" s="632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9" t="str">
        <f>+VLOOKUP(LEFT($A106,LEN(A106)-1)*1,Master!$D$30:$G$229,4,FALSE)</f>
        <v>Tekući izdaci</v>
      </c>
      <c r="C106" s="650"/>
      <c r="D106" s="650"/>
      <c r="E106" s="650"/>
      <c r="F106" s="650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5" t="str">
        <f>+VLOOKUP(LEFT($A107,LEN(A107)-1)*1,Master!$D$30:$G$229,4,FALSE)</f>
        <v>Bruto zarade i doprinosi na teret poslodavca</v>
      </c>
      <c r="C107" s="636"/>
      <c r="D107" s="636"/>
      <c r="E107" s="636"/>
      <c r="F107" s="636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5" t="str">
        <f>+VLOOKUP(LEFT($A108,LEN(A108)-1)*1,Master!$D$30:$G$229,4,FALSE)</f>
        <v>Ostala lična primanja</v>
      </c>
      <c r="C108" s="636"/>
      <c r="D108" s="636"/>
      <c r="E108" s="636"/>
      <c r="F108" s="636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5" t="str">
        <f>+VLOOKUP(LEFT($A109,LEN(A109)-1)*1,Master!$D$30:$G$229,4,FALSE)</f>
        <v>Rashodi za materijal</v>
      </c>
      <c r="C109" s="636"/>
      <c r="D109" s="636"/>
      <c r="E109" s="636"/>
      <c r="F109" s="636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5" t="str">
        <f>+VLOOKUP(LEFT($A110,LEN(A110)-1)*1,Master!$D$30:$G$229,4,FALSE)</f>
        <v>Rashodi za usluge</v>
      </c>
      <c r="C110" s="636"/>
      <c r="D110" s="636"/>
      <c r="E110" s="636"/>
      <c r="F110" s="636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5" t="str">
        <f>+VLOOKUP(LEFT($A111,LEN(A111)-1)*1,Master!$D$30:$G$229,4,FALSE)</f>
        <v>Rashodi za tekuće održavanje</v>
      </c>
      <c r="C111" s="636"/>
      <c r="D111" s="636"/>
      <c r="E111" s="636"/>
      <c r="F111" s="636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5" t="str">
        <f>+VLOOKUP(LEFT($A112,LEN(A112)-1)*1,Master!$D$30:$G$229,4,FALSE)</f>
        <v>Kamate</v>
      </c>
      <c r="C112" s="636"/>
      <c r="D112" s="636"/>
      <c r="E112" s="636"/>
      <c r="F112" s="636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5" t="str">
        <f>+VLOOKUP(LEFT($A113,LEN(A113)-1)*1,Master!$D$30:$G$229,4,FALSE)</f>
        <v>Renta</v>
      </c>
      <c r="C113" s="636"/>
      <c r="D113" s="636"/>
      <c r="E113" s="636"/>
      <c r="F113" s="636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5" t="str">
        <f>+VLOOKUP(LEFT($A114,LEN(A114)-1)*1,Master!$D$30:$G$229,4,FALSE)</f>
        <v>Subvencije</v>
      </c>
      <c r="C114" s="636"/>
      <c r="D114" s="636"/>
      <c r="E114" s="636"/>
      <c r="F114" s="636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5" t="str">
        <f>+VLOOKUP(LEFT($A115,LEN(A115)-1)*1,Master!$D$30:$G$229,4,FALSE)</f>
        <v>Ostali izdaci</v>
      </c>
      <c r="C115" s="636"/>
      <c r="D115" s="636"/>
      <c r="E115" s="636"/>
      <c r="F115" s="636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5" t="str">
        <f>+VLOOKUP(LEFT($A116,LEN(A116)-1)*1,Master!$D$30:$G$229,4,FALSE)</f>
        <v>Transferi za socijalnu zaštitu</v>
      </c>
      <c r="C116" s="656"/>
      <c r="D116" s="656"/>
      <c r="E116" s="656"/>
      <c r="F116" s="656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5" t="str">
        <f>+VLOOKUP(LEFT($A117,LEN(A117)-1)*1,Master!$D$30:$G$229,4,FALSE)</f>
        <v>Prava iz oblasti socijalne zaštite</v>
      </c>
      <c r="C117" s="636"/>
      <c r="D117" s="636"/>
      <c r="E117" s="636"/>
      <c r="F117" s="636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5" t="str">
        <f>+VLOOKUP(LEFT($A118,LEN(A118)-1)*1,Master!$D$30:$G$229,4,FALSE)</f>
        <v>Sredstva za tehnološke viškove</v>
      </c>
      <c r="C118" s="636"/>
      <c r="D118" s="636"/>
      <c r="E118" s="636"/>
      <c r="F118" s="636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5" t="str">
        <f>+VLOOKUP(LEFT($A119,LEN(A119)-1)*1,Master!$D$30:$G$229,4,FALSE)</f>
        <v>Prava iz oblasti penzijskog i invalidskog osiguranja</v>
      </c>
      <c r="C119" s="636"/>
      <c r="D119" s="636"/>
      <c r="E119" s="636"/>
      <c r="F119" s="636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5" t="str">
        <f>+VLOOKUP(LEFT($A120,LEN(A120)-1)*1,Master!$D$30:$G$229,4,FALSE)</f>
        <v>Ostala prava iz oblasti zdravstvene zaštite</v>
      </c>
      <c r="C120" s="636"/>
      <c r="D120" s="636"/>
      <c r="E120" s="636"/>
      <c r="F120" s="636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5" t="str">
        <f>+VLOOKUP(LEFT($A121,LEN(A121)-1)*1,Master!$D$30:$G$229,4,FALSE)</f>
        <v>Ostala prava iz zdravstvenog osiguranja</v>
      </c>
      <c r="C121" s="636"/>
      <c r="D121" s="636"/>
      <c r="E121" s="636"/>
      <c r="F121" s="636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51" t="str">
        <f>+VLOOKUP(LEFT($A122,LEN(A122)-1)*1,Master!$D$30:$G$229,4,FALSE)</f>
        <v xml:space="preserve">Transferi institucijama, pojedincima, nevladinom i javnom sektoru </v>
      </c>
      <c r="C122" s="652"/>
      <c r="D122" s="652"/>
      <c r="E122" s="652"/>
      <c r="F122" s="652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51" t="str">
        <f>+VLOOKUP(LEFT($A123,LEN(A123)-1)*1,Master!$D$30:$G$229,4,FALSE)</f>
        <v>Kapitalni izdaci</v>
      </c>
      <c r="C123" s="652"/>
      <c r="D123" s="652"/>
      <c r="E123" s="652"/>
      <c r="F123" s="652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3" t="str">
        <f>+VLOOKUP(LEFT($A124,LEN(A124)-1)*1,Master!$D$30:$G$229,4,FALSE)</f>
        <v>Pozajmice i krediti</v>
      </c>
      <c r="C124" s="654"/>
      <c r="D124" s="654"/>
      <c r="E124" s="654"/>
      <c r="F124" s="654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3" t="str">
        <f>+VLOOKUP(LEFT($A125,LEN(A125)-1)*1,Master!$D$30:$G$229,4,FALSE)</f>
        <v>Rezerve</v>
      </c>
      <c r="C125" s="654"/>
      <c r="D125" s="654"/>
      <c r="E125" s="654"/>
      <c r="F125" s="654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3" t="str">
        <f>+VLOOKUP(LEFT($A126,LEN(A126)-1)*1,Master!$D$30:$G$229,4,FALSE)</f>
        <v>Otplata garancija</v>
      </c>
      <c r="C126" s="654"/>
      <c r="D126" s="654"/>
      <c r="E126" s="654"/>
      <c r="F126" s="65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3" t="str">
        <f>+VLOOKUP(LEFT($A127,LEN(A127)-1)*1,Master!$D$30:$G$229,4,FALSE)</f>
        <v>Otplata obaveza iz prethodnog perioda</v>
      </c>
      <c r="C127" s="654"/>
      <c r="D127" s="654"/>
      <c r="E127" s="654"/>
      <c r="F127" s="654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3" t="str">
        <f>+VLOOKUP(LEFT($A128,LEN(A128)-1)*1,Master!$D$30:$G$229,4,FALSE)</f>
        <v>Neto povećanje obaveza</v>
      </c>
      <c r="C128" s="654"/>
      <c r="D128" s="654"/>
      <c r="E128" s="654"/>
      <c r="F128" s="65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61" t="str">
        <f>+VLOOKUP(LEFT($A129,LEN(A129)-1)*1,Master!$D$30:$G$226,4,FALSE)</f>
        <v>Suficit / deficit</v>
      </c>
      <c r="C129" s="662"/>
      <c r="D129" s="662"/>
      <c r="E129" s="662"/>
      <c r="F129" s="662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3" t="str">
        <f>+VLOOKUP(LEFT($A130,LEN(A130)-1)*1,Master!$D$30:$G$226,4,FALSE)</f>
        <v>Primarni suficit/deficit</v>
      </c>
      <c r="C130" s="664"/>
      <c r="D130" s="664"/>
      <c r="E130" s="664"/>
      <c r="F130" s="664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5" t="str">
        <f>+VLOOKUP(LEFT($A131,LEN(A131)-1)*1,Master!$D$30:$G$226,4,FALSE)</f>
        <v>Otplata dugova</v>
      </c>
      <c r="C131" s="656"/>
      <c r="D131" s="656"/>
      <c r="E131" s="656"/>
      <c r="F131" s="656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9" t="str">
        <f>+VLOOKUP(LEFT($A132,LEN(A132)-1)*1,Master!$D$30:$G$226,4,FALSE)</f>
        <v>Otplata hartija od vrijednosti i kredita rezidentima</v>
      </c>
      <c r="C132" s="660"/>
      <c r="D132" s="660"/>
      <c r="E132" s="660"/>
      <c r="F132" s="660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3" t="str">
        <f>+VLOOKUP(LEFT($A133,LEN(A133)-1)*1,Master!$D$30:$G$226,4,FALSE)</f>
        <v>Otplata hartija od vrijednosti i kredita nerezidentima</v>
      </c>
      <c r="C133" s="654"/>
      <c r="D133" s="654"/>
      <c r="E133" s="654"/>
      <c r="F133" s="654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31" t="str">
        <f>+VLOOKUP(LEFT($A134,LEN(A134)-1)*1,Master!$D$30:$G$226,4,FALSE)</f>
        <v>Izdaci za kupovinu hartija od vrijednosti</v>
      </c>
      <c r="C134" s="632"/>
      <c r="D134" s="632"/>
      <c r="E134" s="632"/>
      <c r="F134" s="632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7" t="str">
        <f>+VLOOKUP(LEFT($A135,LEN(A135)-1)*1,Master!$D$30:$G$226,4,FALSE)</f>
        <v>Nedostajuća sredstva</v>
      </c>
      <c r="C135" s="658"/>
      <c r="D135" s="658"/>
      <c r="E135" s="658"/>
      <c r="F135" s="658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31" t="str">
        <f>+VLOOKUP(LEFT($A136,LEN(A136)-1)*1,Master!$D$30:$G$226,4,FALSE)</f>
        <v>Finansiranje</v>
      </c>
      <c r="C136" s="632"/>
      <c r="D136" s="632"/>
      <c r="E136" s="632"/>
      <c r="F136" s="632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9" t="str">
        <f>+VLOOKUP(LEFT($A137,LEN(A137)-1)*1,Master!$D$30:$G$226,4,FALSE)</f>
        <v>Pozajmice i krediti od domaćih izvora</v>
      </c>
      <c r="C137" s="660"/>
      <c r="D137" s="660"/>
      <c r="E137" s="660"/>
      <c r="F137" s="660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3" t="str">
        <f>+VLOOKUP(LEFT($A138,LEN(A138)-1)*1,Master!$D$30:$G$226,4,FALSE)</f>
        <v>Pozajmice i krediti od inostranih izvora</v>
      </c>
      <c r="C138" s="654"/>
      <c r="D138" s="654"/>
      <c r="E138" s="654"/>
      <c r="F138" s="654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3" t="str">
        <f>+VLOOKUP(LEFT($A139,LEN(A139)-1)*1,Master!$D$30:$G$226,4,FALSE)</f>
        <v>Primici od prodaje imovine</v>
      </c>
      <c r="C139" s="654"/>
      <c r="D139" s="654"/>
      <c r="E139" s="654"/>
      <c r="F139" s="654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2021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4955116000</v>
      </c>
    </row>
    <row r="8" spans="1:22" ht="16.5" customHeight="1">
      <c r="A8" s="129"/>
      <c r="B8" s="570"/>
      <c r="C8" s="571"/>
      <c r="D8" s="571"/>
      <c r="E8" s="571"/>
      <c r="F8" s="57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2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10" t="str">
        <f>+VLOOKUP($A10,Master!$D$30:$G$226,4,FALSE)</f>
        <v>Prihodi budžeta</v>
      </c>
      <c r="C10" s="611"/>
      <c r="D10" s="611"/>
      <c r="E10" s="611"/>
      <c r="F10" s="611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8" t="str">
        <f>+VLOOKUP($A19,Master!$D$30:$G$226,4,FALSE)</f>
        <v>Doprinosi</v>
      </c>
      <c r="C19" s="609"/>
      <c r="D19" s="609"/>
      <c r="E19" s="609"/>
      <c r="F19" s="609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6" t="str">
        <f>+VLOOKUP($A39,Master!$D$30:$G$226,4,FALSE)</f>
        <v>Ostali izdaci</v>
      </c>
      <c r="C39" s="617"/>
      <c r="D39" s="617"/>
      <c r="E39" s="617"/>
      <c r="F39" s="617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6" t="str">
        <f>+VLOOKUP($A59,Master!$D$30:$G$226,4,FALSE)</f>
        <v>Nedostajuća sredstva</v>
      </c>
      <c r="C59" s="587"/>
      <c r="D59" s="587"/>
      <c r="E59" s="587"/>
      <c r="F59" s="587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8" t="str">
        <f>+VLOOKUP($A60,Master!$D$30:$G$226,4,FALSE)</f>
        <v>Finansiranje</v>
      </c>
      <c r="C60" s="589"/>
      <c r="D60" s="589"/>
      <c r="E60" s="589"/>
      <c r="F60" s="589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2" t="str">
        <f>+VLOOKUP($A61,Master!$D$30:$G$226,4,FALSE)</f>
        <v>Pozajmice i krediti od domaćih izvora</v>
      </c>
      <c r="C61" s="583"/>
      <c r="D61" s="583"/>
      <c r="E61" s="583"/>
      <c r="F61" s="583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6" t="str">
        <f>+VLOOKUP($A62,Master!$D$30:$G$226,4,FALSE)</f>
        <v>Pozajmice i krediti od inostranih izvora</v>
      </c>
      <c r="C62" s="567"/>
      <c r="D62" s="567"/>
      <c r="E62" s="567"/>
      <c r="F62" s="567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6" t="str">
        <f>+VLOOKUP($A63,Master!$D$30:$G$226,4,FALSE)</f>
        <v>Primici od prodaje imovine</v>
      </c>
      <c r="C63" s="567"/>
      <c r="D63" s="567"/>
      <c r="E63" s="567"/>
      <c r="F63" s="567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7" t="str">
        <f>+Master!G253</f>
        <v>Plan ostvarenja budžeta</v>
      </c>
      <c r="C81" s="638"/>
      <c r="D81" s="638"/>
      <c r="E81" s="638"/>
      <c r="F81" s="638"/>
      <c r="G81" s="622">
        <v>2021</v>
      </c>
      <c r="H81" s="623"/>
      <c r="I81" s="623"/>
      <c r="J81" s="623"/>
      <c r="K81" s="623"/>
      <c r="L81" s="623"/>
      <c r="M81" s="623"/>
      <c r="N81" s="623"/>
      <c r="O81" s="623"/>
      <c r="P81" s="623"/>
      <c r="Q81" s="623"/>
      <c r="R81" s="624"/>
      <c r="S81" s="96" t="str">
        <f>+S7</f>
        <v>BDP</v>
      </c>
      <c r="T81" s="97">
        <v>4636600000</v>
      </c>
    </row>
    <row r="82" spans="1:21" ht="15.75" customHeight="1">
      <c r="B82" s="639"/>
      <c r="C82" s="640"/>
      <c r="D82" s="640"/>
      <c r="E82" s="640"/>
      <c r="F82" s="641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2" t="str">
        <f>+Master!G247</f>
        <v>Jan - Dec</v>
      </c>
      <c r="T82" s="624">
        <f>+T8</f>
        <v>0</v>
      </c>
    </row>
    <row r="83" spans="1:21" ht="13.5" thickBot="1">
      <c r="B83" s="642"/>
      <c r="C83" s="643"/>
      <c r="D83" s="643"/>
      <c r="E83" s="643"/>
      <c r="F83" s="644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7" t="str">
        <f>+VLOOKUP(LEFT($A84,LEN(A84)-1)*1,Master!$D$30:$G$226,4,FALSE)</f>
        <v>Prihodi budžeta</v>
      </c>
      <c r="C84" s="668"/>
      <c r="D84" s="668"/>
      <c r="E84" s="668"/>
      <c r="F84" s="668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3" t="str">
        <f>+VLOOKUP(LEFT($A85,LEN(A85)-1)*1,Master!$D$30:$G$226,4,FALSE)</f>
        <v>Porezi</v>
      </c>
      <c r="C85" s="634"/>
      <c r="D85" s="634"/>
      <c r="E85" s="634"/>
      <c r="F85" s="634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5" t="str">
        <f>+VLOOKUP(LEFT($A86,LEN(A86)-1)*1,Master!$D$30:$G$229,4,FALSE)</f>
        <v>Porez na dohodak fizičkih lica</v>
      </c>
      <c r="C86" s="636"/>
      <c r="D86" s="636"/>
      <c r="E86" s="636"/>
      <c r="F86" s="636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5" t="str">
        <f>+VLOOKUP(LEFT($A87,LEN(A87)-1)*1,Master!$D$30:$G$229,4,FALSE)</f>
        <v>Porez na dobit pravnih lica</v>
      </c>
      <c r="C87" s="636"/>
      <c r="D87" s="636"/>
      <c r="E87" s="636"/>
      <c r="F87" s="636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5" t="str">
        <f>+VLOOKUP(LEFT($A88,LEN(A88)-1)*1,Master!$D$30:$G$229,4,FALSE)</f>
        <v>Porez na promet nepokretnosti</v>
      </c>
      <c r="C88" s="636"/>
      <c r="D88" s="636"/>
      <c r="E88" s="636"/>
      <c r="F88" s="636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5" t="str">
        <f>+VLOOKUP(LEFT($A89,LEN(A89)-1)*1,Master!$D$30:$G$229,4,FALSE)</f>
        <v>Porez na dodatu vrijednost</v>
      </c>
      <c r="C89" s="636"/>
      <c r="D89" s="636"/>
      <c r="E89" s="636"/>
      <c r="F89" s="636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5" t="str">
        <f>+VLOOKUP(LEFT($A90,LEN(A90)-1)*1,Master!$D$30:$G$229,4,FALSE)</f>
        <v>Akcize</v>
      </c>
      <c r="C90" s="636"/>
      <c r="D90" s="636"/>
      <c r="E90" s="636"/>
      <c r="F90" s="636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5" t="str">
        <f>+VLOOKUP(LEFT($A91,LEN(A91)-1)*1,Master!$D$30:$G$229,4,FALSE)</f>
        <v>Porez na međunarodnu trgovinu i transakcije</v>
      </c>
      <c r="C91" s="636"/>
      <c r="D91" s="636"/>
      <c r="E91" s="636"/>
      <c r="F91" s="636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5" t="str">
        <f>+VLOOKUP(LEFT($A92,LEN(A92)-1)*1,Master!$D$30:$G$229,4,FALSE)</f>
        <v>Ostali državni porezi</v>
      </c>
      <c r="C92" s="636"/>
      <c r="D92" s="636"/>
      <c r="E92" s="636"/>
      <c r="F92" s="636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5" t="str">
        <f>+VLOOKUP(LEFT($A93,LEN(A93)-1)*1,Master!$D$30:$G$229,4,FALSE)</f>
        <v>Doprinosi</v>
      </c>
      <c r="C93" s="666"/>
      <c r="D93" s="666"/>
      <c r="E93" s="666"/>
      <c r="F93" s="666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5" t="str">
        <f>+VLOOKUP(LEFT($A94,LEN(A94)-1)*1,Master!$D$30:$G$229,4,FALSE)</f>
        <v>Doprinosi za penzijsko i invalidsko osiguranje</v>
      </c>
      <c r="C94" s="636"/>
      <c r="D94" s="636"/>
      <c r="E94" s="636"/>
      <c r="F94" s="636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5" t="str">
        <f>+VLOOKUP(LEFT($A95,LEN(A95)-1)*1,Master!$D$30:$G$229,4,FALSE)</f>
        <v>Doprinosi za zdravstveno osiguranje</v>
      </c>
      <c r="C95" s="636"/>
      <c r="D95" s="636"/>
      <c r="E95" s="636"/>
      <c r="F95" s="636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5" t="str">
        <f>+VLOOKUP(LEFT($A96,LEN(A96)-1)*1,Master!$D$30:$G$229,4,FALSE)</f>
        <v>Doprinosi za osiguranje od nezaposlenosti</v>
      </c>
      <c r="C96" s="636"/>
      <c r="D96" s="636"/>
      <c r="E96" s="636"/>
      <c r="F96" s="636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5" t="str">
        <f>+VLOOKUP(LEFT($A97,LEN(A97)-1)*1,Master!$D$30:$G$229,4,FALSE)</f>
        <v>Ostali doprinosi</v>
      </c>
      <c r="C97" s="636"/>
      <c r="D97" s="636"/>
      <c r="E97" s="636"/>
      <c r="F97" s="636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5" t="str">
        <f>+VLOOKUP(LEFT($A98,LEN(A98)-1)*1,Master!$D$30:$G$229,4,FALSE)</f>
        <v>Takse</v>
      </c>
      <c r="C98" s="646"/>
      <c r="D98" s="646"/>
      <c r="E98" s="646"/>
      <c r="F98" s="646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5" t="str">
        <f>+VLOOKUP(LEFT($A99,LEN(A99)-1)*1,Master!$D$30:$G$229,4,FALSE)</f>
        <v>Naknade</v>
      </c>
      <c r="C99" s="646"/>
      <c r="D99" s="646"/>
      <c r="E99" s="646"/>
      <c r="F99" s="646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5" t="str">
        <f>+VLOOKUP(LEFT($A100,LEN(A100)-1)*1,Master!$D$30:$G$229,4,FALSE)</f>
        <v>Ostali prihodi</v>
      </c>
      <c r="C100" s="646"/>
      <c r="D100" s="646"/>
      <c r="E100" s="646"/>
      <c r="F100" s="646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5" t="str">
        <f>+VLOOKUP(LEFT($A101,LEN(A101)-1)*1,Master!$D$30:$G$229,4,FALSE)</f>
        <v>Primici od otplate kredita i sredstva prenesena iz prethodne godine</v>
      </c>
      <c r="C101" s="646"/>
      <c r="D101" s="646"/>
      <c r="E101" s="646"/>
      <c r="F101" s="646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7" t="str">
        <f>+VLOOKUP(LEFT($A102,LEN(A102)-1)*1,Master!$D$30:$G$229,4,FALSE)</f>
        <v>Donacije i transferi</v>
      </c>
      <c r="C102" s="648"/>
      <c r="D102" s="648"/>
      <c r="E102" s="648"/>
      <c r="F102" s="648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31" t="str">
        <f>+VLOOKUP(LEFT($A103,LEN(A103)-1)*1,Master!$D$30:$G$229,4,FALSE)</f>
        <v>Izdaci budžeta</v>
      </c>
      <c r="C103" s="632"/>
      <c r="D103" s="632"/>
      <c r="E103" s="632"/>
      <c r="F103" s="632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9" t="str">
        <f>+VLOOKUP(LEFT($A104,LEN(A104)-1)*1,Master!$D$30:$G$229,4,FALSE)</f>
        <v>Tekući izdaci</v>
      </c>
      <c r="C104" s="650"/>
      <c r="D104" s="650"/>
      <c r="E104" s="650"/>
      <c r="F104" s="650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5" t="str">
        <f>+VLOOKUP(LEFT($A105,LEN(A105)-1)*1,Master!$D$30:$G$229,4,FALSE)</f>
        <v>Bruto zarade i doprinosi na teret poslodavca</v>
      </c>
      <c r="C105" s="636"/>
      <c r="D105" s="636"/>
      <c r="E105" s="636"/>
      <c r="F105" s="636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5" t="str">
        <f>+VLOOKUP(LEFT($A106,LEN(A106)-1)*1,Master!$D$30:$G$229,4,FALSE)</f>
        <v>Ostala lična primanja</v>
      </c>
      <c r="C106" s="636"/>
      <c r="D106" s="636"/>
      <c r="E106" s="636"/>
      <c r="F106" s="636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5" t="str">
        <f>+VLOOKUP(LEFT($A107,LEN(A107)-1)*1,Master!$D$30:$G$229,4,FALSE)</f>
        <v>Rashodi za materijal</v>
      </c>
      <c r="C107" s="636"/>
      <c r="D107" s="636"/>
      <c r="E107" s="636"/>
      <c r="F107" s="636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5" t="str">
        <f>+VLOOKUP(LEFT($A108,LEN(A108)-1)*1,Master!$D$30:$G$229,4,FALSE)</f>
        <v>Rashodi za usluge</v>
      </c>
      <c r="C108" s="636"/>
      <c r="D108" s="636"/>
      <c r="E108" s="636"/>
      <c r="F108" s="636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5" t="str">
        <f>+VLOOKUP(LEFT($A109,LEN(A109)-1)*1,Master!$D$30:$G$229,4,FALSE)</f>
        <v>Rashodi za tekuće održavanje</v>
      </c>
      <c r="C109" s="636"/>
      <c r="D109" s="636"/>
      <c r="E109" s="636"/>
      <c r="F109" s="636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5" t="str">
        <f>+VLOOKUP(LEFT($A110,LEN(A110)-1)*1,Master!$D$30:$G$229,4,FALSE)</f>
        <v>Kamate</v>
      </c>
      <c r="C110" s="636"/>
      <c r="D110" s="636"/>
      <c r="E110" s="636"/>
      <c r="F110" s="636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5" t="str">
        <f>+VLOOKUP(LEFT($A111,LEN(A111)-1)*1,Master!$D$30:$G$229,4,FALSE)</f>
        <v>Renta</v>
      </c>
      <c r="C111" s="636"/>
      <c r="D111" s="636"/>
      <c r="E111" s="636"/>
      <c r="F111" s="636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5" t="str">
        <f>+VLOOKUP(LEFT($A112,LEN(A112)-1)*1,Master!$D$30:$G$229,4,FALSE)</f>
        <v>Subvencije</v>
      </c>
      <c r="C112" s="636"/>
      <c r="D112" s="636"/>
      <c r="E112" s="636"/>
      <c r="F112" s="636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5" t="str">
        <f>+VLOOKUP(LEFT($A113,LEN(A113)-1)*1,Master!$D$30:$G$229,4,FALSE)</f>
        <v>Ostali izdaci</v>
      </c>
      <c r="C113" s="636"/>
      <c r="D113" s="636"/>
      <c r="E113" s="636"/>
      <c r="F113" s="636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5" t="str">
        <f>+VLOOKUP(LEFT($A114,LEN(A114)-1)*1,Master!$D$30:$G$229,4,FALSE)</f>
        <v>Transferi za socijalnu zaštitu</v>
      </c>
      <c r="C114" s="656"/>
      <c r="D114" s="656"/>
      <c r="E114" s="656"/>
      <c r="F114" s="656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5" t="str">
        <f>+VLOOKUP(LEFT($A115,LEN(A115)-1)*1,Master!$D$30:$G$229,4,FALSE)</f>
        <v>Prava iz oblasti socijalne zaštite</v>
      </c>
      <c r="C115" s="636"/>
      <c r="D115" s="636"/>
      <c r="E115" s="636"/>
      <c r="F115" s="636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5" t="str">
        <f>+VLOOKUP(LEFT($A116,LEN(A116)-1)*1,Master!$D$30:$G$229,4,FALSE)</f>
        <v>Sredstva za tehnološke viškove</v>
      </c>
      <c r="C116" s="636"/>
      <c r="D116" s="636"/>
      <c r="E116" s="636"/>
      <c r="F116" s="636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5" t="str">
        <f>+VLOOKUP(LEFT($A117,LEN(A117)-1)*1,Master!$D$30:$G$229,4,FALSE)</f>
        <v>Prava iz oblasti penzijskog i invalidskog osiguranja</v>
      </c>
      <c r="C117" s="636"/>
      <c r="D117" s="636"/>
      <c r="E117" s="636"/>
      <c r="F117" s="636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5" t="str">
        <f>+VLOOKUP(LEFT($A118,LEN(A118)-1)*1,Master!$D$30:$G$229,4,FALSE)</f>
        <v>Ostala prava iz oblasti zdravstvene zaštite</v>
      </c>
      <c r="C118" s="636"/>
      <c r="D118" s="636"/>
      <c r="E118" s="636"/>
      <c r="F118" s="636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5" t="str">
        <f>+VLOOKUP(LEFT($A119,LEN(A119)-1)*1,Master!$D$30:$G$229,4,FALSE)</f>
        <v>Ostala prava iz zdravstvenog osiguranja</v>
      </c>
      <c r="C119" s="636"/>
      <c r="D119" s="636"/>
      <c r="E119" s="636"/>
      <c r="F119" s="636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51" t="str">
        <f>+VLOOKUP(LEFT($A120,LEN(A120)-1)*1,Master!$D$30:$G$229,4,FALSE)</f>
        <v xml:space="preserve">Transferi institucijama, pojedincima, nevladinom i javnom sektoru </v>
      </c>
      <c r="C120" s="652"/>
      <c r="D120" s="652"/>
      <c r="E120" s="652"/>
      <c r="F120" s="652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51" t="str">
        <f>+VLOOKUP(LEFT($A121,LEN(A121)-1)*1,Master!$D$30:$G$229,4,FALSE)</f>
        <v>Kapitalni izdaci</v>
      </c>
      <c r="C121" s="652"/>
      <c r="D121" s="652"/>
      <c r="E121" s="652"/>
      <c r="F121" s="652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3" t="str">
        <f>+VLOOKUP(LEFT($A122,LEN(A122)-1)*1,Master!$D$30:$G$229,4,FALSE)</f>
        <v>Pozajmice i krediti</v>
      </c>
      <c r="C122" s="654"/>
      <c r="D122" s="654"/>
      <c r="E122" s="654"/>
      <c r="F122" s="654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3" t="str">
        <f>+VLOOKUP(LEFT($A123,LEN(A123)-1)*1,Master!$D$30:$G$229,4,FALSE)</f>
        <v>Rezerve</v>
      </c>
      <c r="C123" s="654"/>
      <c r="D123" s="654"/>
      <c r="E123" s="654"/>
      <c r="F123" s="654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3" t="str">
        <f>+VLOOKUP(LEFT($A124,LEN(A124)-1)*1,Master!$D$30:$G$229,4,FALSE)</f>
        <v>Otplata garancija</v>
      </c>
      <c r="C124" s="654"/>
      <c r="D124" s="654"/>
      <c r="E124" s="654"/>
      <c r="F124" s="654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3" t="str">
        <f>+VLOOKUP(LEFT($A125,LEN(A125)-1)*1,Master!$D$30:$G$229,4,FALSE)</f>
        <v>Otplata obaveza iz prethodnog perioda</v>
      </c>
      <c r="C125" s="654"/>
      <c r="D125" s="654"/>
      <c r="E125" s="654"/>
      <c r="F125" s="654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3" t="str">
        <f>+VLOOKUP(LEFT($A126,LEN(A126)-1)*1,Master!$D$30:$G$229,4,FALSE)</f>
        <v>Neto povećanje obaveza</v>
      </c>
      <c r="C126" s="654"/>
      <c r="D126" s="654"/>
      <c r="E126" s="654"/>
      <c r="F126" s="65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61" t="str">
        <f>+VLOOKUP(LEFT($A127,LEN(A127)-1)*1,Master!$D$30:$G$226,4,FALSE)</f>
        <v>Suficit / deficit</v>
      </c>
      <c r="C127" s="662"/>
      <c r="D127" s="662"/>
      <c r="E127" s="662"/>
      <c r="F127" s="662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3" t="str">
        <f>+VLOOKUP(LEFT($A128,LEN(A128)-1)*1,Master!$D$30:$G$226,4,FALSE)</f>
        <v>Primarni suficit/deficit</v>
      </c>
      <c r="C128" s="664"/>
      <c r="D128" s="664"/>
      <c r="E128" s="664"/>
      <c r="F128" s="664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5" t="str">
        <f>+VLOOKUP(LEFT($A129,LEN(A129)-1)*1,Master!$D$30:$G$226,4,FALSE)</f>
        <v>Otplata dugova</v>
      </c>
      <c r="C129" s="656"/>
      <c r="D129" s="656"/>
      <c r="E129" s="656"/>
      <c r="F129" s="656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9" t="str">
        <f>+VLOOKUP(LEFT($A130,LEN(A130)-1)*1,Master!$D$30:$G$226,4,FALSE)</f>
        <v>Otplata hartija od vrijednosti i kredita rezidentima</v>
      </c>
      <c r="C130" s="660"/>
      <c r="D130" s="660"/>
      <c r="E130" s="660"/>
      <c r="F130" s="660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3" t="str">
        <f>+VLOOKUP(LEFT($A131,LEN(A131)-1)*1,Master!$D$30:$G$226,4,FALSE)</f>
        <v>Otplata hartija od vrijednosti i kredita nerezidentima</v>
      </c>
      <c r="C131" s="654"/>
      <c r="D131" s="654"/>
      <c r="E131" s="654"/>
      <c r="F131" s="654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31" t="str">
        <f>+VLOOKUP(LEFT($A132,LEN(A132)-1)*1,Master!$D$30:$G$226,4,FALSE)</f>
        <v>Izdaci za kupovinu hartija od vrijednosti</v>
      </c>
      <c r="C132" s="632"/>
      <c r="D132" s="632"/>
      <c r="E132" s="632"/>
      <c r="F132" s="632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7" t="str">
        <f>+VLOOKUP(LEFT($A133,LEN(A133)-1)*1,Master!$D$30:$G$226,4,FALSE)</f>
        <v>Nedostajuća sredstva</v>
      </c>
      <c r="C133" s="658"/>
      <c r="D133" s="658"/>
      <c r="E133" s="658"/>
      <c r="F133" s="658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31" t="str">
        <f>+VLOOKUP(LEFT($A134,LEN(A134)-1)*1,Master!$D$30:$G$226,4,FALSE)</f>
        <v>Finansiranje</v>
      </c>
      <c r="C134" s="632"/>
      <c r="D134" s="632"/>
      <c r="E134" s="632"/>
      <c r="F134" s="632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9" t="str">
        <f>+VLOOKUP(LEFT($A135,LEN(A135)-1)*1,Master!$D$30:$G$226,4,FALSE)</f>
        <v>Pozajmice i krediti od domaćih izvora</v>
      </c>
      <c r="C135" s="660"/>
      <c r="D135" s="660"/>
      <c r="E135" s="660"/>
      <c r="F135" s="660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3" t="str">
        <f>+VLOOKUP(LEFT($A136,LEN(A136)-1)*1,Master!$D$30:$G$226,4,FALSE)</f>
        <v>Pozajmice i krediti od inostranih izvora</v>
      </c>
      <c r="C136" s="654"/>
      <c r="D136" s="654"/>
      <c r="E136" s="654"/>
      <c r="F136" s="654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3" t="str">
        <f>+VLOOKUP(LEFT($A137,LEN(A137)-1)*1,Master!$D$30:$G$226,4,FALSE)</f>
        <v>Primici od prodaje imovine</v>
      </c>
      <c r="C137" s="654"/>
      <c r="D137" s="654"/>
      <c r="E137" s="654"/>
      <c r="F137" s="654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8" t="str">
        <f>+Master!G252</f>
        <v>Ostvarenje budžeta</v>
      </c>
      <c r="C7" s="569"/>
      <c r="D7" s="569"/>
      <c r="E7" s="569"/>
      <c r="F7" s="569"/>
      <c r="G7" s="577">
        <v>2020</v>
      </c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81"/>
      <c r="S7" s="220" t="str">
        <f>+Master!G249</f>
        <v>BDP</v>
      </c>
      <c r="T7" s="221">
        <v>4185600000</v>
      </c>
    </row>
    <row r="8" spans="1:20" ht="16.5" customHeight="1">
      <c r="A8" s="129"/>
      <c r="B8" s="570"/>
      <c r="C8" s="571"/>
      <c r="D8" s="571"/>
      <c r="E8" s="571"/>
      <c r="F8" s="57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7" t="str">
        <f>+Master!G247</f>
        <v>Jan - Dec</v>
      </c>
      <c r="T8" s="581"/>
    </row>
    <row r="9" spans="1:20" ht="13.5" thickBot="1">
      <c r="A9" s="129"/>
      <c r="B9" s="573"/>
      <c r="C9" s="574"/>
      <c r="D9" s="574"/>
      <c r="E9" s="574"/>
      <c r="F9" s="57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10" t="str">
        <f>+VLOOKUP($A10,Master!$D$30:$G$226,4,FALSE)</f>
        <v>Prihodi budžeta</v>
      </c>
      <c r="C10" s="611"/>
      <c r="D10" s="611"/>
      <c r="E10" s="611"/>
      <c r="F10" s="611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2" t="str">
        <f>+VLOOKUP($A11,Master!$D$30:$G$226,4,FALSE)</f>
        <v>Porezi</v>
      </c>
      <c r="C11" s="613"/>
      <c r="D11" s="613"/>
      <c r="E11" s="613"/>
      <c r="F11" s="613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8" t="str">
        <f>+VLOOKUP($A12,Master!$D$30:$G$226,4,FALSE)</f>
        <v>Porez na dohodak fizičkih lica</v>
      </c>
      <c r="C12" s="599"/>
      <c r="D12" s="599"/>
      <c r="E12" s="599"/>
      <c r="F12" s="599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8" t="str">
        <f>+VLOOKUP($A13,Master!$D$30:$G$226,4,FALSE)</f>
        <v>Porez na dobit pravnih lica</v>
      </c>
      <c r="C13" s="599"/>
      <c r="D13" s="599"/>
      <c r="E13" s="599"/>
      <c r="F13" s="599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8" t="str">
        <f>+VLOOKUP($A14,Master!$D$30:$G$226,4,FALSE)</f>
        <v>Porez na promet nepokretnosti</v>
      </c>
      <c r="C14" s="599"/>
      <c r="D14" s="599"/>
      <c r="E14" s="599"/>
      <c r="F14" s="599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8" t="str">
        <f>+VLOOKUP($A15,Master!$D$30:$G$226,4,FALSE)</f>
        <v>Porez na dodatu vrijednost</v>
      </c>
      <c r="C15" s="599"/>
      <c r="D15" s="599"/>
      <c r="E15" s="599"/>
      <c r="F15" s="599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8" t="str">
        <f>+VLOOKUP($A16,Master!$D$30:$G$226,4,FALSE)</f>
        <v>Akcize</v>
      </c>
      <c r="C16" s="599"/>
      <c r="D16" s="599"/>
      <c r="E16" s="599"/>
      <c r="F16" s="599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8" t="str">
        <f>+VLOOKUP($A17,Master!$D$30:$G$226,4,FALSE)</f>
        <v>Porez na međunarodnu trgovinu i transakcije</v>
      </c>
      <c r="C17" s="599"/>
      <c r="D17" s="599"/>
      <c r="E17" s="599"/>
      <c r="F17" s="599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8" t="str">
        <f>+VLOOKUP($A18,Master!$D$30:$G$226,4,FALSE)</f>
        <v>Ostali državni porezi</v>
      </c>
      <c r="C18" s="599"/>
      <c r="D18" s="599"/>
      <c r="E18" s="599"/>
      <c r="F18" s="599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8" t="str">
        <f>+VLOOKUP($A19,Master!$D$30:$G$226,4,FALSE)</f>
        <v>Doprinosi</v>
      </c>
      <c r="C19" s="609"/>
      <c r="D19" s="609"/>
      <c r="E19" s="609"/>
      <c r="F19" s="609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8" t="str">
        <f>+VLOOKUP($A20,Master!$D$30:$G$226,4,FALSE)</f>
        <v>Doprinosi za penzijsko i invalidsko osiguranje</v>
      </c>
      <c r="C20" s="599"/>
      <c r="D20" s="599"/>
      <c r="E20" s="599"/>
      <c r="F20" s="599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8" t="str">
        <f>+VLOOKUP($A21,Master!$D$30:$G$226,4,FALSE)</f>
        <v>Doprinosi za zdravstveno osiguranje</v>
      </c>
      <c r="C21" s="599"/>
      <c r="D21" s="599"/>
      <c r="E21" s="599"/>
      <c r="F21" s="599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8" t="str">
        <f>+VLOOKUP($A22,Master!$D$30:$G$226,4,FALSE)</f>
        <v>Doprinosi za osiguranje od nezaposlenosti</v>
      </c>
      <c r="C22" s="599"/>
      <c r="D22" s="599"/>
      <c r="E22" s="599"/>
      <c r="F22" s="599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8" t="str">
        <f>+VLOOKUP($A23,Master!$D$30:$G$226,4,FALSE)</f>
        <v>Ostali doprinosi</v>
      </c>
      <c r="C23" s="599"/>
      <c r="D23" s="599"/>
      <c r="E23" s="599"/>
      <c r="F23" s="599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600" t="str">
        <f>+VLOOKUP($A24,Master!$D$30:$G$226,4,FALSE)</f>
        <v>Takse</v>
      </c>
      <c r="C24" s="601"/>
      <c r="D24" s="601"/>
      <c r="E24" s="601"/>
      <c r="F24" s="601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600" t="str">
        <f>+VLOOKUP($A25,Master!$D$30:$G$226,4,FALSE)</f>
        <v>Naknade</v>
      </c>
      <c r="C25" s="601"/>
      <c r="D25" s="601"/>
      <c r="E25" s="601"/>
      <c r="F25" s="601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600" t="str">
        <f>+VLOOKUP($A26,Master!$D$30:$G$226,4,FALSE)</f>
        <v>Ostali prihodi</v>
      </c>
      <c r="C26" s="601"/>
      <c r="D26" s="601"/>
      <c r="E26" s="601"/>
      <c r="F26" s="601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600" t="str">
        <f>+VLOOKUP($A27,Master!$D$30:$G$226,4,FALSE)</f>
        <v>Primici od otplate kredita i sredstva prenesena iz prethodne godine</v>
      </c>
      <c r="C27" s="601"/>
      <c r="D27" s="601"/>
      <c r="E27" s="601"/>
      <c r="F27" s="601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2" t="str">
        <f>+VLOOKUP($A28,Master!$D$30:$G$226,4,FALSE)</f>
        <v>Donacije i transferi</v>
      </c>
      <c r="C28" s="603"/>
      <c r="D28" s="603"/>
      <c r="E28" s="603"/>
      <c r="F28" s="603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8" t="str">
        <f>+VLOOKUP($A29,Master!$D$30:$G$226,4,FALSE)</f>
        <v>Izdaci budžeta</v>
      </c>
      <c r="C29" s="589"/>
      <c r="D29" s="589"/>
      <c r="E29" s="589"/>
      <c r="F29" s="589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6" t="str">
        <f>+VLOOKUP($A30,Master!$D$30:$G$226,4,FALSE)</f>
        <v>Tekući izdaci</v>
      </c>
      <c r="C30" s="607"/>
      <c r="D30" s="607"/>
      <c r="E30" s="607"/>
      <c r="F30" s="607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8" t="str">
        <f>+VLOOKUP($A31,Master!$D$30:$G$226,4,FALSE)</f>
        <v>Bruto zarade i doprinosi na teret poslodavca</v>
      </c>
      <c r="C31" s="599"/>
      <c r="D31" s="599"/>
      <c r="E31" s="599"/>
      <c r="F31" s="599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8" t="str">
        <f>+VLOOKUP($A32,Master!$D$30:$G$226,4,FALSE)</f>
        <v>Ostala lična primanja</v>
      </c>
      <c r="C32" s="599"/>
      <c r="D32" s="599"/>
      <c r="E32" s="599"/>
      <c r="F32" s="599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8" t="str">
        <f>+VLOOKUP($A33,Master!$D$30:$G$226,4,FALSE)</f>
        <v>Rashodi za materijal</v>
      </c>
      <c r="C33" s="599"/>
      <c r="D33" s="599"/>
      <c r="E33" s="599"/>
      <c r="F33" s="599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6" t="str">
        <f>+VLOOKUP($A34,Master!$D$30:$G$226,4,FALSE)</f>
        <v>Rashodi za usluge</v>
      </c>
      <c r="C34" s="617"/>
      <c r="D34" s="617"/>
      <c r="E34" s="617"/>
      <c r="F34" s="617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8" t="str">
        <f>+VLOOKUP($A35,Master!$D$30:$G$226,4,FALSE)</f>
        <v>Rashodi za tekuće održavanje</v>
      </c>
      <c r="C35" s="599"/>
      <c r="D35" s="599"/>
      <c r="E35" s="599"/>
      <c r="F35" s="599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8" t="str">
        <f>+VLOOKUP($A36,Master!$D$30:$G$226,4,FALSE)</f>
        <v>Kamate</v>
      </c>
      <c r="C36" s="599"/>
      <c r="D36" s="599"/>
      <c r="E36" s="599"/>
      <c r="F36" s="599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8" t="str">
        <f>+VLOOKUP($A37,Master!$D$30:$G$226,4,FALSE)</f>
        <v>Renta</v>
      </c>
      <c r="C37" s="599"/>
      <c r="D37" s="599"/>
      <c r="E37" s="599"/>
      <c r="F37" s="599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8" t="str">
        <f>+VLOOKUP($A38,Master!$D$30:$G$226,4,FALSE)</f>
        <v>Subvencije</v>
      </c>
      <c r="C38" s="599"/>
      <c r="D38" s="599"/>
      <c r="E38" s="599"/>
      <c r="F38" s="599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6" t="str">
        <f>+VLOOKUP($A39,Master!$D$30:$G$226,4,FALSE)</f>
        <v>Ostali izdaci</v>
      </c>
      <c r="C39" s="617"/>
      <c r="D39" s="617"/>
      <c r="E39" s="617"/>
      <c r="F39" s="617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4" t="str">
        <f>+VLOOKUP($A40,Master!$D$30:$G$226,4,FALSE)</f>
        <v>Transferi za socijalnu zaštitu</v>
      </c>
      <c r="C40" s="595"/>
      <c r="D40" s="595"/>
      <c r="E40" s="595"/>
      <c r="F40" s="595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8" t="str">
        <f>+VLOOKUP($A41,Master!$D$30:$G$226,4,FALSE)</f>
        <v>Prava iz oblasti socijalne zaštite</v>
      </c>
      <c r="C41" s="599"/>
      <c r="D41" s="599"/>
      <c r="E41" s="599"/>
      <c r="F41" s="599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8" t="str">
        <f>+VLOOKUP($A42,Master!$D$30:$G$226,4,FALSE)</f>
        <v>Sredstva za tehnološke viškove</v>
      </c>
      <c r="C42" s="599"/>
      <c r="D42" s="599"/>
      <c r="E42" s="599"/>
      <c r="F42" s="599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8" t="str">
        <f>+VLOOKUP($A43,Master!$D$30:$G$226,4,FALSE)</f>
        <v>Prava iz oblasti penzijskog i invalidskog osiguranja</v>
      </c>
      <c r="C43" s="599"/>
      <c r="D43" s="599"/>
      <c r="E43" s="599"/>
      <c r="F43" s="599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8" t="str">
        <f>+VLOOKUP($A44,Master!$D$30:$G$226,4,FALSE)</f>
        <v>Ostala prava iz oblasti zdravstvene zaštite</v>
      </c>
      <c r="C44" s="599"/>
      <c r="D44" s="599"/>
      <c r="E44" s="599"/>
      <c r="F44" s="599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8" t="str">
        <f>+VLOOKUP($A45,Master!$D$30:$G$226,4,FALSE)</f>
        <v>Ostala prava iz zdravstvenog osiguranja</v>
      </c>
      <c r="C45" s="619"/>
      <c r="D45" s="619"/>
      <c r="E45" s="619"/>
      <c r="F45" s="619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6" t="str">
        <f>+VLOOKUP($A46,Master!$D$30:$G$226,4,FALSE)</f>
        <v xml:space="preserve">Transferi institucijama, pojedincima, nevladinom i javnom sektoru </v>
      </c>
      <c r="C46" s="597"/>
      <c r="D46" s="597"/>
      <c r="E46" s="597"/>
      <c r="F46" s="597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6" t="str">
        <f>+VLOOKUP($A47,Master!$D$30:$G$226,4,FALSE)</f>
        <v>Kapitalni izdaci</v>
      </c>
      <c r="C47" s="597"/>
      <c r="D47" s="597"/>
      <c r="E47" s="597"/>
      <c r="F47" s="597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20" t="str">
        <f>+VLOOKUP($A48,Master!$D$30:$G$226,4,FALSE)</f>
        <v>Pozajmice i krediti</v>
      </c>
      <c r="C48" s="621"/>
      <c r="D48" s="621"/>
      <c r="E48" s="621"/>
      <c r="F48" s="621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5" t="str">
        <f>+VLOOKUP($A49,Master!$D$30:$G$226,4,FALSE)</f>
        <v>Rezerve</v>
      </c>
      <c r="C49" s="626"/>
      <c r="D49" s="626"/>
      <c r="E49" s="626"/>
      <c r="F49" s="626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7" t="str">
        <f>+VLOOKUP($A51,Master!$D$30:$G$226,4,TRUE)</f>
        <v>Otplata obaveza iz prethodnog perioda</v>
      </c>
      <c r="C51" s="628"/>
      <c r="D51" s="628"/>
      <c r="E51" s="628"/>
      <c r="F51" s="628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9" t="str">
        <f>+VLOOKUP($A52,Master!$D$30:$G$228,4,FALSE)</f>
        <v>Neto povećanje obaveza</v>
      </c>
      <c r="C52" s="630"/>
      <c r="D52" s="630"/>
      <c r="E52" s="630"/>
      <c r="F52" s="630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90" t="str">
        <f>+VLOOKUP($A53,Master!$D$30:$G$226,4,FALSE)</f>
        <v>Suficit / deficit</v>
      </c>
      <c r="C53" s="591"/>
      <c r="D53" s="591"/>
      <c r="E53" s="591"/>
      <c r="F53" s="591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2" t="str">
        <f>+VLOOKUP($A54,Master!$D$30:$G$226,4,FALSE)</f>
        <v>Primarni suficit/deficit</v>
      </c>
      <c r="C54" s="593"/>
      <c r="D54" s="593"/>
      <c r="E54" s="593"/>
      <c r="F54" s="593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6" t="str">
        <f>+VLOOKUP($A57,Master!$D$30:$G$226,4,FALSE)</f>
        <v>Otplata hartija od vrijednosti i kredita nerezidentima</v>
      </c>
      <c r="C57" s="567"/>
      <c r="D57" s="567"/>
      <c r="E57" s="567"/>
      <c r="F57" s="567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4" t="str">
        <f>+VLOOKUP($A58,Master!$D$30:$G$226,4,FALSE)</f>
        <v>Izdaci za kupovinu hartija od vrijednosti</v>
      </c>
      <c r="C58" s="605"/>
      <c r="D58" s="605"/>
      <c r="E58" s="605"/>
      <c r="F58" s="605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6" t="str">
        <f>+VLOOKUP($A59,Master!$D$30:$G$226,4,FALSE)</f>
        <v>Nedostajuća sredstva</v>
      </c>
      <c r="C59" s="587"/>
      <c r="D59" s="587"/>
      <c r="E59" s="587"/>
      <c r="F59" s="587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8" t="str">
        <f>+VLOOKUP($A60,Master!$D$30:$G$226,4,FALSE)</f>
        <v>Finansiranje</v>
      </c>
      <c r="C60" s="589"/>
      <c r="D60" s="589"/>
      <c r="E60" s="589"/>
      <c r="F60" s="589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2" t="str">
        <f>+VLOOKUP($A61,Master!$D$30:$G$226,4,FALSE)</f>
        <v>Pozajmice i krediti od domaćih izvora</v>
      </c>
      <c r="C61" s="583"/>
      <c r="D61" s="583"/>
      <c r="E61" s="583"/>
      <c r="F61" s="583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6" t="str">
        <f>+VLOOKUP($A62,Master!$D$30:$G$226,4,FALSE)</f>
        <v>Pozajmice i krediti od inostranih izvora</v>
      </c>
      <c r="C62" s="567"/>
      <c r="D62" s="567"/>
      <c r="E62" s="567"/>
      <c r="F62" s="567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6" t="str">
        <f>+VLOOKUP($A63,Master!$D$30:$G$226,4,FALSE)</f>
        <v>Primici od prodaje imovine</v>
      </c>
      <c r="C63" s="567"/>
      <c r="D63" s="567"/>
      <c r="E63" s="567"/>
      <c r="F63" s="567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7" t="str">
        <f>+Master!G253</f>
        <v>Plan ostvarenja budžeta</v>
      </c>
      <c r="C100" s="638"/>
      <c r="D100" s="638"/>
      <c r="E100" s="638"/>
      <c r="F100" s="638"/>
      <c r="G100" s="622">
        <v>2020</v>
      </c>
      <c r="H100" s="623"/>
      <c r="I100" s="623"/>
      <c r="J100" s="623"/>
      <c r="K100" s="623"/>
      <c r="L100" s="623"/>
      <c r="M100" s="623"/>
      <c r="N100" s="623"/>
      <c r="O100" s="623"/>
      <c r="P100" s="623"/>
      <c r="Q100" s="623"/>
      <c r="R100" s="624"/>
      <c r="S100" s="96" t="str">
        <f>+S7</f>
        <v>BDP</v>
      </c>
      <c r="T100" s="97">
        <v>4607300000</v>
      </c>
    </row>
    <row r="101" spans="1:21" ht="15.75" customHeight="1">
      <c r="B101" s="639"/>
      <c r="C101" s="640"/>
      <c r="D101" s="640"/>
      <c r="E101" s="640"/>
      <c r="F101" s="641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2" t="str">
        <f>+Master!G247</f>
        <v>Jan - Dec</v>
      </c>
      <c r="T101" s="624">
        <f>+T8</f>
        <v>0</v>
      </c>
    </row>
    <row r="102" spans="1:21" ht="13.5" thickBot="1">
      <c r="B102" s="642"/>
      <c r="C102" s="643"/>
      <c r="D102" s="643"/>
      <c r="E102" s="643"/>
      <c r="F102" s="644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7" t="str">
        <f>+VLOOKUP(LEFT($A103,LEN(A103)-1)*1,Master!$D$30:$G$226,4,FALSE)</f>
        <v>Prihodi budžeta</v>
      </c>
      <c r="C103" s="668"/>
      <c r="D103" s="668"/>
      <c r="E103" s="668"/>
      <c r="F103" s="668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3" t="str">
        <f>+VLOOKUP(LEFT($A104,LEN(A104)-1)*1,Master!$D$30:$G$226,4,FALSE)</f>
        <v>Porezi</v>
      </c>
      <c r="C104" s="634"/>
      <c r="D104" s="634"/>
      <c r="E104" s="634"/>
      <c r="F104" s="634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5" t="str">
        <f>+VLOOKUP(LEFT($A105,LEN(A105)-1)*1,Master!$D$30:$G$229,4,FALSE)</f>
        <v>Porez na dohodak fizičkih lica</v>
      </c>
      <c r="C105" s="636"/>
      <c r="D105" s="636"/>
      <c r="E105" s="636"/>
      <c r="F105" s="636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5" t="str">
        <f>+VLOOKUP(LEFT($A106,LEN(A106)-1)*1,Master!$D$30:$G$229,4,FALSE)</f>
        <v>Porez na dobit pravnih lica</v>
      </c>
      <c r="C106" s="636"/>
      <c r="D106" s="636"/>
      <c r="E106" s="636"/>
      <c r="F106" s="636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5" t="str">
        <f>+VLOOKUP(LEFT($A107,LEN(A107)-1)*1,Master!$D$30:$G$229,4,FALSE)</f>
        <v>Porez na promet nepokretnosti</v>
      </c>
      <c r="C107" s="636"/>
      <c r="D107" s="636"/>
      <c r="E107" s="636"/>
      <c r="F107" s="636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5" t="str">
        <f>+VLOOKUP(LEFT($A108,LEN(A108)-1)*1,Master!$D$30:$G$229,4,FALSE)</f>
        <v>Porez na dodatu vrijednost</v>
      </c>
      <c r="C108" s="636"/>
      <c r="D108" s="636"/>
      <c r="E108" s="636"/>
      <c r="F108" s="636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5" t="str">
        <f>+VLOOKUP(LEFT($A109,LEN(A109)-1)*1,Master!$D$30:$G$229,4,FALSE)</f>
        <v>Akcize</v>
      </c>
      <c r="C109" s="636"/>
      <c r="D109" s="636"/>
      <c r="E109" s="636"/>
      <c r="F109" s="636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5" t="str">
        <f>+VLOOKUP(LEFT($A110,LEN(A110)-1)*1,Master!$D$30:$G$229,4,FALSE)</f>
        <v>Porez na međunarodnu trgovinu i transakcije</v>
      </c>
      <c r="C110" s="636"/>
      <c r="D110" s="636"/>
      <c r="E110" s="636"/>
      <c r="F110" s="636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5" t="str">
        <f>+VLOOKUP(LEFT($A111,LEN(A111)-1)*1,Master!$D$30:$G$229,4,FALSE)</f>
        <v>Ostali državni porezi</v>
      </c>
      <c r="C111" s="636"/>
      <c r="D111" s="636"/>
      <c r="E111" s="636"/>
      <c r="F111" s="636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5" t="str">
        <f>+VLOOKUP(LEFT($A112,LEN(A112)-1)*1,Master!$D$30:$G$229,4,FALSE)</f>
        <v>Doprinosi</v>
      </c>
      <c r="C112" s="666"/>
      <c r="D112" s="666"/>
      <c r="E112" s="666"/>
      <c r="F112" s="666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5" t="str">
        <f>+VLOOKUP(LEFT($A113,LEN(A113)-1)*1,Master!$D$30:$G$229,4,FALSE)</f>
        <v>Doprinosi za penzijsko i invalidsko osiguranje</v>
      </c>
      <c r="C113" s="636"/>
      <c r="D113" s="636"/>
      <c r="E113" s="636"/>
      <c r="F113" s="636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5" t="str">
        <f>+VLOOKUP(LEFT($A114,LEN(A114)-1)*1,Master!$D$30:$G$229,4,FALSE)</f>
        <v>Doprinosi za zdravstveno osiguranje</v>
      </c>
      <c r="C114" s="636"/>
      <c r="D114" s="636"/>
      <c r="E114" s="636"/>
      <c r="F114" s="636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5" t="str">
        <f>+VLOOKUP(LEFT($A115,LEN(A115)-1)*1,Master!$D$30:$G$229,4,FALSE)</f>
        <v>Doprinosi za osiguranje od nezaposlenosti</v>
      </c>
      <c r="C115" s="636"/>
      <c r="D115" s="636"/>
      <c r="E115" s="636"/>
      <c r="F115" s="636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5" t="str">
        <f>+VLOOKUP(LEFT($A116,LEN(A116)-1)*1,Master!$D$30:$G$229,4,FALSE)</f>
        <v>Ostali doprinosi</v>
      </c>
      <c r="C116" s="636"/>
      <c r="D116" s="636"/>
      <c r="E116" s="636"/>
      <c r="F116" s="636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5" t="str">
        <f>+VLOOKUP(LEFT($A117,LEN(A117)-1)*1,Master!$D$30:$G$229,4,FALSE)</f>
        <v>Takse</v>
      </c>
      <c r="C117" s="646"/>
      <c r="D117" s="646"/>
      <c r="E117" s="646"/>
      <c r="F117" s="646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5" t="str">
        <f>+VLOOKUP(LEFT($A118,LEN(A118)-1)*1,Master!$D$30:$G$229,4,FALSE)</f>
        <v>Naknade</v>
      </c>
      <c r="C118" s="646"/>
      <c r="D118" s="646"/>
      <c r="E118" s="646"/>
      <c r="F118" s="646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5" t="str">
        <f>+VLOOKUP(LEFT($A119,LEN(A119)-1)*1,Master!$D$30:$G$229,4,FALSE)</f>
        <v>Ostali prihodi</v>
      </c>
      <c r="C119" s="646"/>
      <c r="D119" s="646"/>
      <c r="E119" s="646"/>
      <c r="F119" s="646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5" t="str">
        <f>+VLOOKUP(LEFT($A120,LEN(A120)-1)*1,Master!$D$30:$G$229,4,FALSE)</f>
        <v>Primici od otplate kredita i sredstva prenesena iz prethodne godine</v>
      </c>
      <c r="C120" s="646"/>
      <c r="D120" s="646"/>
      <c r="E120" s="646"/>
      <c r="F120" s="646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7" t="str">
        <f>+VLOOKUP(LEFT($A121,LEN(A121)-1)*1,Master!$D$30:$G$229,4,FALSE)</f>
        <v>Donacije i transferi</v>
      </c>
      <c r="C121" s="648"/>
      <c r="D121" s="648"/>
      <c r="E121" s="648"/>
      <c r="F121" s="648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31" t="str">
        <f>+VLOOKUP(LEFT($A122,LEN(A122)-1)*1,Master!$D$30:$G$229,4,FALSE)</f>
        <v>Izdaci budžeta</v>
      </c>
      <c r="C122" s="632"/>
      <c r="D122" s="632"/>
      <c r="E122" s="632"/>
      <c r="F122" s="632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9" t="str">
        <f>+VLOOKUP(LEFT($A123,LEN(A123)-1)*1,Master!$D$30:$G$229,4,FALSE)</f>
        <v>Tekući izdaci</v>
      </c>
      <c r="C123" s="650"/>
      <c r="D123" s="650"/>
      <c r="E123" s="650"/>
      <c r="F123" s="650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5" t="str">
        <f>+VLOOKUP(LEFT($A124,LEN(A124)-1)*1,Master!$D$30:$G$229,4,FALSE)</f>
        <v>Bruto zarade i doprinosi na teret poslodavca</v>
      </c>
      <c r="C124" s="636"/>
      <c r="D124" s="636"/>
      <c r="E124" s="636"/>
      <c r="F124" s="636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5" t="str">
        <f>+VLOOKUP(LEFT($A125,LEN(A125)-1)*1,Master!$D$30:$G$229,4,FALSE)</f>
        <v>Ostala lična primanja</v>
      </c>
      <c r="C125" s="636"/>
      <c r="D125" s="636"/>
      <c r="E125" s="636"/>
      <c r="F125" s="636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5" t="str">
        <f>+VLOOKUP(LEFT($A126,LEN(A126)-1)*1,Master!$D$30:$G$229,4,FALSE)</f>
        <v>Rashodi za materijal</v>
      </c>
      <c r="C126" s="636"/>
      <c r="D126" s="636"/>
      <c r="E126" s="636"/>
      <c r="F126" s="636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5" t="str">
        <f>+VLOOKUP(LEFT($A127,LEN(A127)-1)*1,Master!$D$30:$G$229,4,FALSE)</f>
        <v>Rashodi za usluge</v>
      </c>
      <c r="C127" s="636"/>
      <c r="D127" s="636"/>
      <c r="E127" s="636"/>
      <c r="F127" s="636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5" t="str">
        <f>+VLOOKUP(LEFT($A128,LEN(A128)-1)*1,Master!$D$30:$G$229,4,FALSE)</f>
        <v>Rashodi za tekuće održavanje</v>
      </c>
      <c r="C128" s="636"/>
      <c r="D128" s="636"/>
      <c r="E128" s="636"/>
      <c r="F128" s="636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5" t="str">
        <f>+VLOOKUP(LEFT($A129,LEN(A129)-1)*1,Master!$D$30:$G$229,4,FALSE)</f>
        <v>Kamate</v>
      </c>
      <c r="C129" s="636"/>
      <c r="D129" s="636"/>
      <c r="E129" s="636"/>
      <c r="F129" s="636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5" t="str">
        <f>+VLOOKUP(LEFT($A130,LEN(A130)-1)*1,Master!$D$30:$G$229,4,FALSE)</f>
        <v>Renta</v>
      </c>
      <c r="C130" s="636"/>
      <c r="D130" s="636"/>
      <c r="E130" s="636"/>
      <c r="F130" s="636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5" t="str">
        <f>+VLOOKUP(LEFT($A131,LEN(A131)-1)*1,Master!$D$30:$G$229,4,FALSE)</f>
        <v>Subvencije</v>
      </c>
      <c r="C131" s="636"/>
      <c r="D131" s="636"/>
      <c r="E131" s="636"/>
      <c r="F131" s="636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5" t="str">
        <f>+VLOOKUP(LEFT($A132,LEN(A132)-1)*1,Master!$D$30:$G$229,4,FALSE)</f>
        <v>Ostali izdaci</v>
      </c>
      <c r="C132" s="636"/>
      <c r="D132" s="636"/>
      <c r="E132" s="636"/>
      <c r="F132" s="636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5" t="str">
        <f>+VLOOKUP(LEFT($A133,LEN(A133)-1)*1,Master!$D$30:$G$229,4,FALSE)</f>
        <v>Transferi za socijalnu zaštitu</v>
      </c>
      <c r="C133" s="656"/>
      <c r="D133" s="656"/>
      <c r="E133" s="656"/>
      <c r="F133" s="656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5" t="str">
        <f>+VLOOKUP(LEFT($A134,LEN(A134)-1)*1,Master!$D$30:$G$229,4,FALSE)</f>
        <v>Prava iz oblasti socijalne zaštite</v>
      </c>
      <c r="C134" s="636"/>
      <c r="D134" s="636"/>
      <c r="E134" s="636"/>
      <c r="F134" s="636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5" t="str">
        <f>+VLOOKUP(LEFT($A135,LEN(A135)-1)*1,Master!$D$30:$G$229,4,FALSE)</f>
        <v>Sredstva za tehnološke viškove</v>
      </c>
      <c r="C135" s="636"/>
      <c r="D135" s="636"/>
      <c r="E135" s="636"/>
      <c r="F135" s="636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5" t="str">
        <f>+VLOOKUP(LEFT($A136,LEN(A136)-1)*1,Master!$D$30:$G$229,4,FALSE)</f>
        <v>Prava iz oblasti penzijskog i invalidskog osiguranja</v>
      </c>
      <c r="C136" s="636"/>
      <c r="D136" s="636"/>
      <c r="E136" s="636"/>
      <c r="F136" s="636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5" t="str">
        <f>+VLOOKUP(LEFT($A137,LEN(A137)-1)*1,Master!$D$30:$G$229,4,FALSE)</f>
        <v>Ostala prava iz oblasti zdravstvene zaštite</v>
      </c>
      <c r="C137" s="636"/>
      <c r="D137" s="636"/>
      <c r="E137" s="636"/>
      <c r="F137" s="636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5" t="str">
        <f>+VLOOKUP(LEFT($A138,LEN(A138)-1)*1,Master!$D$30:$G$229,4,FALSE)</f>
        <v>Ostala prava iz zdravstvenog osiguranja</v>
      </c>
      <c r="C138" s="636"/>
      <c r="D138" s="636"/>
      <c r="E138" s="636"/>
      <c r="F138" s="636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51" t="str">
        <f>+VLOOKUP(LEFT($A139,LEN(A139)-1)*1,Master!$D$30:$G$229,4,FALSE)</f>
        <v xml:space="preserve">Transferi institucijama, pojedincima, nevladinom i javnom sektoru </v>
      </c>
      <c r="C139" s="652"/>
      <c r="D139" s="652"/>
      <c r="E139" s="652"/>
      <c r="F139" s="652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51" t="str">
        <f>+VLOOKUP(LEFT($A140,LEN(A140)-1)*1,Master!$D$30:$G$229,4,FALSE)</f>
        <v>Kapitalni izdaci</v>
      </c>
      <c r="C140" s="652"/>
      <c r="D140" s="652"/>
      <c r="E140" s="652"/>
      <c r="F140" s="652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3" t="str">
        <f>+VLOOKUP(LEFT($A141,LEN(A141)-1)*1,Master!$D$30:$G$229,4,FALSE)</f>
        <v>Pozajmice i krediti</v>
      </c>
      <c r="C141" s="654"/>
      <c r="D141" s="654"/>
      <c r="E141" s="654"/>
      <c r="F141" s="654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3" t="str">
        <f>+VLOOKUP(LEFT($A142,LEN(A142)-1)*1,Master!$D$30:$G$229,4,FALSE)</f>
        <v>Rezerve</v>
      </c>
      <c r="C142" s="654"/>
      <c r="D142" s="654"/>
      <c r="E142" s="654"/>
      <c r="F142" s="654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3" t="str">
        <f>+VLOOKUP(LEFT($A143,LEN(A143)-1)*1,Master!$D$30:$G$229,4,FALSE)</f>
        <v>Otplata garancija</v>
      </c>
      <c r="C143" s="654"/>
      <c r="D143" s="654"/>
      <c r="E143" s="654"/>
      <c r="F143" s="654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3" t="str">
        <f>+VLOOKUP(LEFT($A144,LEN(A144)-1)*1,Master!$D$30:$G$229,4,FALSE)</f>
        <v>Otplata obaveza iz prethodnog perioda</v>
      </c>
      <c r="C144" s="654"/>
      <c r="D144" s="654"/>
      <c r="E144" s="654"/>
      <c r="F144" s="654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3" t="str">
        <f>+VLOOKUP(LEFT($A145,LEN(A145)-1)*1,Master!$D$30:$G$229,4,FALSE)</f>
        <v>Neto povećanje obaveza</v>
      </c>
      <c r="C145" s="654"/>
      <c r="D145" s="654"/>
      <c r="E145" s="654"/>
      <c r="F145" s="654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61" t="str">
        <f>+VLOOKUP(LEFT($A146,LEN(A146)-1)*1,Master!$D$30:$G$226,4,FALSE)</f>
        <v>Suficit / deficit</v>
      </c>
      <c r="C146" s="662"/>
      <c r="D146" s="662"/>
      <c r="E146" s="662"/>
      <c r="F146" s="662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3" t="str">
        <f>+VLOOKUP(LEFT($A147,LEN(A147)-1)*1,Master!$D$30:$G$226,4,FALSE)</f>
        <v>Primarni suficit/deficit</v>
      </c>
      <c r="C147" s="664"/>
      <c r="D147" s="664"/>
      <c r="E147" s="664"/>
      <c r="F147" s="664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5" t="str">
        <f>+VLOOKUP(LEFT($A148,LEN(A148)-1)*1,Master!$D$30:$G$226,4,FALSE)</f>
        <v>Otplata dugova</v>
      </c>
      <c r="C148" s="656"/>
      <c r="D148" s="656"/>
      <c r="E148" s="656"/>
      <c r="F148" s="656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9" t="str">
        <f>+VLOOKUP(LEFT($A149,LEN(A149)-1)*1,Master!$D$30:$G$226,4,FALSE)</f>
        <v>Otplata hartija od vrijednosti i kredita rezidentima</v>
      </c>
      <c r="C149" s="660"/>
      <c r="D149" s="660"/>
      <c r="E149" s="660"/>
      <c r="F149" s="660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3" t="str">
        <f>+VLOOKUP(LEFT($A150,LEN(A150)-1)*1,Master!$D$30:$G$226,4,FALSE)</f>
        <v>Otplata hartija od vrijednosti i kredita nerezidentima</v>
      </c>
      <c r="C150" s="654"/>
      <c r="D150" s="654"/>
      <c r="E150" s="654"/>
      <c r="F150" s="654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31" t="str">
        <f>+VLOOKUP(LEFT($A151,LEN(A151)-1)*1,Master!$D$30:$G$226,4,FALSE)</f>
        <v>Izdaci za kupovinu hartija od vrijednosti</v>
      </c>
      <c r="C151" s="632"/>
      <c r="D151" s="632"/>
      <c r="E151" s="632"/>
      <c r="F151" s="632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7" t="str">
        <f>+VLOOKUP(LEFT($A152,LEN(A152)-1)*1,Master!$D$30:$G$226,4,FALSE)</f>
        <v>Nedostajuća sredstva</v>
      </c>
      <c r="C152" s="658"/>
      <c r="D152" s="658"/>
      <c r="E152" s="658"/>
      <c r="F152" s="658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31" t="str">
        <f>+VLOOKUP(LEFT($A153,LEN(A153)-1)*1,Master!$D$30:$G$226,4,FALSE)</f>
        <v>Finansiranje</v>
      </c>
      <c r="C153" s="632"/>
      <c r="D153" s="632"/>
      <c r="E153" s="632"/>
      <c r="F153" s="632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9" t="str">
        <f>+VLOOKUP(LEFT($A154,LEN(A154)-1)*1,Master!$D$30:$G$226,4,FALSE)</f>
        <v>Pozajmice i krediti od domaćih izvora</v>
      </c>
      <c r="C154" s="660"/>
      <c r="D154" s="660"/>
      <c r="E154" s="660"/>
      <c r="F154" s="660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3" t="str">
        <f>+VLOOKUP(LEFT($A155,LEN(A155)-1)*1,Master!$D$30:$G$226,4,FALSE)</f>
        <v>Pozajmice i krediti od inostranih izvora</v>
      </c>
      <c r="C155" s="654"/>
      <c r="D155" s="654"/>
      <c r="E155" s="654"/>
      <c r="F155" s="654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3" t="str">
        <f>+VLOOKUP(LEFT($A156,LEN(A156)-1)*1,Master!$D$30:$G$226,4,FALSE)</f>
        <v>Primici od prodaje imovine</v>
      </c>
      <c r="C156" s="654"/>
      <c r="D156" s="654"/>
      <c r="E156" s="654"/>
      <c r="F156" s="654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2026-01-30T06:22:09Z</dcterms:modified>
</cp:coreProperties>
</file>